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research/darpa-criticalmaas/ta2-table-understanding/examples/tables/simon_zinc_db/"/>
    </mc:Choice>
  </mc:AlternateContent>
  <xr:revisionPtr revIDLastSave="0" documentId="13_ncr:1_{BE9AEB17-AFE9-CA4A-885C-378E5B67E70C}" xr6:coauthVersionLast="47" xr6:coauthVersionMax="47" xr10:uidLastSave="{00000000-0000-0000-0000-000000000000}"/>
  <bookViews>
    <workbookView xWindow="3660" yWindow="24720" windowWidth="27640" windowHeight="16940" xr2:uid="{CEE9CDFA-F3B8-D344-9B5F-8770B67ECF75}"/>
  </bookViews>
  <sheets>
    <sheet name="Sheet1" sheetId="1" r:id="rId1"/>
  </sheets>
  <definedNames>
    <definedName name="_xlnm._FilterDatabase" localSheetId="0" hidden="1">Sheet1!$A$1:$AO$852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852" i="1" l="1"/>
  <c r="AK852" i="1"/>
  <c r="AJ852" i="1"/>
  <c r="AI852" i="1"/>
  <c r="AH852" i="1"/>
  <c r="AG852" i="1"/>
  <c r="AE852" i="1"/>
  <c r="AD852" i="1"/>
  <c r="AC852" i="1"/>
  <c r="AB852" i="1"/>
  <c r="AA852" i="1"/>
  <c r="AL851" i="1"/>
  <c r="AK851" i="1"/>
  <c r="AJ851" i="1"/>
  <c r="AI851" i="1"/>
  <c r="AH851" i="1"/>
  <c r="AG851" i="1"/>
  <c r="AE851" i="1"/>
  <c r="AD851" i="1"/>
  <c r="AC851" i="1"/>
  <c r="AB851" i="1"/>
  <c r="AA851" i="1"/>
  <c r="AL850" i="1"/>
  <c r="AK850" i="1"/>
  <c r="AJ850" i="1"/>
  <c r="AI850" i="1"/>
  <c r="AH850" i="1"/>
  <c r="AG850" i="1"/>
  <c r="AE850" i="1"/>
  <c r="AD850" i="1"/>
  <c r="AC850" i="1"/>
  <c r="AB850" i="1"/>
  <c r="AA850" i="1"/>
  <c r="AL849" i="1"/>
  <c r="AK849" i="1"/>
  <c r="AJ849" i="1"/>
  <c r="AI849" i="1"/>
  <c r="AH849" i="1"/>
  <c r="AG849" i="1"/>
  <c r="AE849" i="1"/>
  <c r="AD849" i="1"/>
  <c r="AC849" i="1"/>
  <c r="AB849" i="1"/>
  <c r="AA849" i="1"/>
  <c r="M848" i="1"/>
  <c r="H848" i="1"/>
  <c r="K848" i="1" s="1"/>
  <c r="AC848" i="1" s="1"/>
  <c r="AL847" i="1"/>
  <c r="AK847" i="1"/>
  <c r="AJ847" i="1"/>
  <c r="AI847" i="1"/>
  <c r="AH847" i="1"/>
  <c r="AG847" i="1"/>
  <c r="AE847" i="1"/>
  <c r="AD847" i="1"/>
  <c r="AC847" i="1"/>
  <c r="AB847" i="1"/>
  <c r="AA847" i="1"/>
  <c r="AD846" i="1"/>
  <c r="L846" i="1"/>
  <c r="AE846" i="1" s="1"/>
  <c r="H846" i="1"/>
  <c r="AL846" i="1" s="1"/>
  <c r="M845" i="1"/>
  <c r="AD845" i="1" s="1"/>
  <c r="K845" i="1"/>
  <c r="AJ845" i="1" s="1"/>
  <c r="H845" i="1"/>
  <c r="J845" i="1" s="1"/>
  <c r="AB845" i="1" s="1"/>
  <c r="AL844" i="1"/>
  <c r="AK844" i="1"/>
  <c r="AJ844" i="1"/>
  <c r="AI844" i="1"/>
  <c r="AH844" i="1"/>
  <c r="AG844" i="1"/>
  <c r="AE844" i="1"/>
  <c r="AD844" i="1"/>
  <c r="AC844" i="1"/>
  <c r="AB844" i="1"/>
  <c r="AA844" i="1"/>
  <c r="AG843" i="1"/>
  <c r="K843" i="1"/>
  <c r="H843" i="1"/>
  <c r="AB843" i="1" s="1"/>
  <c r="AB842" i="1"/>
  <c r="K842" i="1"/>
  <c r="J842" i="1"/>
  <c r="I842" i="1"/>
  <c r="H842" i="1"/>
  <c r="AE842" i="1" s="1"/>
  <c r="AL841" i="1"/>
  <c r="K841" i="1"/>
  <c r="AC841" i="1" s="1"/>
  <c r="J841" i="1"/>
  <c r="I841" i="1"/>
  <c r="H841" i="1"/>
  <c r="M840" i="1"/>
  <c r="K840" i="1"/>
  <c r="J840" i="1"/>
  <c r="I840" i="1"/>
  <c r="H840" i="1"/>
  <c r="AB839" i="1"/>
  <c r="AA839" i="1"/>
  <c r="M839" i="1"/>
  <c r="L839" i="1"/>
  <c r="K839" i="1"/>
  <c r="J839" i="1"/>
  <c r="I839" i="1"/>
  <c r="H839" i="1"/>
  <c r="AL838" i="1"/>
  <c r="AK838" i="1"/>
  <c r="AJ838" i="1"/>
  <c r="AI838" i="1"/>
  <c r="AH838" i="1"/>
  <c r="AG838" i="1"/>
  <c r="AE838" i="1"/>
  <c r="AD838" i="1"/>
  <c r="AC838" i="1"/>
  <c r="AB838" i="1"/>
  <c r="AA838" i="1"/>
  <c r="H837" i="1"/>
  <c r="AK837" i="1" s="1"/>
  <c r="AJ836" i="1"/>
  <c r="AE836" i="1"/>
  <c r="AC836" i="1"/>
  <c r="J836" i="1"/>
  <c r="AB836" i="1" s="1"/>
  <c r="I836" i="1"/>
  <c r="AH836" i="1" s="1"/>
  <c r="H836" i="1"/>
  <c r="AL836" i="1" s="1"/>
  <c r="H835" i="1"/>
  <c r="AH834" i="1"/>
  <c r="AG834" i="1"/>
  <c r="M834" i="1"/>
  <c r="K834" i="1"/>
  <c r="H834" i="1"/>
  <c r="AI834" i="1" s="1"/>
  <c r="H833" i="1"/>
  <c r="AH833" i="1" s="1"/>
  <c r="K832" i="1"/>
  <c r="J832" i="1"/>
  <c r="I832" i="1"/>
  <c r="AG832" i="1" s="1"/>
  <c r="H832" i="1"/>
  <c r="AG831" i="1"/>
  <c r="M831" i="1"/>
  <c r="K831" i="1"/>
  <c r="H831" i="1"/>
  <c r="AE831" i="1" s="1"/>
  <c r="I830" i="1"/>
  <c r="H830" i="1"/>
  <c r="AK830" i="1" s="1"/>
  <c r="M829" i="1"/>
  <c r="K829" i="1"/>
  <c r="AC829" i="1" s="1"/>
  <c r="J829" i="1"/>
  <c r="I829" i="1"/>
  <c r="AG829" i="1" s="1"/>
  <c r="H829" i="1"/>
  <c r="AD829" i="1" s="1"/>
  <c r="M828" i="1"/>
  <c r="L828" i="1"/>
  <c r="K828" i="1"/>
  <c r="J828" i="1"/>
  <c r="H828" i="1"/>
  <c r="AL828" i="1" s="1"/>
  <c r="H827" i="1"/>
  <c r="AE827" i="1" s="1"/>
  <c r="AK826" i="1"/>
  <c r="K826" i="1"/>
  <c r="I826" i="1"/>
  <c r="AG826" i="1" s="1"/>
  <c r="H826" i="1"/>
  <c r="H825" i="1"/>
  <c r="AE824" i="1"/>
  <c r="H824" i="1"/>
  <c r="M823" i="1"/>
  <c r="L823" i="1"/>
  <c r="K823" i="1"/>
  <c r="J823" i="1"/>
  <c r="I823" i="1"/>
  <c r="H823" i="1"/>
  <c r="AH823" i="1" s="1"/>
  <c r="H822" i="1"/>
  <c r="J822" i="1" s="1"/>
  <c r="AL821" i="1"/>
  <c r="AK821" i="1"/>
  <c r="AJ821" i="1"/>
  <c r="AI821" i="1"/>
  <c r="AH821" i="1"/>
  <c r="AG821" i="1"/>
  <c r="AE821" i="1"/>
  <c r="AD821" i="1"/>
  <c r="AC821" i="1"/>
  <c r="AB821" i="1"/>
  <c r="AA821" i="1"/>
  <c r="H820" i="1"/>
  <c r="J820" i="1" s="1"/>
  <c r="AL819" i="1"/>
  <c r="AK819" i="1"/>
  <c r="AJ819" i="1"/>
  <c r="AI819" i="1"/>
  <c r="AH819" i="1"/>
  <c r="AG819" i="1"/>
  <c r="AE819" i="1"/>
  <c r="AD819" i="1"/>
  <c r="AC819" i="1"/>
  <c r="AB819" i="1"/>
  <c r="AA819" i="1"/>
  <c r="AL818" i="1"/>
  <c r="AK818" i="1"/>
  <c r="AJ818" i="1"/>
  <c r="AI818" i="1"/>
  <c r="AH818" i="1"/>
  <c r="AG818" i="1"/>
  <c r="AE818" i="1"/>
  <c r="AD818" i="1"/>
  <c r="AC818" i="1"/>
  <c r="AB818" i="1"/>
  <c r="AA818" i="1"/>
  <c r="M817" i="1"/>
  <c r="K817" i="1"/>
  <c r="AC817" i="1" s="1"/>
  <c r="H817" i="1"/>
  <c r="J817" i="1" s="1"/>
  <c r="AB817" i="1" s="1"/>
  <c r="H816" i="1"/>
  <c r="AL815" i="1"/>
  <c r="AK815" i="1"/>
  <c r="AJ815" i="1"/>
  <c r="AI815" i="1"/>
  <c r="AH815" i="1"/>
  <c r="AG815" i="1"/>
  <c r="AE815" i="1"/>
  <c r="AD815" i="1"/>
  <c r="AC815" i="1"/>
  <c r="AB815" i="1"/>
  <c r="AA815" i="1"/>
  <c r="AL814" i="1"/>
  <c r="AK814" i="1"/>
  <c r="AJ814" i="1"/>
  <c r="AI814" i="1"/>
  <c r="AH814" i="1"/>
  <c r="AG814" i="1"/>
  <c r="AE814" i="1"/>
  <c r="AD814" i="1"/>
  <c r="AC814" i="1"/>
  <c r="AB814" i="1"/>
  <c r="AA814" i="1"/>
  <c r="AL813" i="1"/>
  <c r="AK813" i="1"/>
  <c r="AJ813" i="1"/>
  <c r="AI813" i="1"/>
  <c r="AH813" i="1"/>
  <c r="AG813" i="1"/>
  <c r="AE813" i="1"/>
  <c r="AD813" i="1"/>
  <c r="AC813" i="1"/>
  <c r="AB813" i="1"/>
  <c r="AA813" i="1"/>
  <c r="N813" i="1"/>
  <c r="AL812" i="1"/>
  <c r="AK812" i="1"/>
  <c r="AJ812" i="1"/>
  <c r="AI812" i="1"/>
  <c r="AH812" i="1"/>
  <c r="AG812" i="1"/>
  <c r="AE812" i="1"/>
  <c r="AD812" i="1"/>
  <c r="AC812" i="1"/>
  <c r="AB812" i="1"/>
  <c r="AA812" i="1"/>
  <c r="AL811" i="1"/>
  <c r="AK811" i="1"/>
  <c r="AJ811" i="1"/>
  <c r="AI811" i="1"/>
  <c r="AH811" i="1"/>
  <c r="AG811" i="1"/>
  <c r="AE811" i="1"/>
  <c r="AD811" i="1"/>
  <c r="AC811" i="1"/>
  <c r="AB811" i="1"/>
  <c r="AA811" i="1"/>
  <c r="AL810" i="1"/>
  <c r="AK810" i="1"/>
  <c r="AJ810" i="1"/>
  <c r="AI810" i="1"/>
  <c r="AH810" i="1"/>
  <c r="AG810" i="1"/>
  <c r="AE810" i="1"/>
  <c r="AD810" i="1"/>
  <c r="AC810" i="1"/>
  <c r="AB810" i="1"/>
  <c r="AA810" i="1"/>
  <c r="AL809" i="1"/>
  <c r="AK809" i="1"/>
  <c r="AJ809" i="1"/>
  <c r="AI809" i="1"/>
  <c r="AH809" i="1"/>
  <c r="AG809" i="1"/>
  <c r="AE809" i="1"/>
  <c r="AD809" i="1"/>
  <c r="AC809" i="1"/>
  <c r="AB809" i="1"/>
  <c r="AA809" i="1"/>
  <c r="N809" i="1"/>
  <c r="AL808" i="1"/>
  <c r="AK808" i="1"/>
  <c r="AJ808" i="1"/>
  <c r="AI808" i="1"/>
  <c r="AH808" i="1"/>
  <c r="AG808" i="1"/>
  <c r="AE808" i="1"/>
  <c r="AD808" i="1"/>
  <c r="AC808" i="1"/>
  <c r="AB808" i="1"/>
  <c r="AA808" i="1"/>
  <c r="H807" i="1"/>
  <c r="AL806" i="1"/>
  <c r="AK806" i="1"/>
  <c r="AJ806" i="1"/>
  <c r="AI806" i="1"/>
  <c r="AH806" i="1"/>
  <c r="AG806" i="1"/>
  <c r="AE806" i="1"/>
  <c r="AD806" i="1"/>
  <c r="AC806" i="1"/>
  <c r="AB806" i="1"/>
  <c r="AA806" i="1"/>
  <c r="H805" i="1"/>
  <c r="AL805" i="1" s="1"/>
  <c r="AA804" i="1"/>
  <c r="H804" i="1"/>
  <c r="L804" i="1" s="1"/>
  <c r="AK804" i="1" s="1"/>
  <c r="H803" i="1"/>
  <c r="H802" i="1"/>
  <c r="K802" i="1" s="1"/>
  <c r="AC802" i="1" s="1"/>
  <c r="AL801" i="1"/>
  <c r="AK801" i="1"/>
  <c r="AJ801" i="1"/>
  <c r="AI801" i="1"/>
  <c r="AH801" i="1"/>
  <c r="AG801" i="1"/>
  <c r="AE801" i="1"/>
  <c r="AD801" i="1"/>
  <c r="AC801" i="1"/>
  <c r="AB801" i="1"/>
  <c r="AA801" i="1"/>
  <c r="AL800" i="1"/>
  <c r="AK800" i="1"/>
  <c r="AJ800" i="1"/>
  <c r="AI800" i="1"/>
  <c r="AH800" i="1"/>
  <c r="AG800" i="1"/>
  <c r="AE800" i="1"/>
  <c r="AD800" i="1"/>
  <c r="AC800" i="1"/>
  <c r="AB800" i="1"/>
  <c r="AA800" i="1"/>
  <c r="H799" i="1"/>
  <c r="H798" i="1"/>
  <c r="H797" i="1"/>
  <c r="J797" i="1" s="1"/>
  <c r="AI797" i="1" s="1"/>
  <c r="H796" i="1"/>
  <c r="K795" i="1"/>
  <c r="AJ795" i="1" s="1"/>
  <c r="J795" i="1"/>
  <c r="AB795" i="1" s="1"/>
  <c r="H795" i="1"/>
  <c r="I795" i="1" s="1"/>
  <c r="L794" i="1"/>
  <c r="H794" i="1"/>
  <c r="M794" i="1" s="1"/>
  <c r="AD794" i="1" s="1"/>
  <c r="H793" i="1"/>
  <c r="H792" i="1"/>
  <c r="AL791" i="1"/>
  <c r="AK791" i="1"/>
  <c r="AJ791" i="1"/>
  <c r="AI791" i="1"/>
  <c r="AH791" i="1"/>
  <c r="AG791" i="1"/>
  <c r="AE791" i="1"/>
  <c r="AD791" i="1"/>
  <c r="AC791" i="1"/>
  <c r="AB791" i="1"/>
  <c r="AA791" i="1"/>
  <c r="AL790" i="1"/>
  <c r="AK790" i="1"/>
  <c r="AJ790" i="1"/>
  <c r="AI790" i="1"/>
  <c r="AH790" i="1"/>
  <c r="AG790" i="1"/>
  <c r="AE790" i="1"/>
  <c r="AD790" i="1"/>
  <c r="AC790" i="1"/>
  <c r="AB790" i="1"/>
  <c r="AA790" i="1"/>
  <c r="AL789" i="1"/>
  <c r="AK789" i="1"/>
  <c r="AJ789" i="1"/>
  <c r="AI789" i="1"/>
  <c r="AH789" i="1"/>
  <c r="AG789" i="1"/>
  <c r="AE789" i="1"/>
  <c r="AD789" i="1"/>
  <c r="AC789" i="1"/>
  <c r="AB789" i="1"/>
  <c r="AA789" i="1"/>
  <c r="AL788" i="1"/>
  <c r="AK788" i="1"/>
  <c r="AJ788" i="1"/>
  <c r="AI788" i="1"/>
  <c r="AH788" i="1"/>
  <c r="AG788" i="1"/>
  <c r="AE788" i="1"/>
  <c r="AD788" i="1"/>
  <c r="AC788" i="1"/>
  <c r="AB788" i="1"/>
  <c r="AA788" i="1"/>
  <c r="AL787" i="1"/>
  <c r="AK787" i="1"/>
  <c r="AJ787" i="1"/>
  <c r="AI787" i="1"/>
  <c r="AH787" i="1"/>
  <c r="AG787" i="1"/>
  <c r="AE787" i="1"/>
  <c r="AD787" i="1"/>
  <c r="AC787" i="1"/>
  <c r="AB787" i="1"/>
  <c r="AA787" i="1"/>
  <c r="H786" i="1"/>
  <c r="M785" i="1"/>
  <c r="AL785" i="1" s="1"/>
  <c r="L785" i="1"/>
  <c r="AK785" i="1" s="1"/>
  <c r="J785" i="1"/>
  <c r="AB785" i="1" s="1"/>
  <c r="H785" i="1"/>
  <c r="K785" i="1" s="1"/>
  <c r="AJ785" i="1" s="1"/>
  <c r="AJ784" i="1"/>
  <c r="AE784" i="1"/>
  <c r="H784" i="1"/>
  <c r="AD784" i="1" s="1"/>
  <c r="AL783" i="1"/>
  <c r="AK783" i="1"/>
  <c r="AJ783" i="1"/>
  <c r="AI783" i="1"/>
  <c r="AH783" i="1"/>
  <c r="AG783" i="1"/>
  <c r="AE783" i="1"/>
  <c r="AD783" i="1"/>
  <c r="AC783" i="1"/>
  <c r="AB783" i="1"/>
  <c r="AA783" i="1"/>
  <c r="AL782" i="1"/>
  <c r="AK782" i="1"/>
  <c r="AJ782" i="1"/>
  <c r="AI782" i="1"/>
  <c r="AH782" i="1"/>
  <c r="AG782" i="1"/>
  <c r="AE782" i="1"/>
  <c r="AD782" i="1"/>
  <c r="AC782" i="1"/>
  <c r="AB782" i="1"/>
  <c r="AA782" i="1"/>
  <c r="AL781" i="1"/>
  <c r="AK781" i="1"/>
  <c r="AJ781" i="1"/>
  <c r="AI781" i="1"/>
  <c r="AH781" i="1"/>
  <c r="AG781" i="1"/>
  <c r="AE781" i="1"/>
  <c r="AD781" i="1"/>
  <c r="AC781" i="1"/>
  <c r="AB781" i="1"/>
  <c r="AA781" i="1"/>
  <c r="AL780" i="1"/>
  <c r="AK780" i="1"/>
  <c r="AJ780" i="1"/>
  <c r="AI780" i="1"/>
  <c r="AH780" i="1"/>
  <c r="AG780" i="1"/>
  <c r="AE780" i="1"/>
  <c r="AD780" i="1"/>
  <c r="AC780" i="1"/>
  <c r="AB780" i="1"/>
  <c r="AA780" i="1"/>
  <c r="AL779" i="1"/>
  <c r="AK779" i="1"/>
  <c r="AJ779" i="1"/>
  <c r="AI779" i="1"/>
  <c r="AH779" i="1"/>
  <c r="AG779" i="1"/>
  <c r="AE779" i="1"/>
  <c r="AD779" i="1"/>
  <c r="AC779" i="1"/>
  <c r="AB779" i="1"/>
  <c r="AA779" i="1"/>
  <c r="H778" i="1"/>
  <c r="AL778" i="1" s="1"/>
  <c r="H777" i="1"/>
  <c r="AJ777" i="1" s="1"/>
  <c r="AL776" i="1"/>
  <c r="AD776" i="1"/>
  <c r="AC776" i="1"/>
  <c r="H776" i="1"/>
  <c r="I776" i="1" s="1"/>
  <c r="AL775" i="1"/>
  <c r="AK775" i="1"/>
  <c r="AJ775" i="1"/>
  <c r="AE775" i="1"/>
  <c r="AD775" i="1"/>
  <c r="AC775" i="1"/>
  <c r="J775" i="1"/>
  <c r="I775" i="1"/>
  <c r="AA775" i="1" s="1"/>
  <c r="AL774" i="1"/>
  <c r="AK774" i="1"/>
  <c r="AJ774" i="1"/>
  <c r="AI774" i="1"/>
  <c r="AH774" i="1"/>
  <c r="AG774" i="1"/>
  <c r="AE774" i="1"/>
  <c r="AD774" i="1"/>
  <c r="AC774" i="1"/>
  <c r="AB774" i="1"/>
  <c r="AA774" i="1"/>
  <c r="AL773" i="1"/>
  <c r="AK773" i="1"/>
  <c r="AJ773" i="1"/>
  <c r="AI773" i="1"/>
  <c r="AH773" i="1"/>
  <c r="AG773" i="1"/>
  <c r="AE773" i="1"/>
  <c r="AD773" i="1"/>
  <c r="AC773" i="1"/>
  <c r="AB773" i="1"/>
  <c r="AA773" i="1"/>
  <c r="H772" i="1"/>
  <c r="H771" i="1"/>
  <c r="AH771" i="1" s="1"/>
  <c r="AL770" i="1"/>
  <c r="AK770" i="1"/>
  <c r="AJ770" i="1"/>
  <c r="AI770" i="1"/>
  <c r="AH770" i="1"/>
  <c r="AG770" i="1"/>
  <c r="AE770" i="1"/>
  <c r="AD770" i="1"/>
  <c r="AC770" i="1"/>
  <c r="AB770" i="1"/>
  <c r="AA770" i="1"/>
  <c r="H769" i="1"/>
  <c r="J769" i="1" s="1"/>
  <c r="AL768" i="1"/>
  <c r="AK768" i="1"/>
  <c r="AJ768" i="1"/>
  <c r="AI768" i="1"/>
  <c r="AH768" i="1"/>
  <c r="AG768" i="1"/>
  <c r="AE768" i="1"/>
  <c r="AD768" i="1"/>
  <c r="AC768" i="1"/>
  <c r="AB768" i="1"/>
  <c r="AA768" i="1"/>
  <c r="AL767" i="1"/>
  <c r="AK767" i="1"/>
  <c r="AJ767" i="1"/>
  <c r="AI767" i="1"/>
  <c r="AH767" i="1"/>
  <c r="AG767" i="1"/>
  <c r="AE767" i="1"/>
  <c r="AD767" i="1"/>
  <c r="AC767" i="1"/>
  <c r="AB767" i="1"/>
  <c r="AA767" i="1"/>
  <c r="AL766" i="1"/>
  <c r="AK766" i="1"/>
  <c r="AJ766" i="1"/>
  <c r="AI766" i="1"/>
  <c r="AH766" i="1"/>
  <c r="AG766" i="1"/>
  <c r="AE766" i="1"/>
  <c r="AD766" i="1"/>
  <c r="AC766" i="1"/>
  <c r="AB766" i="1"/>
  <c r="AA766" i="1"/>
  <c r="H765" i="1"/>
  <c r="J765" i="1" s="1"/>
  <c r="AI765" i="1" s="1"/>
  <c r="AL764" i="1"/>
  <c r="AK764" i="1"/>
  <c r="AJ764" i="1"/>
  <c r="AI764" i="1"/>
  <c r="AH764" i="1"/>
  <c r="AG764" i="1"/>
  <c r="AE764" i="1"/>
  <c r="AD764" i="1"/>
  <c r="AC764" i="1"/>
  <c r="AB764" i="1"/>
  <c r="AA764" i="1"/>
  <c r="AL763" i="1"/>
  <c r="AK763" i="1"/>
  <c r="AJ763" i="1"/>
  <c r="AI763" i="1"/>
  <c r="AH763" i="1"/>
  <c r="AG763" i="1"/>
  <c r="AE763" i="1"/>
  <c r="AD763" i="1"/>
  <c r="AC763" i="1"/>
  <c r="AB763" i="1"/>
  <c r="AA763" i="1"/>
  <c r="AL762" i="1"/>
  <c r="AJ762" i="1"/>
  <c r="AD762" i="1"/>
  <c r="AC762" i="1"/>
  <c r="L762" i="1"/>
  <c r="J762" i="1"/>
  <c r="AB762" i="1" s="1"/>
  <c r="I762" i="1"/>
  <c r="AH762" i="1" s="1"/>
  <c r="AL761" i="1"/>
  <c r="AK761" i="1"/>
  <c r="AJ761" i="1"/>
  <c r="AI761" i="1"/>
  <c r="AH761" i="1"/>
  <c r="AG761" i="1"/>
  <c r="AE761" i="1"/>
  <c r="AD761" i="1"/>
  <c r="AC761" i="1"/>
  <c r="AB761" i="1"/>
  <c r="AA761" i="1"/>
  <c r="AL760" i="1"/>
  <c r="AK760" i="1"/>
  <c r="AJ760" i="1"/>
  <c r="AI760" i="1"/>
  <c r="AH760" i="1"/>
  <c r="AG760" i="1"/>
  <c r="AE760" i="1"/>
  <c r="AD760" i="1"/>
  <c r="AC760" i="1"/>
  <c r="AB760" i="1"/>
  <c r="AA760" i="1"/>
  <c r="AL759" i="1"/>
  <c r="AK759" i="1"/>
  <c r="AJ759" i="1"/>
  <c r="AE759" i="1"/>
  <c r="AD759" i="1"/>
  <c r="AC759" i="1"/>
  <c r="J759" i="1"/>
  <c r="AB759" i="1" s="1"/>
  <c r="I759" i="1"/>
  <c r="AL758" i="1"/>
  <c r="AK758" i="1"/>
  <c r="AI758" i="1"/>
  <c r="AH758" i="1"/>
  <c r="AG758" i="1"/>
  <c r="AE758" i="1"/>
  <c r="AD758" i="1"/>
  <c r="AB758" i="1"/>
  <c r="AA758" i="1"/>
  <c r="K758" i="1"/>
  <c r="AL757" i="1"/>
  <c r="AK757" i="1"/>
  <c r="AJ757" i="1"/>
  <c r="AI757" i="1"/>
  <c r="AH757" i="1"/>
  <c r="AG757" i="1"/>
  <c r="AE757" i="1"/>
  <c r="AD757" i="1"/>
  <c r="AC757" i="1"/>
  <c r="AB757" i="1"/>
  <c r="AA757" i="1"/>
  <c r="AL756" i="1"/>
  <c r="AK756" i="1"/>
  <c r="AJ756" i="1"/>
  <c r="AI756" i="1"/>
  <c r="AH756" i="1"/>
  <c r="AG756" i="1"/>
  <c r="AE756" i="1"/>
  <c r="AD756" i="1"/>
  <c r="AC756" i="1"/>
  <c r="AB756" i="1"/>
  <c r="AA756" i="1"/>
  <c r="AL755" i="1"/>
  <c r="AD755" i="1"/>
  <c r="H755" i="1"/>
  <c r="L755" i="1" s="1"/>
  <c r="AK755" i="1" s="1"/>
  <c r="AL754" i="1"/>
  <c r="AK754" i="1"/>
  <c r="AJ754" i="1"/>
  <c r="AI754" i="1"/>
  <c r="AH754" i="1"/>
  <c r="AG754" i="1"/>
  <c r="AE754" i="1"/>
  <c r="AD754" i="1"/>
  <c r="AC754" i="1"/>
  <c r="AB754" i="1"/>
  <c r="AA754" i="1"/>
  <c r="H753" i="1"/>
  <c r="Y753" i="1" s="1"/>
  <c r="AL752" i="1"/>
  <c r="AK752" i="1"/>
  <c r="AI752" i="1"/>
  <c r="AH752" i="1"/>
  <c r="AG752" i="1"/>
  <c r="AE752" i="1"/>
  <c r="AD752" i="1"/>
  <c r="AB752" i="1"/>
  <c r="AA752" i="1"/>
  <c r="K752" i="1"/>
  <c r="AK751" i="1"/>
  <c r="AJ751" i="1"/>
  <c r="AI751" i="1"/>
  <c r="AH751" i="1"/>
  <c r="AG751" i="1"/>
  <c r="AE751" i="1"/>
  <c r="AC751" i="1"/>
  <c r="AB751" i="1"/>
  <c r="AA751" i="1"/>
  <c r="M751" i="1"/>
  <c r="M750" i="1"/>
  <c r="K750" i="1"/>
  <c r="J750" i="1"/>
  <c r="AG750" i="1" s="1"/>
  <c r="AL749" i="1"/>
  <c r="AK749" i="1"/>
  <c r="AJ749" i="1"/>
  <c r="AI749" i="1"/>
  <c r="AH749" i="1"/>
  <c r="AG749" i="1"/>
  <c r="AE749" i="1"/>
  <c r="AD749" i="1"/>
  <c r="AC749" i="1"/>
  <c r="AB749" i="1"/>
  <c r="AA749" i="1"/>
  <c r="AL748" i="1"/>
  <c r="AK748" i="1"/>
  <c r="AJ748" i="1"/>
  <c r="AI748" i="1"/>
  <c r="AH748" i="1"/>
  <c r="AG748" i="1"/>
  <c r="AE748" i="1"/>
  <c r="AD748" i="1"/>
  <c r="AC748" i="1"/>
  <c r="AB748" i="1"/>
  <c r="AA748" i="1"/>
  <c r="AL747" i="1"/>
  <c r="AK747" i="1"/>
  <c r="AJ747" i="1"/>
  <c r="AI747" i="1"/>
  <c r="AH747" i="1"/>
  <c r="AG747" i="1"/>
  <c r="AE747" i="1"/>
  <c r="AD747" i="1"/>
  <c r="AC747" i="1"/>
  <c r="AB747" i="1"/>
  <c r="AA747" i="1"/>
  <c r="AL746" i="1"/>
  <c r="AK746" i="1"/>
  <c r="AJ746" i="1"/>
  <c r="AI746" i="1"/>
  <c r="AH746" i="1"/>
  <c r="AG746" i="1"/>
  <c r="AE746" i="1"/>
  <c r="AD746" i="1"/>
  <c r="AC746" i="1"/>
  <c r="AB746" i="1"/>
  <c r="AA746" i="1"/>
  <c r="AL745" i="1"/>
  <c r="AK745" i="1"/>
  <c r="AI745" i="1"/>
  <c r="AH745" i="1"/>
  <c r="AG745" i="1"/>
  <c r="AE745" i="1"/>
  <c r="AD745" i="1"/>
  <c r="AB745" i="1"/>
  <c r="AA745" i="1"/>
  <c r="K745" i="1"/>
  <c r="AL744" i="1"/>
  <c r="AK744" i="1"/>
  <c r="AJ744" i="1"/>
  <c r="AI744" i="1"/>
  <c r="AH744" i="1"/>
  <c r="AG744" i="1"/>
  <c r="AE744" i="1"/>
  <c r="AD744" i="1"/>
  <c r="AC744" i="1"/>
  <c r="AB744" i="1"/>
  <c r="AA744" i="1"/>
  <c r="AL743" i="1"/>
  <c r="AK743" i="1"/>
  <c r="AJ743" i="1"/>
  <c r="AI743" i="1"/>
  <c r="AH743" i="1"/>
  <c r="AG743" i="1"/>
  <c r="AE743" i="1"/>
  <c r="AD743" i="1"/>
  <c r="AC743" i="1"/>
  <c r="AB743" i="1"/>
  <c r="AA743" i="1"/>
  <c r="H742" i="1"/>
  <c r="AL741" i="1"/>
  <c r="AK741" i="1"/>
  <c r="AJ741" i="1"/>
  <c r="AI741" i="1"/>
  <c r="AH741" i="1"/>
  <c r="AG741" i="1"/>
  <c r="AE741" i="1"/>
  <c r="AD741" i="1"/>
  <c r="AC741" i="1"/>
  <c r="AB741" i="1"/>
  <c r="AA741" i="1"/>
  <c r="AL740" i="1"/>
  <c r="AK740" i="1"/>
  <c r="AJ740" i="1"/>
  <c r="AI740" i="1"/>
  <c r="AH740" i="1"/>
  <c r="AG740" i="1"/>
  <c r="AE740" i="1"/>
  <c r="AD740" i="1"/>
  <c r="AC740" i="1"/>
  <c r="AB740" i="1"/>
  <c r="AA740" i="1"/>
  <c r="X740" i="1"/>
  <c r="AL739" i="1"/>
  <c r="AK739" i="1"/>
  <c r="AJ739" i="1"/>
  <c r="AI739" i="1"/>
  <c r="AH739" i="1"/>
  <c r="AG739" i="1"/>
  <c r="AE739" i="1"/>
  <c r="AD739" i="1"/>
  <c r="AC739" i="1"/>
  <c r="AB739" i="1"/>
  <c r="AA739" i="1"/>
  <c r="K738" i="1"/>
  <c r="I738" i="1"/>
  <c r="AG738" i="1" s="1"/>
  <c r="H738" i="1"/>
  <c r="AH738" i="1" s="1"/>
  <c r="AL737" i="1"/>
  <c r="AK737" i="1"/>
  <c r="AJ737" i="1"/>
  <c r="AI737" i="1"/>
  <c r="AH737" i="1"/>
  <c r="AG737" i="1"/>
  <c r="AE737" i="1"/>
  <c r="AD737" i="1"/>
  <c r="AC737" i="1"/>
  <c r="AB737" i="1"/>
  <c r="AA737" i="1"/>
  <c r="AL736" i="1"/>
  <c r="AK736" i="1"/>
  <c r="AJ736" i="1"/>
  <c r="AI736" i="1"/>
  <c r="AH736" i="1"/>
  <c r="AG736" i="1"/>
  <c r="AE736" i="1"/>
  <c r="AD736" i="1"/>
  <c r="AC736" i="1"/>
  <c r="AB736" i="1"/>
  <c r="AA736" i="1"/>
  <c r="AL735" i="1"/>
  <c r="AK735" i="1"/>
  <c r="AJ735" i="1"/>
  <c r="AI735" i="1"/>
  <c r="AH735" i="1"/>
  <c r="AG735" i="1"/>
  <c r="AE735" i="1"/>
  <c r="AD735" i="1"/>
  <c r="AC735" i="1"/>
  <c r="AB735" i="1"/>
  <c r="AA735" i="1"/>
  <c r="AL734" i="1"/>
  <c r="AK734" i="1"/>
  <c r="AJ734" i="1"/>
  <c r="AI734" i="1"/>
  <c r="AH734" i="1"/>
  <c r="AG734" i="1"/>
  <c r="AE734" i="1"/>
  <c r="AD734" i="1"/>
  <c r="AC734" i="1"/>
  <c r="AB734" i="1"/>
  <c r="AA734" i="1"/>
  <c r="M733" i="1"/>
  <c r="K733" i="1"/>
  <c r="J733" i="1"/>
  <c r="I733" i="1"/>
  <c r="H733" i="1"/>
  <c r="AL733" i="1" s="1"/>
  <c r="AL732" i="1"/>
  <c r="AK732" i="1"/>
  <c r="AJ732" i="1"/>
  <c r="AI732" i="1"/>
  <c r="AH732" i="1"/>
  <c r="AG732" i="1"/>
  <c r="AE732" i="1"/>
  <c r="AD732" i="1"/>
  <c r="AC732" i="1"/>
  <c r="AB732" i="1"/>
  <c r="AA732" i="1"/>
  <c r="AL731" i="1"/>
  <c r="AK731" i="1"/>
  <c r="AJ731" i="1"/>
  <c r="AI731" i="1"/>
  <c r="AH731" i="1"/>
  <c r="AG731" i="1"/>
  <c r="AE731" i="1"/>
  <c r="AD731" i="1"/>
  <c r="AC731" i="1"/>
  <c r="AB731" i="1"/>
  <c r="AA731" i="1"/>
  <c r="AL730" i="1"/>
  <c r="AK730" i="1"/>
  <c r="AJ730" i="1"/>
  <c r="AI730" i="1"/>
  <c r="AH730" i="1"/>
  <c r="AG730" i="1"/>
  <c r="AE730" i="1"/>
  <c r="AD730" i="1"/>
  <c r="AC730" i="1"/>
  <c r="AB730" i="1"/>
  <c r="AA730" i="1"/>
  <c r="AL729" i="1"/>
  <c r="AK729" i="1"/>
  <c r="AJ729" i="1"/>
  <c r="AI729" i="1"/>
  <c r="AH729" i="1"/>
  <c r="AG729" i="1"/>
  <c r="AE729" i="1"/>
  <c r="AD729" i="1"/>
  <c r="AC729" i="1"/>
  <c r="AB729" i="1"/>
  <c r="AA729" i="1"/>
  <c r="AL728" i="1"/>
  <c r="AK728" i="1"/>
  <c r="AJ728" i="1"/>
  <c r="AI728" i="1"/>
  <c r="AH728" i="1"/>
  <c r="AG728" i="1"/>
  <c r="AE728" i="1"/>
  <c r="AD728" i="1"/>
  <c r="AC728" i="1"/>
  <c r="AB728" i="1"/>
  <c r="AA728" i="1"/>
  <c r="AL727" i="1"/>
  <c r="AK727" i="1"/>
  <c r="AJ727" i="1"/>
  <c r="AI727" i="1"/>
  <c r="AH727" i="1"/>
  <c r="AG727" i="1"/>
  <c r="AE727" i="1"/>
  <c r="AD727" i="1"/>
  <c r="AC727" i="1"/>
  <c r="AB727" i="1"/>
  <c r="AA727" i="1"/>
  <c r="H726" i="1"/>
  <c r="I726" i="1" s="1"/>
  <c r="H725" i="1"/>
  <c r="AL724" i="1"/>
  <c r="AK724" i="1"/>
  <c r="AJ724" i="1"/>
  <c r="AI724" i="1"/>
  <c r="AH724" i="1"/>
  <c r="AG724" i="1"/>
  <c r="AE724" i="1"/>
  <c r="AD724" i="1"/>
  <c r="AC724" i="1"/>
  <c r="AB724" i="1"/>
  <c r="AA724" i="1"/>
  <c r="AL723" i="1"/>
  <c r="AK723" i="1"/>
  <c r="AJ723" i="1"/>
  <c r="AI723" i="1"/>
  <c r="AH723" i="1"/>
  <c r="AG723" i="1"/>
  <c r="AE723" i="1"/>
  <c r="AD723" i="1"/>
  <c r="AC723" i="1"/>
  <c r="AB723" i="1"/>
  <c r="AA723" i="1"/>
  <c r="AL722" i="1"/>
  <c r="AK722" i="1"/>
  <c r="AJ722" i="1"/>
  <c r="AI722" i="1"/>
  <c r="AH722" i="1"/>
  <c r="AG722" i="1"/>
  <c r="AE722" i="1"/>
  <c r="AD722" i="1"/>
  <c r="AC722" i="1"/>
  <c r="AB722" i="1"/>
  <c r="AA722" i="1"/>
  <c r="H721" i="1"/>
  <c r="AL720" i="1"/>
  <c r="AK720" i="1"/>
  <c r="AJ720" i="1"/>
  <c r="AE720" i="1"/>
  <c r="AD720" i="1"/>
  <c r="AC720" i="1"/>
  <c r="S720" i="1"/>
  <c r="J720" i="1"/>
  <c r="I720" i="1"/>
  <c r="AA720" i="1" s="1"/>
  <c r="H719" i="1"/>
  <c r="AL718" i="1"/>
  <c r="AK718" i="1"/>
  <c r="AJ718" i="1"/>
  <c r="AI718" i="1"/>
  <c r="AH718" i="1"/>
  <c r="AG718" i="1"/>
  <c r="AE718" i="1"/>
  <c r="AD718" i="1"/>
  <c r="AC718" i="1"/>
  <c r="AB718" i="1"/>
  <c r="AA718" i="1"/>
  <c r="AL717" i="1"/>
  <c r="AK717" i="1"/>
  <c r="AJ717" i="1"/>
  <c r="AI717" i="1"/>
  <c r="AH717" i="1"/>
  <c r="AG717" i="1"/>
  <c r="AE717" i="1"/>
  <c r="AD717" i="1"/>
  <c r="AC717" i="1"/>
  <c r="AB717" i="1"/>
  <c r="AA717" i="1"/>
  <c r="H716" i="1"/>
  <c r="H715" i="1"/>
  <c r="I715" i="1" s="1"/>
  <c r="H714" i="1"/>
  <c r="J714" i="1" s="1"/>
  <c r="H713" i="1"/>
  <c r="AD713" i="1" s="1"/>
  <c r="H712" i="1"/>
  <c r="AJ712" i="1" s="1"/>
  <c r="AD711" i="1"/>
  <c r="H711" i="1"/>
  <c r="H710" i="1"/>
  <c r="AE710" i="1" s="1"/>
  <c r="AL709" i="1"/>
  <c r="AK709" i="1"/>
  <c r="AI709" i="1"/>
  <c r="AH709" i="1"/>
  <c r="AG709" i="1"/>
  <c r="AE709" i="1"/>
  <c r="AD709" i="1"/>
  <c r="AB709" i="1"/>
  <c r="AA709" i="1"/>
  <c r="K709" i="1"/>
  <c r="AC709" i="1" s="1"/>
  <c r="AL708" i="1"/>
  <c r="AK708" i="1"/>
  <c r="AI708" i="1"/>
  <c r="AH708" i="1"/>
  <c r="AG708" i="1"/>
  <c r="AE708" i="1"/>
  <c r="AD708" i="1"/>
  <c r="AB708" i="1"/>
  <c r="AA708" i="1"/>
  <c r="K708" i="1"/>
  <c r="AC708" i="1" s="1"/>
  <c r="AL707" i="1"/>
  <c r="AK707" i="1"/>
  <c r="AJ707" i="1"/>
  <c r="AI707" i="1"/>
  <c r="AH707" i="1"/>
  <c r="AG707" i="1"/>
  <c r="AE707" i="1"/>
  <c r="AD707" i="1"/>
  <c r="AC707" i="1"/>
  <c r="AB707" i="1"/>
  <c r="AA707" i="1"/>
  <c r="H706" i="1"/>
  <c r="J706" i="1" s="1"/>
  <c r="AB706" i="1" s="1"/>
  <c r="AL705" i="1"/>
  <c r="AK705" i="1"/>
  <c r="AI705" i="1"/>
  <c r="AH705" i="1"/>
  <c r="AG705" i="1"/>
  <c r="AE705" i="1"/>
  <c r="AD705" i="1"/>
  <c r="AB705" i="1"/>
  <c r="AA705" i="1"/>
  <c r="K705" i="1"/>
  <c r="AL704" i="1"/>
  <c r="AK704" i="1"/>
  <c r="AI704" i="1"/>
  <c r="AH704" i="1"/>
  <c r="AG704" i="1"/>
  <c r="AE704" i="1"/>
  <c r="AD704" i="1"/>
  <c r="AB704" i="1"/>
  <c r="AA704" i="1"/>
  <c r="K704" i="1"/>
  <c r="AL703" i="1"/>
  <c r="AK703" i="1"/>
  <c r="AI703" i="1"/>
  <c r="AH703" i="1"/>
  <c r="AG703" i="1"/>
  <c r="AE703" i="1"/>
  <c r="AD703" i="1"/>
  <c r="AB703" i="1"/>
  <c r="AA703" i="1"/>
  <c r="K703" i="1"/>
  <c r="AL702" i="1"/>
  <c r="AK702" i="1"/>
  <c r="AI702" i="1"/>
  <c r="AH702" i="1"/>
  <c r="AG702" i="1"/>
  <c r="AE702" i="1"/>
  <c r="AD702" i="1"/>
  <c r="AB702" i="1"/>
  <c r="AA702" i="1"/>
  <c r="K702" i="1"/>
  <c r="AC702" i="1" s="1"/>
  <c r="H701" i="1"/>
  <c r="J701" i="1" s="1"/>
  <c r="AI701" i="1" s="1"/>
  <c r="AL700" i="1"/>
  <c r="AK700" i="1"/>
  <c r="AJ700" i="1"/>
  <c r="AI700" i="1"/>
  <c r="AH700" i="1"/>
  <c r="AG700" i="1"/>
  <c r="AE700" i="1"/>
  <c r="AD700" i="1"/>
  <c r="AC700" i="1"/>
  <c r="AB700" i="1"/>
  <c r="AA700" i="1"/>
  <c r="AL699" i="1"/>
  <c r="AK699" i="1"/>
  <c r="AJ699" i="1"/>
  <c r="AI699" i="1"/>
  <c r="AH699" i="1"/>
  <c r="AG699" i="1"/>
  <c r="AE699" i="1"/>
  <c r="AD699" i="1"/>
  <c r="AC699" i="1"/>
  <c r="AB699" i="1"/>
  <c r="AA699" i="1"/>
  <c r="AL698" i="1"/>
  <c r="AK698" i="1"/>
  <c r="AI698" i="1"/>
  <c r="AH698" i="1"/>
  <c r="AG698" i="1"/>
  <c r="AE698" i="1"/>
  <c r="AD698" i="1"/>
  <c r="AB698" i="1"/>
  <c r="AA698" i="1"/>
  <c r="K698" i="1"/>
  <c r="AC698" i="1" s="1"/>
  <c r="AL697" i="1"/>
  <c r="AK697" i="1"/>
  <c r="AI697" i="1"/>
  <c r="AH697" i="1"/>
  <c r="AG697" i="1"/>
  <c r="AE697" i="1"/>
  <c r="AD697" i="1"/>
  <c r="AC697" i="1"/>
  <c r="AB697" i="1"/>
  <c r="AA697" i="1"/>
  <c r="K697" i="1"/>
  <c r="AJ697" i="1" s="1"/>
  <c r="H696" i="1"/>
  <c r="AL695" i="1"/>
  <c r="AK695" i="1"/>
  <c r="AI695" i="1"/>
  <c r="AH695" i="1"/>
  <c r="AG695" i="1"/>
  <c r="AE695" i="1"/>
  <c r="AD695" i="1"/>
  <c r="AB695" i="1"/>
  <c r="AA695" i="1"/>
  <c r="K695" i="1"/>
  <c r="AJ695" i="1" s="1"/>
  <c r="AL694" i="1"/>
  <c r="AK694" i="1"/>
  <c r="AJ694" i="1"/>
  <c r="AI694" i="1"/>
  <c r="AH694" i="1"/>
  <c r="AG694" i="1"/>
  <c r="AE694" i="1"/>
  <c r="AD694" i="1"/>
  <c r="AC694" i="1"/>
  <c r="AB694" i="1"/>
  <c r="AA694" i="1"/>
  <c r="AK693" i="1"/>
  <c r="AI693" i="1"/>
  <c r="AH693" i="1"/>
  <c r="AG693" i="1"/>
  <c r="AE693" i="1"/>
  <c r="AB693" i="1"/>
  <c r="AA693" i="1"/>
  <c r="M693" i="1"/>
  <c r="K693" i="1"/>
  <c r="AC693" i="1" s="1"/>
  <c r="AL692" i="1"/>
  <c r="AK692" i="1"/>
  <c r="AI692" i="1"/>
  <c r="AH692" i="1"/>
  <c r="AG692" i="1"/>
  <c r="AE692" i="1"/>
  <c r="AD692" i="1"/>
  <c r="AB692" i="1"/>
  <c r="AA692" i="1"/>
  <c r="K692" i="1"/>
  <c r="AC692" i="1" s="1"/>
  <c r="K691" i="1"/>
  <c r="AJ691" i="1" s="1"/>
  <c r="H691" i="1"/>
  <c r="J691" i="1" s="1"/>
  <c r="AB691" i="1" s="1"/>
  <c r="H690" i="1"/>
  <c r="M690" i="1" s="1"/>
  <c r="H689" i="1"/>
  <c r="L689" i="1" s="1"/>
  <c r="AL688" i="1"/>
  <c r="AK688" i="1"/>
  <c r="AJ688" i="1"/>
  <c r="AI688" i="1"/>
  <c r="AH688" i="1"/>
  <c r="AG688" i="1"/>
  <c r="AE688" i="1"/>
  <c r="AD688" i="1"/>
  <c r="AC688" i="1"/>
  <c r="AB688" i="1"/>
  <c r="AA688" i="1"/>
  <c r="AL687" i="1"/>
  <c r="AK687" i="1"/>
  <c r="AI687" i="1"/>
  <c r="AH687" i="1"/>
  <c r="AG687" i="1"/>
  <c r="AE687" i="1"/>
  <c r="AD687" i="1"/>
  <c r="AB687" i="1"/>
  <c r="AA687" i="1"/>
  <c r="K687" i="1"/>
  <c r="AL686" i="1"/>
  <c r="AK686" i="1"/>
  <c r="AJ686" i="1"/>
  <c r="AI686" i="1"/>
  <c r="AH686" i="1"/>
  <c r="AG686" i="1"/>
  <c r="AE686" i="1"/>
  <c r="AD686" i="1"/>
  <c r="AC686" i="1"/>
  <c r="AB686" i="1"/>
  <c r="AA686" i="1"/>
  <c r="K686" i="1"/>
  <c r="AL685" i="1"/>
  <c r="AK685" i="1"/>
  <c r="AJ685" i="1"/>
  <c r="AI685" i="1"/>
  <c r="AH685" i="1"/>
  <c r="AG685" i="1"/>
  <c r="AE685" i="1"/>
  <c r="AD685" i="1"/>
  <c r="AC685" i="1"/>
  <c r="AB685" i="1"/>
  <c r="AA685" i="1"/>
  <c r="H684" i="1"/>
  <c r="M684" i="1" s="1"/>
  <c r="H683" i="1"/>
  <c r="H682" i="1"/>
  <c r="H681" i="1"/>
  <c r="AL680" i="1"/>
  <c r="AK680" i="1"/>
  <c r="AI680" i="1"/>
  <c r="AH680" i="1"/>
  <c r="AG680" i="1"/>
  <c r="AE680" i="1"/>
  <c r="AD680" i="1"/>
  <c r="AC680" i="1"/>
  <c r="AB680" i="1"/>
  <c r="AA680" i="1"/>
  <c r="K680" i="1"/>
  <c r="AJ680" i="1" s="1"/>
  <c r="H679" i="1"/>
  <c r="AE678" i="1"/>
  <c r="I678" i="1"/>
  <c r="AH678" i="1" s="1"/>
  <c r="H678" i="1"/>
  <c r="H677" i="1"/>
  <c r="AL676" i="1"/>
  <c r="AK676" i="1"/>
  <c r="AJ676" i="1"/>
  <c r="AI676" i="1"/>
  <c r="AH676" i="1"/>
  <c r="AG676" i="1"/>
  <c r="AE676" i="1"/>
  <c r="AD676" i="1"/>
  <c r="AC676" i="1"/>
  <c r="AB676" i="1"/>
  <c r="AA676" i="1"/>
  <c r="AL675" i="1"/>
  <c r="AK675" i="1"/>
  <c r="AI675" i="1"/>
  <c r="AH675" i="1"/>
  <c r="AG675" i="1"/>
  <c r="AE675" i="1"/>
  <c r="AD675" i="1"/>
  <c r="AB675" i="1"/>
  <c r="AA675" i="1"/>
  <c r="K675" i="1"/>
  <c r="H674" i="1"/>
  <c r="AL673" i="1"/>
  <c r="H673" i="1"/>
  <c r="AL672" i="1"/>
  <c r="AK672" i="1"/>
  <c r="AJ672" i="1"/>
  <c r="AI672" i="1"/>
  <c r="AH672" i="1"/>
  <c r="AG672" i="1"/>
  <c r="AE672" i="1"/>
  <c r="AD672" i="1"/>
  <c r="AC672" i="1"/>
  <c r="AB672" i="1"/>
  <c r="AA672" i="1"/>
  <c r="S672" i="1"/>
  <c r="AL671" i="1"/>
  <c r="AK671" i="1"/>
  <c r="AJ671" i="1"/>
  <c r="AI671" i="1"/>
  <c r="AH671" i="1"/>
  <c r="AG671" i="1"/>
  <c r="AE671" i="1"/>
  <c r="AD671" i="1"/>
  <c r="AC671" i="1"/>
  <c r="AB671" i="1"/>
  <c r="AA671" i="1"/>
  <c r="AL670" i="1"/>
  <c r="AD670" i="1"/>
  <c r="K670" i="1"/>
  <c r="AC670" i="1" s="1"/>
  <c r="H670" i="1"/>
  <c r="AJ669" i="1"/>
  <c r="AC669" i="1"/>
  <c r="H669" i="1"/>
  <c r="AL669" i="1" s="1"/>
  <c r="AL668" i="1"/>
  <c r="AK668" i="1"/>
  <c r="AJ668" i="1"/>
  <c r="AI668" i="1"/>
  <c r="AH668" i="1"/>
  <c r="AG668" i="1"/>
  <c r="AE668" i="1"/>
  <c r="AD668" i="1"/>
  <c r="AC668" i="1"/>
  <c r="AB668" i="1"/>
  <c r="AA668" i="1"/>
  <c r="AL667" i="1"/>
  <c r="AK667" i="1"/>
  <c r="AJ667" i="1"/>
  <c r="AI667" i="1"/>
  <c r="AH667" i="1"/>
  <c r="AG667" i="1"/>
  <c r="AE667" i="1"/>
  <c r="AD667" i="1"/>
  <c r="AC667" i="1"/>
  <c r="AB667" i="1"/>
  <c r="AA667" i="1"/>
  <c r="AL666" i="1"/>
  <c r="AK666" i="1"/>
  <c r="AJ666" i="1"/>
  <c r="AI666" i="1"/>
  <c r="AH666" i="1"/>
  <c r="AG666" i="1"/>
  <c r="AE666" i="1"/>
  <c r="AD666" i="1"/>
  <c r="AC666" i="1"/>
  <c r="AB666" i="1"/>
  <c r="AA666" i="1"/>
  <c r="AL665" i="1"/>
  <c r="AK665" i="1"/>
  <c r="AJ665" i="1"/>
  <c r="AI665" i="1"/>
  <c r="AH665" i="1"/>
  <c r="AG665" i="1"/>
  <c r="AE665" i="1"/>
  <c r="AD665" i="1"/>
  <c r="AC665" i="1"/>
  <c r="AB665" i="1"/>
  <c r="AA665" i="1"/>
  <c r="AL664" i="1"/>
  <c r="AK664" i="1"/>
  <c r="AJ664" i="1"/>
  <c r="AI664" i="1"/>
  <c r="AH664" i="1"/>
  <c r="AG664" i="1"/>
  <c r="AE664" i="1"/>
  <c r="AD664" i="1"/>
  <c r="AC664" i="1"/>
  <c r="AB664" i="1"/>
  <c r="AA664" i="1"/>
  <c r="AL663" i="1"/>
  <c r="AK663" i="1"/>
  <c r="AJ663" i="1"/>
  <c r="AI663" i="1"/>
  <c r="AH663" i="1"/>
  <c r="AG663" i="1"/>
  <c r="AE663" i="1"/>
  <c r="AD663" i="1"/>
  <c r="AC663" i="1"/>
  <c r="AB663" i="1"/>
  <c r="AA663" i="1"/>
  <c r="AL662" i="1"/>
  <c r="AK662" i="1"/>
  <c r="AJ662" i="1"/>
  <c r="AI662" i="1"/>
  <c r="AH662" i="1"/>
  <c r="AG662" i="1"/>
  <c r="AE662" i="1"/>
  <c r="AD662" i="1"/>
  <c r="AC662" i="1"/>
  <c r="AB662" i="1"/>
  <c r="AA662" i="1"/>
  <c r="AL661" i="1"/>
  <c r="AK661" i="1"/>
  <c r="AJ661" i="1"/>
  <c r="AI661" i="1"/>
  <c r="AH661" i="1"/>
  <c r="AG661" i="1"/>
  <c r="AE661" i="1"/>
  <c r="AD661" i="1"/>
  <c r="AC661" i="1"/>
  <c r="AB661" i="1"/>
  <c r="AA661" i="1"/>
  <c r="H660" i="1"/>
  <c r="AH660" i="1" s="1"/>
  <c r="H659" i="1"/>
  <c r="AE659" i="1" s="1"/>
  <c r="AL658" i="1"/>
  <c r="AK658" i="1"/>
  <c r="AJ658" i="1"/>
  <c r="AI658" i="1"/>
  <c r="AH658" i="1"/>
  <c r="AG658" i="1"/>
  <c r="AE658" i="1"/>
  <c r="AD658" i="1"/>
  <c r="AC658" i="1"/>
  <c r="AB658" i="1"/>
  <c r="AA658" i="1"/>
  <c r="AL657" i="1"/>
  <c r="AK657" i="1"/>
  <c r="AJ657" i="1"/>
  <c r="AI657" i="1"/>
  <c r="AH657" i="1"/>
  <c r="AG657" i="1"/>
  <c r="AE657" i="1"/>
  <c r="AD657" i="1"/>
  <c r="AC657" i="1"/>
  <c r="AB657" i="1"/>
  <c r="AA657" i="1"/>
  <c r="R657" i="1"/>
  <c r="AL656" i="1"/>
  <c r="AK656" i="1"/>
  <c r="AJ656" i="1"/>
  <c r="AI656" i="1"/>
  <c r="AH656" i="1"/>
  <c r="AG656" i="1"/>
  <c r="AE656" i="1"/>
  <c r="AD656" i="1"/>
  <c r="AC656" i="1"/>
  <c r="AB656" i="1"/>
  <c r="AA656" i="1"/>
  <c r="AL655" i="1"/>
  <c r="AK655" i="1"/>
  <c r="AJ655" i="1"/>
  <c r="AI655" i="1"/>
  <c r="AH655" i="1"/>
  <c r="AG655" i="1"/>
  <c r="AE655" i="1"/>
  <c r="AD655" i="1"/>
  <c r="AC655" i="1"/>
  <c r="AB655" i="1"/>
  <c r="AA655" i="1"/>
  <c r="X655" i="1"/>
  <c r="J654" i="1"/>
  <c r="I654" i="1"/>
  <c r="H654" i="1"/>
  <c r="AL654" i="1" s="1"/>
  <c r="AL653" i="1"/>
  <c r="AK653" i="1"/>
  <c r="AJ653" i="1"/>
  <c r="AI653" i="1"/>
  <c r="AH653" i="1"/>
  <c r="AG653" i="1"/>
  <c r="AE653" i="1"/>
  <c r="AD653" i="1"/>
  <c r="AC653" i="1"/>
  <c r="AB653" i="1"/>
  <c r="AA653" i="1"/>
  <c r="AL652" i="1"/>
  <c r="AK652" i="1"/>
  <c r="AJ652" i="1"/>
  <c r="AI652" i="1"/>
  <c r="AH652" i="1"/>
  <c r="AG652" i="1"/>
  <c r="AE652" i="1"/>
  <c r="AD652" i="1"/>
  <c r="AC652" i="1"/>
  <c r="AB652" i="1"/>
  <c r="AA652" i="1"/>
  <c r="AL651" i="1"/>
  <c r="AK651" i="1"/>
  <c r="AJ651" i="1"/>
  <c r="AI651" i="1"/>
  <c r="AH651" i="1"/>
  <c r="AG651" i="1"/>
  <c r="AE651" i="1"/>
  <c r="AD651" i="1"/>
  <c r="AC651" i="1"/>
  <c r="AB651" i="1"/>
  <c r="AA651" i="1"/>
  <c r="AL650" i="1"/>
  <c r="AK650" i="1"/>
  <c r="AJ650" i="1"/>
  <c r="AI650" i="1"/>
  <c r="AH650" i="1"/>
  <c r="AG650" i="1"/>
  <c r="AE650" i="1"/>
  <c r="AD650" i="1"/>
  <c r="AC650" i="1"/>
  <c r="AB650" i="1"/>
  <c r="AA650" i="1"/>
  <c r="AL649" i="1"/>
  <c r="AK649" i="1"/>
  <c r="AI649" i="1"/>
  <c r="AH649" i="1"/>
  <c r="AG649" i="1"/>
  <c r="AE649" i="1"/>
  <c r="AD649" i="1"/>
  <c r="AB649" i="1"/>
  <c r="AA649" i="1"/>
  <c r="K649" i="1"/>
  <c r="I648" i="1"/>
  <c r="H648" i="1"/>
  <c r="AL647" i="1"/>
  <c r="AK647" i="1"/>
  <c r="AJ647" i="1"/>
  <c r="AI647" i="1"/>
  <c r="AH647" i="1"/>
  <c r="AG647" i="1"/>
  <c r="AE647" i="1"/>
  <c r="AD647" i="1"/>
  <c r="AC647" i="1"/>
  <c r="AB647" i="1"/>
  <c r="AA647" i="1"/>
  <c r="AL646" i="1"/>
  <c r="AD646" i="1"/>
  <c r="K646" i="1"/>
  <c r="AC646" i="1" s="1"/>
  <c r="J646" i="1"/>
  <c r="AB646" i="1" s="1"/>
  <c r="H646" i="1"/>
  <c r="I646" i="1" s="1"/>
  <c r="AH646" i="1" s="1"/>
  <c r="AL645" i="1"/>
  <c r="AK645" i="1"/>
  <c r="AJ645" i="1"/>
  <c r="AI645" i="1"/>
  <c r="AH645" i="1"/>
  <c r="AG645" i="1"/>
  <c r="AE645" i="1"/>
  <c r="AD645" i="1"/>
  <c r="AC645" i="1"/>
  <c r="AB645" i="1"/>
  <c r="AA645" i="1"/>
  <c r="H644" i="1"/>
  <c r="AL643" i="1"/>
  <c r="AK643" i="1"/>
  <c r="AJ643" i="1"/>
  <c r="AI643" i="1"/>
  <c r="AH643" i="1"/>
  <c r="AG643" i="1"/>
  <c r="AE643" i="1"/>
  <c r="AD643" i="1"/>
  <c r="AC643" i="1"/>
  <c r="AB643" i="1"/>
  <c r="AA643" i="1"/>
  <c r="AL642" i="1"/>
  <c r="AK642" i="1"/>
  <c r="AJ642" i="1"/>
  <c r="AI642" i="1"/>
  <c r="AH642" i="1"/>
  <c r="AG642" i="1"/>
  <c r="AE642" i="1"/>
  <c r="AD642" i="1"/>
  <c r="AC642" i="1"/>
  <c r="AB642" i="1"/>
  <c r="AA642" i="1"/>
  <c r="M641" i="1"/>
  <c r="K641" i="1"/>
  <c r="J641" i="1"/>
  <c r="I641" i="1"/>
  <c r="H641" i="1"/>
  <c r="H640" i="1"/>
  <c r="H639" i="1"/>
  <c r="H638" i="1"/>
  <c r="AL637" i="1"/>
  <c r="AK637" i="1"/>
  <c r="AJ637" i="1"/>
  <c r="AI637" i="1"/>
  <c r="AH637" i="1"/>
  <c r="AG637" i="1"/>
  <c r="AE637" i="1"/>
  <c r="AD637" i="1"/>
  <c r="AC637" i="1"/>
  <c r="AB637" i="1"/>
  <c r="AA637" i="1"/>
  <c r="H636" i="1"/>
  <c r="H635" i="1"/>
  <c r="H634" i="1"/>
  <c r="AD634" i="1" s="1"/>
  <c r="H633" i="1"/>
  <c r="AK632" i="1"/>
  <c r="AE632" i="1"/>
  <c r="K632" i="1"/>
  <c r="J632" i="1"/>
  <c r="AB632" i="1" s="1"/>
  <c r="I632" i="1"/>
  <c r="H632" i="1"/>
  <c r="M632" i="1" s="1"/>
  <c r="AL631" i="1"/>
  <c r="AK631" i="1"/>
  <c r="AJ631" i="1"/>
  <c r="AI631" i="1"/>
  <c r="AH631" i="1"/>
  <c r="AG631" i="1"/>
  <c r="AE631" i="1"/>
  <c r="AD631" i="1"/>
  <c r="AC631" i="1"/>
  <c r="AB631" i="1"/>
  <c r="AA631" i="1"/>
  <c r="H630" i="1"/>
  <c r="AL629" i="1"/>
  <c r="AK629" i="1"/>
  <c r="AJ629" i="1"/>
  <c r="AI629" i="1"/>
  <c r="AH629" i="1"/>
  <c r="AG629" i="1"/>
  <c r="AE629" i="1"/>
  <c r="AD629" i="1"/>
  <c r="AC629" i="1"/>
  <c r="AB629" i="1"/>
  <c r="AA629" i="1"/>
  <c r="AL628" i="1"/>
  <c r="AK628" i="1"/>
  <c r="AJ628" i="1"/>
  <c r="AI628" i="1"/>
  <c r="AH628" i="1"/>
  <c r="AG628" i="1"/>
  <c r="AE628" i="1"/>
  <c r="AD628" i="1"/>
  <c r="AC628" i="1"/>
  <c r="AB628" i="1"/>
  <c r="AA628" i="1"/>
  <c r="AL627" i="1"/>
  <c r="AD627" i="1"/>
  <c r="J627" i="1"/>
  <c r="I627" i="1"/>
  <c r="H627" i="1"/>
  <c r="AE627" i="1" s="1"/>
  <c r="H626" i="1"/>
  <c r="M625" i="1"/>
  <c r="H625" i="1"/>
  <c r="AK625" i="1" s="1"/>
  <c r="H624" i="1"/>
  <c r="AL623" i="1"/>
  <c r="AK623" i="1"/>
  <c r="AJ623" i="1"/>
  <c r="AI623" i="1"/>
  <c r="AH623" i="1"/>
  <c r="AG623" i="1"/>
  <c r="AE623" i="1"/>
  <c r="AD623" i="1"/>
  <c r="AC623" i="1"/>
  <c r="AB623" i="1"/>
  <c r="AA623" i="1"/>
  <c r="AL622" i="1"/>
  <c r="AK622" i="1"/>
  <c r="AJ622" i="1"/>
  <c r="AI622" i="1"/>
  <c r="AH622" i="1"/>
  <c r="AG622" i="1"/>
  <c r="AE622" i="1"/>
  <c r="AD622" i="1"/>
  <c r="AC622" i="1"/>
  <c r="AB622" i="1"/>
  <c r="AA622" i="1"/>
  <c r="AK621" i="1"/>
  <c r="AE621" i="1"/>
  <c r="M621" i="1"/>
  <c r="K621" i="1"/>
  <c r="J621" i="1"/>
  <c r="AB621" i="1" s="1"/>
  <c r="I621" i="1"/>
  <c r="AH621" i="1" s="1"/>
  <c r="H621" i="1"/>
  <c r="AK620" i="1"/>
  <c r="M620" i="1"/>
  <c r="K620" i="1"/>
  <c r="H620" i="1"/>
  <c r="AE620" i="1" s="1"/>
  <c r="AL619" i="1"/>
  <c r="AK619" i="1"/>
  <c r="AJ619" i="1"/>
  <c r="AI619" i="1"/>
  <c r="AH619" i="1"/>
  <c r="AG619" i="1"/>
  <c r="AE619" i="1"/>
  <c r="AD619" i="1"/>
  <c r="AC619" i="1"/>
  <c r="AB619" i="1"/>
  <c r="AA619" i="1"/>
  <c r="AL618" i="1"/>
  <c r="AK618" i="1"/>
  <c r="AJ618" i="1"/>
  <c r="AI618" i="1"/>
  <c r="AH618" i="1"/>
  <c r="AG618" i="1"/>
  <c r="AE618" i="1"/>
  <c r="AD618" i="1"/>
  <c r="AC618" i="1"/>
  <c r="AB618" i="1"/>
  <c r="AA618" i="1"/>
  <c r="H617" i="1"/>
  <c r="H616" i="1"/>
  <c r="H615" i="1"/>
  <c r="AL614" i="1"/>
  <c r="AK614" i="1"/>
  <c r="AJ614" i="1"/>
  <c r="AI614" i="1"/>
  <c r="AH614" i="1"/>
  <c r="AG614" i="1"/>
  <c r="AE614" i="1"/>
  <c r="AD614" i="1"/>
  <c r="AC614" i="1"/>
  <c r="AB614" i="1"/>
  <c r="AA614" i="1"/>
  <c r="H613" i="1"/>
  <c r="AH613" i="1" s="1"/>
  <c r="H612" i="1"/>
  <c r="H611" i="1"/>
  <c r="M611" i="1" s="1"/>
  <c r="H610" i="1"/>
  <c r="I610" i="1" s="1"/>
  <c r="H609" i="1"/>
  <c r="H608" i="1"/>
  <c r="H607" i="1"/>
  <c r="I607" i="1" s="1"/>
  <c r="H606" i="1"/>
  <c r="H605" i="1"/>
  <c r="J605" i="1" s="1"/>
  <c r="AB605" i="1" s="1"/>
  <c r="H604" i="1"/>
  <c r="AL603" i="1"/>
  <c r="AK603" i="1"/>
  <c r="AJ603" i="1"/>
  <c r="AI603" i="1"/>
  <c r="AH603" i="1"/>
  <c r="AG603" i="1"/>
  <c r="AE603" i="1"/>
  <c r="AD603" i="1"/>
  <c r="AC603" i="1"/>
  <c r="AB603" i="1"/>
  <c r="AA603" i="1"/>
  <c r="AL602" i="1"/>
  <c r="AK602" i="1"/>
  <c r="AJ602" i="1"/>
  <c r="AI602" i="1"/>
  <c r="AH602" i="1"/>
  <c r="AG602" i="1"/>
  <c r="AE602" i="1"/>
  <c r="AD602" i="1"/>
  <c r="AC602" i="1"/>
  <c r="AB602" i="1"/>
  <c r="AA602" i="1"/>
  <c r="H601" i="1"/>
  <c r="AK601" i="1" s="1"/>
  <c r="H600" i="1"/>
  <c r="K600" i="1" s="1"/>
  <c r="AC600" i="1" s="1"/>
  <c r="H599" i="1"/>
  <c r="AK598" i="1"/>
  <c r="M598" i="1"/>
  <c r="K598" i="1"/>
  <c r="AC598" i="1" s="1"/>
  <c r="H598" i="1"/>
  <c r="J598" i="1" s="1"/>
  <c r="AI598" i="1" s="1"/>
  <c r="AL597" i="1"/>
  <c r="AK597" i="1"/>
  <c r="AJ597" i="1"/>
  <c r="AI597" i="1"/>
  <c r="AH597" i="1"/>
  <c r="AG597" i="1"/>
  <c r="AE597" i="1"/>
  <c r="AD597" i="1"/>
  <c r="AC597" i="1"/>
  <c r="AB597" i="1"/>
  <c r="AA597" i="1"/>
  <c r="H596" i="1"/>
  <c r="AK596" i="1" s="1"/>
  <c r="AL595" i="1"/>
  <c r="AK595" i="1"/>
  <c r="AJ595" i="1"/>
  <c r="AI595" i="1"/>
  <c r="AH595" i="1"/>
  <c r="AG595" i="1"/>
  <c r="AE595" i="1"/>
  <c r="AD595" i="1"/>
  <c r="AC595" i="1"/>
  <c r="AB595" i="1"/>
  <c r="AA595" i="1"/>
  <c r="H594" i="1"/>
  <c r="H593" i="1"/>
  <c r="K593" i="1" s="1"/>
  <c r="AC593" i="1" s="1"/>
  <c r="H592" i="1"/>
  <c r="H591" i="1"/>
  <c r="AD591" i="1" s="1"/>
  <c r="AL590" i="1"/>
  <c r="AK590" i="1"/>
  <c r="AJ590" i="1"/>
  <c r="AI590" i="1"/>
  <c r="AH590" i="1"/>
  <c r="AG590" i="1"/>
  <c r="AE590" i="1"/>
  <c r="AD590" i="1"/>
  <c r="AC590" i="1"/>
  <c r="AB590" i="1"/>
  <c r="AA590" i="1"/>
  <c r="H589" i="1"/>
  <c r="K589" i="1" s="1"/>
  <c r="AJ589" i="1" s="1"/>
  <c r="H588" i="1"/>
  <c r="AL587" i="1"/>
  <c r="AK587" i="1"/>
  <c r="AJ587" i="1"/>
  <c r="AI587" i="1"/>
  <c r="AH587" i="1"/>
  <c r="AG587" i="1"/>
  <c r="AE587" i="1"/>
  <c r="AD587" i="1"/>
  <c r="AC587" i="1"/>
  <c r="AB587" i="1"/>
  <c r="AA587" i="1"/>
  <c r="H586" i="1"/>
  <c r="L586" i="1" s="1"/>
  <c r="H585" i="1"/>
  <c r="AL584" i="1"/>
  <c r="AK584" i="1"/>
  <c r="AJ584" i="1"/>
  <c r="AI584" i="1"/>
  <c r="AH584" i="1"/>
  <c r="AG584" i="1"/>
  <c r="AE584" i="1"/>
  <c r="AD584" i="1"/>
  <c r="AC584" i="1"/>
  <c r="AB584" i="1"/>
  <c r="AA584" i="1"/>
  <c r="AL583" i="1"/>
  <c r="AK583" i="1"/>
  <c r="AJ583" i="1"/>
  <c r="AI583" i="1"/>
  <c r="AH583" i="1"/>
  <c r="AG583" i="1"/>
  <c r="AE583" i="1"/>
  <c r="AD583" i="1"/>
  <c r="AC583" i="1"/>
  <c r="AB583" i="1"/>
  <c r="AA583" i="1"/>
  <c r="AL582" i="1"/>
  <c r="AK582" i="1"/>
  <c r="AJ582" i="1"/>
  <c r="AI582" i="1"/>
  <c r="AH582" i="1"/>
  <c r="AG582" i="1"/>
  <c r="AE582" i="1"/>
  <c r="AD582" i="1"/>
  <c r="AC582" i="1"/>
  <c r="AB582" i="1"/>
  <c r="AA582" i="1"/>
  <c r="AL581" i="1"/>
  <c r="AK581" i="1"/>
  <c r="AJ581" i="1"/>
  <c r="AI581" i="1"/>
  <c r="AH581" i="1"/>
  <c r="AG581" i="1"/>
  <c r="AE581" i="1"/>
  <c r="AD581" i="1"/>
  <c r="AC581" i="1"/>
  <c r="AB581" i="1"/>
  <c r="AA581" i="1"/>
  <c r="AG580" i="1"/>
  <c r="AD580" i="1"/>
  <c r="H580" i="1"/>
  <c r="AK580" i="1" s="1"/>
  <c r="AL579" i="1"/>
  <c r="AK579" i="1"/>
  <c r="AJ579" i="1"/>
  <c r="AI579" i="1"/>
  <c r="AH579" i="1"/>
  <c r="AG579" i="1"/>
  <c r="AE579" i="1"/>
  <c r="AD579" i="1"/>
  <c r="AC579" i="1"/>
  <c r="AB579" i="1"/>
  <c r="AA579" i="1"/>
  <c r="AL578" i="1"/>
  <c r="AK578" i="1"/>
  <c r="AJ578" i="1"/>
  <c r="AI578" i="1"/>
  <c r="AH578" i="1"/>
  <c r="AG578" i="1"/>
  <c r="AE578" i="1"/>
  <c r="AD578" i="1"/>
  <c r="AC578" i="1"/>
  <c r="AB578" i="1"/>
  <c r="AA578" i="1"/>
  <c r="AL577" i="1"/>
  <c r="AK577" i="1"/>
  <c r="AJ577" i="1"/>
  <c r="AI577" i="1"/>
  <c r="AH577" i="1"/>
  <c r="AG577" i="1"/>
  <c r="AE577" i="1"/>
  <c r="AD577" i="1"/>
  <c r="AC577" i="1"/>
  <c r="AB577" i="1"/>
  <c r="AA577" i="1"/>
  <c r="H576" i="1"/>
  <c r="K576" i="1" s="1"/>
  <c r="H575" i="1"/>
  <c r="AD575" i="1" s="1"/>
  <c r="H574" i="1"/>
  <c r="H573" i="1"/>
  <c r="H572" i="1"/>
  <c r="AJ572" i="1" s="1"/>
  <c r="AL571" i="1"/>
  <c r="AK571" i="1"/>
  <c r="AJ571" i="1"/>
  <c r="AI571" i="1"/>
  <c r="AH571" i="1"/>
  <c r="AG571" i="1"/>
  <c r="AE571" i="1"/>
  <c r="AD571" i="1"/>
  <c r="AC571" i="1"/>
  <c r="AB571" i="1"/>
  <c r="AA571" i="1"/>
  <c r="I570" i="1"/>
  <c r="H570" i="1"/>
  <c r="H569" i="1"/>
  <c r="AL568" i="1"/>
  <c r="AK568" i="1"/>
  <c r="AJ568" i="1"/>
  <c r="AI568" i="1"/>
  <c r="AH568" i="1"/>
  <c r="AG568" i="1"/>
  <c r="AE568" i="1"/>
  <c r="AD568" i="1"/>
  <c r="AC568" i="1"/>
  <c r="AB568" i="1"/>
  <c r="AA568" i="1"/>
  <c r="H567" i="1"/>
  <c r="AL566" i="1"/>
  <c r="AK566" i="1"/>
  <c r="AJ566" i="1"/>
  <c r="AI566" i="1"/>
  <c r="AH566" i="1"/>
  <c r="AG566" i="1"/>
  <c r="AE566" i="1"/>
  <c r="AD566" i="1"/>
  <c r="AC566" i="1"/>
  <c r="AB566" i="1"/>
  <c r="AA566" i="1"/>
  <c r="H565" i="1"/>
  <c r="K565" i="1" s="1"/>
  <c r="AJ565" i="1" s="1"/>
  <c r="H564" i="1"/>
  <c r="M564" i="1" s="1"/>
  <c r="H563" i="1"/>
  <c r="AA563" i="1" s="1"/>
  <c r="AL562" i="1"/>
  <c r="AK562" i="1"/>
  <c r="AJ562" i="1"/>
  <c r="AI562" i="1"/>
  <c r="AH562" i="1"/>
  <c r="AG562" i="1"/>
  <c r="AE562" i="1"/>
  <c r="AD562" i="1"/>
  <c r="AC562" i="1"/>
  <c r="AB562" i="1"/>
  <c r="AA562" i="1"/>
  <c r="AL561" i="1"/>
  <c r="AK561" i="1"/>
  <c r="AJ561" i="1"/>
  <c r="AE561" i="1"/>
  <c r="AD561" i="1"/>
  <c r="AC561" i="1"/>
  <c r="J561" i="1"/>
  <c r="AB561" i="1" s="1"/>
  <c r="I561" i="1"/>
  <c r="H560" i="1"/>
  <c r="AL559" i="1"/>
  <c r="AK559" i="1"/>
  <c r="AJ559" i="1"/>
  <c r="AE559" i="1"/>
  <c r="AD559" i="1"/>
  <c r="AC559" i="1"/>
  <c r="J559" i="1"/>
  <c r="I559" i="1"/>
  <c r="AA559" i="1" s="1"/>
  <c r="AL558" i="1"/>
  <c r="AK558" i="1"/>
  <c r="AJ558" i="1"/>
  <c r="AI558" i="1"/>
  <c r="AH558" i="1"/>
  <c r="AG558" i="1"/>
  <c r="AE558" i="1"/>
  <c r="AD558" i="1"/>
  <c r="AC558" i="1"/>
  <c r="AB558" i="1"/>
  <c r="AA558" i="1"/>
  <c r="AL557" i="1"/>
  <c r="AK557" i="1"/>
  <c r="AJ557" i="1"/>
  <c r="AI557" i="1"/>
  <c r="AH557" i="1"/>
  <c r="AG557" i="1"/>
  <c r="AE557" i="1"/>
  <c r="AD557" i="1"/>
  <c r="AC557" i="1"/>
  <c r="AB557" i="1"/>
  <c r="AA557" i="1"/>
  <c r="AL556" i="1"/>
  <c r="AK556" i="1"/>
  <c r="AJ556" i="1"/>
  <c r="AI556" i="1"/>
  <c r="AH556" i="1"/>
  <c r="AG556" i="1"/>
  <c r="AE556" i="1"/>
  <c r="AD556" i="1"/>
  <c r="AC556" i="1"/>
  <c r="AB556" i="1"/>
  <c r="AA556" i="1"/>
  <c r="AL555" i="1"/>
  <c r="AK555" i="1"/>
  <c r="AJ555" i="1"/>
  <c r="AH555" i="1"/>
  <c r="AE555" i="1"/>
  <c r="AD555" i="1"/>
  <c r="AC555" i="1"/>
  <c r="AB555" i="1"/>
  <c r="AA555" i="1"/>
  <c r="J555" i="1"/>
  <c r="AI555" i="1" s="1"/>
  <c r="I555" i="1"/>
  <c r="H554" i="1"/>
  <c r="AE554" i="1" s="1"/>
  <c r="AL553" i="1"/>
  <c r="AK553" i="1"/>
  <c r="AJ553" i="1"/>
  <c r="AI553" i="1"/>
  <c r="AH553" i="1"/>
  <c r="AG553" i="1"/>
  <c r="AE553" i="1"/>
  <c r="AD553" i="1"/>
  <c r="AC553" i="1"/>
  <c r="AB553" i="1"/>
  <c r="AA553" i="1"/>
  <c r="AL552" i="1"/>
  <c r="AK552" i="1"/>
  <c r="AJ552" i="1"/>
  <c r="AI552" i="1"/>
  <c r="AH552" i="1"/>
  <c r="AG552" i="1"/>
  <c r="AE552" i="1"/>
  <c r="AD552" i="1"/>
  <c r="AC552" i="1"/>
  <c r="AB552" i="1"/>
  <c r="AA552" i="1"/>
  <c r="AL551" i="1"/>
  <c r="AK551" i="1"/>
  <c r="AJ551" i="1"/>
  <c r="AI551" i="1"/>
  <c r="AH551" i="1"/>
  <c r="AG551" i="1"/>
  <c r="AE551" i="1"/>
  <c r="AD551" i="1"/>
  <c r="AC551" i="1"/>
  <c r="AB551" i="1"/>
  <c r="AA551" i="1"/>
  <c r="N551" i="1"/>
  <c r="AL550" i="1"/>
  <c r="AK550" i="1"/>
  <c r="AJ550" i="1"/>
  <c r="AI550" i="1"/>
  <c r="AH550" i="1"/>
  <c r="AG550" i="1"/>
  <c r="AE550" i="1"/>
  <c r="AD550" i="1"/>
  <c r="AC550" i="1"/>
  <c r="AB550" i="1"/>
  <c r="AA550" i="1"/>
  <c r="AL549" i="1"/>
  <c r="AK549" i="1"/>
  <c r="AJ549" i="1"/>
  <c r="AI549" i="1"/>
  <c r="AH549" i="1"/>
  <c r="AG549" i="1"/>
  <c r="AE549" i="1"/>
  <c r="AD549" i="1"/>
  <c r="AC549" i="1"/>
  <c r="AB549" i="1"/>
  <c r="AA549" i="1"/>
  <c r="AL548" i="1"/>
  <c r="AK548" i="1"/>
  <c r="AJ548" i="1"/>
  <c r="AI548" i="1"/>
  <c r="AH548" i="1"/>
  <c r="AG548" i="1"/>
  <c r="AE548" i="1"/>
  <c r="AD548" i="1"/>
  <c r="AC548" i="1"/>
  <c r="AB548" i="1"/>
  <c r="AA548" i="1"/>
  <c r="AL547" i="1"/>
  <c r="AK547" i="1"/>
  <c r="AJ547" i="1"/>
  <c r="AI547" i="1"/>
  <c r="AH547" i="1"/>
  <c r="AG547" i="1"/>
  <c r="AE547" i="1"/>
  <c r="AD547" i="1"/>
  <c r="AC547" i="1"/>
  <c r="AB547" i="1"/>
  <c r="AA547" i="1"/>
  <c r="AL546" i="1"/>
  <c r="AK546" i="1"/>
  <c r="AJ546" i="1"/>
  <c r="AI546" i="1"/>
  <c r="AH546" i="1"/>
  <c r="AG546" i="1"/>
  <c r="AE546" i="1"/>
  <c r="AD546" i="1"/>
  <c r="AC546" i="1"/>
  <c r="AB546" i="1"/>
  <c r="AA546" i="1"/>
  <c r="AL545" i="1"/>
  <c r="AK545" i="1"/>
  <c r="AJ545" i="1"/>
  <c r="AI545" i="1"/>
  <c r="AH545" i="1"/>
  <c r="AG545" i="1"/>
  <c r="AE545" i="1"/>
  <c r="AD545" i="1"/>
  <c r="AC545" i="1"/>
  <c r="AB545" i="1"/>
  <c r="AA545" i="1"/>
  <c r="AL544" i="1"/>
  <c r="AK544" i="1"/>
  <c r="AJ544" i="1"/>
  <c r="AI544" i="1"/>
  <c r="AH544" i="1"/>
  <c r="AG544" i="1"/>
  <c r="AE544" i="1"/>
  <c r="AD544" i="1"/>
  <c r="AC544" i="1"/>
  <c r="AB544" i="1"/>
  <c r="AA544" i="1"/>
  <c r="AL543" i="1"/>
  <c r="AK543" i="1"/>
  <c r="AJ543" i="1"/>
  <c r="AI543" i="1"/>
  <c r="AH543" i="1"/>
  <c r="AG543" i="1"/>
  <c r="AE543" i="1"/>
  <c r="AD543" i="1"/>
  <c r="AC543" i="1"/>
  <c r="AB543" i="1"/>
  <c r="AA543" i="1"/>
  <c r="AL542" i="1"/>
  <c r="AK542" i="1"/>
  <c r="AJ542" i="1"/>
  <c r="AI542" i="1"/>
  <c r="AH542" i="1"/>
  <c r="AG542" i="1"/>
  <c r="AE542" i="1"/>
  <c r="AD542" i="1"/>
  <c r="AC542" i="1"/>
  <c r="AB542" i="1"/>
  <c r="AA542" i="1"/>
  <c r="AL541" i="1"/>
  <c r="AK541" i="1"/>
  <c r="AJ541" i="1"/>
  <c r="AI541" i="1"/>
  <c r="AH541" i="1"/>
  <c r="AG541" i="1"/>
  <c r="AE541" i="1"/>
  <c r="AD541" i="1"/>
  <c r="AC541" i="1"/>
  <c r="AB541" i="1"/>
  <c r="AA541" i="1"/>
  <c r="AL540" i="1"/>
  <c r="AK540" i="1"/>
  <c r="AJ540" i="1"/>
  <c r="AI540" i="1"/>
  <c r="AH540" i="1"/>
  <c r="AG540" i="1"/>
  <c r="AE540" i="1"/>
  <c r="AD540" i="1"/>
  <c r="AC540" i="1"/>
  <c r="AB540" i="1"/>
  <c r="AA540" i="1"/>
  <c r="AL539" i="1"/>
  <c r="AK539" i="1"/>
  <c r="AJ539" i="1"/>
  <c r="AE539" i="1"/>
  <c r="AD539" i="1"/>
  <c r="AC539" i="1"/>
  <c r="J539" i="1"/>
  <c r="AB539" i="1" s="1"/>
  <c r="I539" i="1"/>
  <c r="AA539" i="1" s="1"/>
  <c r="H538" i="1"/>
  <c r="AD538" i="1" s="1"/>
  <c r="AL537" i="1"/>
  <c r="AK537" i="1"/>
  <c r="AJ537" i="1"/>
  <c r="AI537" i="1"/>
  <c r="AH537" i="1"/>
  <c r="AG537" i="1"/>
  <c r="AE537" i="1"/>
  <c r="AD537" i="1"/>
  <c r="AC537" i="1"/>
  <c r="AB537" i="1"/>
  <c r="AA537" i="1"/>
  <c r="AL536" i="1"/>
  <c r="AK536" i="1"/>
  <c r="AJ536" i="1"/>
  <c r="AI536" i="1"/>
  <c r="AH536" i="1"/>
  <c r="AG536" i="1"/>
  <c r="AE536" i="1"/>
  <c r="AD536" i="1"/>
  <c r="AC536" i="1"/>
  <c r="AB536" i="1"/>
  <c r="AA536" i="1"/>
  <c r="H535" i="1"/>
  <c r="AD535" i="1" s="1"/>
  <c r="AL534" i="1"/>
  <c r="AK534" i="1"/>
  <c r="AJ534" i="1"/>
  <c r="AI534" i="1"/>
  <c r="AH534" i="1"/>
  <c r="AG534" i="1"/>
  <c r="AE534" i="1"/>
  <c r="AD534" i="1"/>
  <c r="AC534" i="1"/>
  <c r="AB534" i="1"/>
  <c r="AA534" i="1"/>
  <c r="AD533" i="1"/>
  <c r="K533" i="1"/>
  <c r="AC533" i="1" s="1"/>
  <c r="H533" i="1"/>
  <c r="AE533" i="1" s="1"/>
  <c r="AL532" i="1"/>
  <c r="AK532" i="1"/>
  <c r="AJ532" i="1"/>
  <c r="AI532" i="1"/>
  <c r="AH532" i="1"/>
  <c r="AG532" i="1"/>
  <c r="AE532" i="1"/>
  <c r="AD532" i="1"/>
  <c r="AC532" i="1"/>
  <c r="AB532" i="1"/>
  <c r="AA532" i="1"/>
  <c r="AL531" i="1"/>
  <c r="AK531" i="1"/>
  <c r="AJ531" i="1"/>
  <c r="AI531" i="1"/>
  <c r="AH531" i="1"/>
  <c r="AG531" i="1"/>
  <c r="AE531" i="1"/>
  <c r="AD531" i="1"/>
  <c r="AC531" i="1"/>
  <c r="AB531" i="1"/>
  <c r="AA531" i="1"/>
  <c r="AL530" i="1"/>
  <c r="AK530" i="1"/>
  <c r="AJ530" i="1"/>
  <c r="AI530" i="1"/>
  <c r="AH530" i="1"/>
  <c r="AG530" i="1"/>
  <c r="AE530" i="1"/>
  <c r="AD530" i="1"/>
  <c r="AC530" i="1"/>
  <c r="AB530" i="1"/>
  <c r="AA530" i="1"/>
  <c r="H529" i="1"/>
  <c r="I529" i="1" s="1"/>
  <c r="AL528" i="1"/>
  <c r="AK528" i="1"/>
  <c r="AJ528" i="1"/>
  <c r="AI528" i="1"/>
  <c r="AH528" i="1"/>
  <c r="AG528" i="1"/>
  <c r="AE528" i="1"/>
  <c r="AD528" i="1"/>
  <c r="AC528" i="1"/>
  <c r="AB528" i="1"/>
  <c r="AA528" i="1"/>
  <c r="AL527" i="1"/>
  <c r="AK527" i="1"/>
  <c r="AJ527" i="1"/>
  <c r="AI527" i="1"/>
  <c r="AH527" i="1"/>
  <c r="AG527" i="1"/>
  <c r="AE527" i="1"/>
  <c r="AD527" i="1"/>
  <c r="AC527" i="1"/>
  <c r="AB527" i="1"/>
  <c r="AA527" i="1"/>
  <c r="AL526" i="1"/>
  <c r="AK526" i="1"/>
  <c r="AJ526" i="1"/>
  <c r="AI526" i="1"/>
  <c r="AH526" i="1"/>
  <c r="AG526" i="1"/>
  <c r="AE526" i="1"/>
  <c r="AD526" i="1"/>
  <c r="AC526" i="1"/>
  <c r="AB526" i="1"/>
  <c r="AA526" i="1"/>
  <c r="AL525" i="1"/>
  <c r="AK525" i="1"/>
  <c r="AJ525" i="1"/>
  <c r="AI525" i="1"/>
  <c r="AH525" i="1"/>
  <c r="AG525" i="1"/>
  <c r="AE525" i="1"/>
  <c r="AD525" i="1"/>
  <c r="AC525" i="1"/>
  <c r="AB525" i="1"/>
  <c r="AA525" i="1"/>
  <c r="AL524" i="1"/>
  <c r="AK524" i="1"/>
  <c r="AJ524" i="1"/>
  <c r="AI524" i="1"/>
  <c r="AH524" i="1"/>
  <c r="AG524" i="1"/>
  <c r="AE524" i="1"/>
  <c r="AD524" i="1"/>
  <c r="AC524" i="1"/>
  <c r="AB524" i="1"/>
  <c r="AA524" i="1"/>
  <c r="AL523" i="1"/>
  <c r="AK523" i="1"/>
  <c r="AJ523" i="1"/>
  <c r="AI523" i="1"/>
  <c r="AH523" i="1"/>
  <c r="AG523" i="1"/>
  <c r="AE523" i="1"/>
  <c r="AD523" i="1"/>
  <c r="AC523" i="1"/>
  <c r="AB523" i="1"/>
  <c r="AA523" i="1"/>
  <c r="AE522" i="1"/>
  <c r="AD522" i="1"/>
  <c r="H522" i="1"/>
  <c r="H521" i="1"/>
  <c r="AD521" i="1" s="1"/>
  <c r="AL520" i="1"/>
  <c r="AK520" i="1"/>
  <c r="AJ520" i="1"/>
  <c r="AI520" i="1"/>
  <c r="AH520" i="1"/>
  <c r="AG520" i="1"/>
  <c r="AE520" i="1"/>
  <c r="AD520" i="1"/>
  <c r="AC520" i="1"/>
  <c r="AB520" i="1"/>
  <c r="AA520" i="1"/>
  <c r="AL519" i="1"/>
  <c r="AK519" i="1"/>
  <c r="AJ519" i="1"/>
  <c r="AI519" i="1"/>
  <c r="AH519" i="1"/>
  <c r="AG519" i="1"/>
  <c r="AE519" i="1"/>
  <c r="AD519" i="1"/>
  <c r="AC519" i="1"/>
  <c r="AB519" i="1"/>
  <c r="AA519" i="1"/>
  <c r="AL518" i="1"/>
  <c r="AK518" i="1"/>
  <c r="AJ518" i="1"/>
  <c r="AI518" i="1"/>
  <c r="AH518" i="1"/>
  <c r="AG518" i="1"/>
  <c r="AE518" i="1"/>
  <c r="AD518" i="1"/>
  <c r="AC518" i="1"/>
  <c r="AB518" i="1"/>
  <c r="AA518" i="1"/>
  <c r="AL517" i="1"/>
  <c r="AK517" i="1"/>
  <c r="AJ517" i="1"/>
  <c r="AI517" i="1"/>
  <c r="AH517" i="1"/>
  <c r="AG517" i="1"/>
  <c r="AE517" i="1"/>
  <c r="AD517" i="1"/>
  <c r="AC517" i="1"/>
  <c r="AB517" i="1"/>
  <c r="AA517" i="1"/>
  <c r="AL516" i="1"/>
  <c r="AK516" i="1"/>
  <c r="AJ516" i="1"/>
  <c r="AI516" i="1"/>
  <c r="AH516" i="1"/>
  <c r="AG516" i="1"/>
  <c r="AE516" i="1"/>
  <c r="AD516" i="1"/>
  <c r="AC516" i="1"/>
  <c r="AB516" i="1"/>
  <c r="AA516" i="1"/>
  <c r="AL515" i="1"/>
  <c r="AK515" i="1"/>
  <c r="AJ515" i="1"/>
  <c r="AI515" i="1"/>
  <c r="AH515" i="1"/>
  <c r="AG515" i="1"/>
  <c r="AE515" i="1"/>
  <c r="AD515" i="1"/>
  <c r="AC515" i="1"/>
  <c r="AB515" i="1"/>
  <c r="AA515" i="1"/>
  <c r="H514" i="1"/>
  <c r="I514" i="1" s="1"/>
  <c r="AH514" i="1" s="1"/>
  <c r="AL513" i="1"/>
  <c r="AK513" i="1"/>
  <c r="AJ513" i="1"/>
  <c r="AI513" i="1"/>
  <c r="AH513" i="1"/>
  <c r="AG513" i="1"/>
  <c r="AE513" i="1"/>
  <c r="AD513" i="1"/>
  <c r="AC513" i="1"/>
  <c r="AB513" i="1"/>
  <c r="AA513" i="1"/>
  <c r="AL512" i="1"/>
  <c r="AK512" i="1"/>
  <c r="AJ512" i="1"/>
  <c r="AI512" i="1"/>
  <c r="AH512" i="1"/>
  <c r="AG512" i="1"/>
  <c r="AE512" i="1"/>
  <c r="AD512" i="1"/>
  <c r="AC512" i="1"/>
  <c r="AB512" i="1"/>
  <c r="AA512" i="1"/>
  <c r="AL511" i="1"/>
  <c r="AK511" i="1"/>
  <c r="AJ511" i="1"/>
  <c r="AI511" i="1"/>
  <c r="AH511" i="1"/>
  <c r="AG511" i="1"/>
  <c r="AE511" i="1"/>
  <c r="AD511" i="1"/>
  <c r="AC511" i="1"/>
  <c r="AB511" i="1"/>
  <c r="AA511" i="1"/>
  <c r="AL510" i="1"/>
  <c r="AK510" i="1"/>
  <c r="AJ510" i="1"/>
  <c r="AI510" i="1"/>
  <c r="AE510" i="1"/>
  <c r="AD510" i="1"/>
  <c r="AC510" i="1"/>
  <c r="AB510" i="1"/>
  <c r="I510" i="1"/>
  <c r="AG510" i="1" s="1"/>
  <c r="AL509" i="1"/>
  <c r="AK509" i="1"/>
  <c r="AJ509" i="1"/>
  <c r="AI509" i="1"/>
  <c r="AH509" i="1"/>
  <c r="AG509" i="1"/>
  <c r="AE509" i="1"/>
  <c r="AD509" i="1"/>
  <c r="AC509" i="1"/>
  <c r="AB509" i="1"/>
  <c r="AA509" i="1"/>
  <c r="AL508" i="1"/>
  <c r="AK508" i="1"/>
  <c r="AJ508" i="1"/>
  <c r="AI508" i="1"/>
  <c r="AH508" i="1"/>
  <c r="AG508" i="1"/>
  <c r="AE508" i="1"/>
  <c r="AD508" i="1"/>
  <c r="AC508" i="1"/>
  <c r="AB508" i="1"/>
  <c r="AA508" i="1"/>
  <c r="AL507" i="1"/>
  <c r="AK507" i="1"/>
  <c r="AJ507" i="1"/>
  <c r="AI507" i="1"/>
  <c r="AH507" i="1"/>
  <c r="AG507" i="1"/>
  <c r="AE507" i="1"/>
  <c r="AD507" i="1"/>
  <c r="AC507" i="1"/>
  <c r="AB507" i="1"/>
  <c r="AA507" i="1"/>
  <c r="AL506" i="1"/>
  <c r="AK506" i="1"/>
  <c r="AJ506" i="1"/>
  <c r="AI506" i="1"/>
  <c r="AH506" i="1"/>
  <c r="AG506" i="1"/>
  <c r="AE506" i="1"/>
  <c r="AD506" i="1"/>
  <c r="AC506" i="1"/>
  <c r="AB506" i="1"/>
  <c r="AA506" i="1"/>
  <c r="AL505" i="1"/>
  <c r="AK505" i="1"/>
  <c r="AJ505" i="1"/>
  <c r="AI505" i="1"/>
  <c r="AH505" i="1"/>
  <c r="AG505" i="1"/>
  <c r="AE505" i="1"/>
  <c r="AD505" i="1"/>
  <c r="AC505" i="1"/>
  <c r="AB505" i="1"/>
  <c r="AA505" i="1"/>
  <c r="AL504" i="1"/>
  <c r="AK504" i="1"/>
  <c r="AJ504" i="1"/>
  <c r="AI504" i="1"/>
  <c r="AH504" i="1"/>
  <c r="AG504" i="1"/>
  <c r="AE504" i="1"/>
  <c r="AD504" i="1"/>
  <c r="AC504" i="1"/>
  <c r="AB504" i="1"/>
  <c r="AA504" i="1"/>
  <c r="AL503" i="1"/>
  <c r="AK503" i="1"/>
  <c r="AJ503" i="1"/>
  <c r="AI503" i="1"/>
  <c r="AH503" i="1"/>
  <c r="AG503" i="1"/>
  <c r="AE503" i="1"/>
  <c r="AD503" i="1"/>
  <c r="AC503" i="1"/>
  <c r="AB503" i="1"/>
  <c r="AA503" i="1"/>
  <c r="H502" i="1"/>
  <c r="AK502" i="1" s="1"/>
  <c r="AL501" i="1"/>
  <c r="AK501" i="1"/>
  <c r="AJ501" i="1"/>
  <c r="AI501" i="1"/>
  <c r="AH501" i="1"/>
  <c r="AG501" i="1"/>
  <c r="AE501" i="1"/>
  <c r="AD501" i="1"/>
  <c r="AC501" i="1"/>
  <c r="AB501" i="1"/>
  <c r="AA501" i="1"/>
  <c r="AL500" i="1"/>
  <c r="AK500" i="1"/>
  <c r="AJ500" i="1"/>
  <c r="AI500" i="1"/>
  <c r="AH500" i="1"/>
  <c r="AG500" i="1"/>
  <c r="AE500" i="1"/>
  <c r="AD500" i="1"/>
  <c r="AC500" i="1"/>
  <c r="AB500" i="1"/>
  <c r="AA500" i="1"/>
  <c r="M499" i="1"/>
  <c r="L499" i="1"/>
  <c r="J499" i="1"/>
  <c r="AI499" i="1" s="1"/>
  <c r="H499" i="1"/>
  <c r="K499" i="1" s="1"/>
  <c r="AL498" i="1"/>
  <c r="AK498" i="1"/>
  <c r="AJ498" i="1"/>
  <c r="AI498" i="1"/>
  <c r="AH498" i="1"/>
  <c r="AG498" i="1"/>
  <c r="AE498" i="1"/>
  <c r="AD498" i="1"/>
  <c r="AC498" i="1"/>
  <c r="AB498" i="1"/>
  <c r="AA498" i="1"/>
  <c r="AL497" i="1"/>
  <c r="AK497" i="1"/>
  <c r="AJ497" i="1"/>
  <c r="AI497" i="1"/>
  <c r="AH497" i="1"/>
  <c r="AG497" i="1"/>
  <c r="AE497" i="1"/>
  <c r="AD497" i="1"/>
  <c r="AC497" i="1"/>
  <c r="AB497" i="1"/>
  <c r="AA497" i="1"/>
  <c r="AL496" i="1"/>
  <c r="AK496" i="1"/>
  <c r="AJ496" i="1"/>
  <c r="AI496" i="1"/>
  <c r="AH496" i="1"/>
  <c r="AG496" i="1"/>
  <c r="AE496" i="1"/>
  <c r="AD496" i="1"/>
  <c r="AC496" i="1"/>
  <c r="AB496" i="1"/>
  <c r="AA496" i="1"/>
  <c r="H495" i="1"/>
  <c r="H494" i="1"/>
  <c r="H493" i="1"/>
  <c r="AL492" i="1"/>
  <c r="AK492" i="1"/>
  <c r="AJ492" i="1"/>
  <c r="AI492" i="1"/>
  <c r="AH492" i="1"/>
  <c r="AG492" i="1"/>
  <c r="AE492" i="1"/>
  <c r="AD492" i="1"/>
  <c r="AC492" i="1"/>
  <c r="AB492" i="1"/>
  <c r="AA492" i="1"/>
  <c r="AL491" i="1"/>
  <c r="AK491" i="1"/>
  <c r="AJ491" i="1"/>
  <c r="AI491" i="1"/>
  <c r="AH491" i="1"/>
  <c r="AG491" i="1"/>
  <c r="AE491" i="1"/>
  <c r="AD491" i="1"/>
  <c r="AC491" i="1"/>
  <c r="AB491" i="1"/>
  <c r="AA491" i="1"/>
  <c r="AL490" i="1"/>
  <c r="AK490" i="1"/>
  <c r="AJ490" i="1"/>
  <c r="AI490" i="1"/>
  <c r="AH490" i="1"/>
  <c r="AG490" i="1"/>
  <c r="AE490" i="1"/>
  <c r="AD490" i="1"/>
  <c r="AC490" i="1"/>
  <c r="AB490" i="1"/>
  <c r="AA490" i="1"/>
  <c r="AL489" i="1"/>
  <c r="AK489" i="1"/>
  <c r="AJ489" i="1"/>
  <c r="AI489" i="1"/>
  <c r="AH489" i="1"/>
  <c r="AG489" i="1"/>
  <c r="AE489" i="1"/>
  <c r="AD489" i="1"/>
  <c r="AC489" i="1"/>
  <c r="AB489" i="1"/>
  <c r="AA489" i="1"/>
  <c r="AL488" i="1"/>
  <c r="AK488" i="1"/>
  <c r="AJ488" i="1"/>
  <c r="AI488" i="1"/>
  <c r="AH488" i="1"/>
  <c r="AG488" i="1"/>
  <c r="AE488" i="1"/>
  <c r="AD488" i="1"/>
  <c r="AC488" i="1"/>
  <c r="AB488" i="1"/>
  <c r="AA488" i="1"/>
  <c r="AL487" i="1"/>
  <c r="AK487" i="1"/>
  <c r="AJ487" i="1"/>
  <c r="AI487" i="1"/>
  <c r="AH487" i="1"/>
  <c r="AG487" i="1"/>
  <c r="AE487" i="1"/>
  <c r="AD487" i="1"/>
  <c r="AC487" i="1"/>
  <c r="AB487" i="1"/>
  <c r="AA487" i="1"/>
  <c r="AL486" i="1"/>
  <c r="AK486" i="1"/>
  <c r="AJ486" i="1"/>
  <c r="AI486" i="1"/>
  <c r="AH486" i="1"/>
  <c r="AG486" i="1"/>
  <c r="AE486" i="1"/>
  <c r="AD486" i="1"/>
  <c r="AC486" i="1"/>
  <c r="AB486" i="1"/>
  <c r="AA486" i="1"/>
  <c r="AK485" i="1"/>
  <c r="I485" i="1"/>
  <c r="H485" i="1"/>
  <c r="AK484" i="1"/>
  <c r="AE484" i="1"/>
  <c r="K484" i="1"/>
  <c r="AC484" i="1" s="1"/>
  <c r="J484" i="1"/>
  <c r="AB484" i="1" s="1"/>
  <c r="I484" i="1"/>
  <c r="AH484" i="1" s="1"/>
  <c r="H484" i="1"/>
  <c r="M484" i="1" s="1"/>
  <c r="AL483" i="1"/>
  <c r="AK483" i="1"/>
  <c r="AJ483" i="1"/>
  <c r="AH483" i="1"/>
  <c r="AE483" i="1"/>
  <c r="AD483" i="1"/>
  <c r="AC483" i="1"/>
  <c r="AA483" i="1"/>
  <c r="Y483" i="1"/>
  <c r="R483" i="1"/>
  <c r="J483" i="1"/>
  <c r="AL482" i="1"/>
  <c r="AK482" i="1"/>
  <c r="AJ482" i="1"/>
  <c r="AI482" i="1"/>
  <c r="AH482" i="1"/>
  <c r="AG482" i="1"/>
  <c r="AE482" i="1"/>
  <c r="AD482" i="1"/>
  <c r="AC482" i="1"/>
  <c r="AB482" i="1"/>
  <c r="AA482" i="1"/>
  <c r="AL481" i="1"/>
  <c r="AK481" i="1"/>
  <c r="AJ481" i="1"/>
  <c r="AI481" i="1"/>
  <c r="AH481" i="1"/>
  <c r="AG481" i="1"/>
  <c r="AE481" i="1"/>
  <c r="AD481" i="1"/>
  <c r="AC481" i="1"/>
  <c r="AB481" i="1"/>
  <c r="AA481" i="1"/>
  <c r="AL480" i="1"/>
  <c r="AK480" i="1"/>
  <c r="AJ480" i="1"/>
  <c r="AI480" i="1"/>
  <c r="AH480" i="1"/>
  <c r="AG480" i="1"/>
  <c r="AE480" i="1"/>
  <c r="AD480" i="1"/>
  <c r="AC480" i="1"/>
  <c r="AB480" i="1"/>
  <c r="AA480" i="1"/>
  <c r="AL479" i="1"/>
  <c r="AK479" i="1"/>
  <c r="AJ479" i="1"/>
  <c r="AI479" i="1"/>
  <c r="AH479" i="1"/>
  <c r="AG479" i="1"/>
  <c r="AE479" i="1"/>
  <c r="AD479" i="1"/>
  <c r="AC479" i="1"/>
  <c r="AB479" i="1"/>
  <c r="AA479" i="1"/>
  <c r="AL478" i="1"/>
  <c r="AK478" i="1"/>
  <c r="AJ478" i="1"/>
  <c r="AI478" i="1"/>
  <c r="AH478" i="1"/>
  <c r="AG478" i="1"/>
  <c r="AE478" i="1"/>
  <c r="AD478" i="1"/>
  <c r="AC478" i="1"/>
  <c r="AB478" i="1"/>
  <c r="AA478" i="1"/>
  <c r="AL477" i="1"/>
  <c r="AK477" i="1"/>
  <c r="AJ477" i="1"/>
  <c r="AI477" i="1"/>
  <c r="AH477" i="1"/>
  <c r="AG477" i="1"/>
  <c r="AE477" i="1"/>
  <c r="AD477" i="1"/>
  <c r="AC477" i="1"/>
  <c r="AB477" i="1"/>
  <c r="AA477" i="1"/>
  <c r="AL476" i="1"/>
  <c r="AK476" i="1"/>
  <c r="AJ476" i="1"/>
  <c r="AI476" i="1"/>
  <c r="AH476" i="1"/>
  <c r="AG476" i="1"/>
  <c r="AE476" i="1"/>
  <c r="AD476" i="1"/>
  <c r="AC476" i="1"/>
  <c r="AB476" i="1"/>
  <c r="AA476" i="1"/>
  <c r="AL475" i="1"/>
  <c r="AK475" i="1"/>
  <c r="AJ475" i="1"/>
  <c r="AI475" i="1"/>
  <c r="AH475" i="1"/>
  <c r="AG475" i="1"/>
  <c r="AE475" i="1"/>
  <c r="AD475" i="1"/>
  <c r="AC475" i="1"/>
  <c r="AB475" i="1"/>
  <c r="AA475" i="1"/>
  <c r="AL474" i="1"/>
  <c r="AK474" i="1"/>
  <c r="AJ474" i="1"/>
  <c r="AI474" i="1"/>
  <c r="AH474" i="1"/>
  <c r="AG474" i="1"/>
  <c r="AE474" i="1"/>
  <c r="AD474" i="1"/>
  <c r="AC474" i="1"/>
  <c r="AB474" i="1"/>
  <c r="AA474" i="1"/>
  <c r="N474" i="1"/>
  <c r="AL473" i="1"/>
  <c r="AK473" i="1"/>
  <c r="AJ473" i="1"/>
  <c r="AI473" i="1"/>
  <c r="AH473" i="1"/>
  <c r="AG473" i="1"/>
  <c r="AE473" i="1"/>
  <c r="AD473" i="1"/>
  <c r="AC473" i="1"/>
  <c r="AB473" i="1"/>
  <c r="AA473" i="1"/>
  <c r="AL472" i="1"/>
  <c r="AK472" i="1"/>
  <c r="AJ472" i="1"/>
  <c r="AI472" i="1"/>
  <c r="AH472" i="1"/>
  <c r="AG472" i="1"/>
  <c r="AE472" i="1"/>
  <c r="AD472" i="1"/>
  <c r="AC472" i="1"/>
  <c r="AB472" i="1"/>
  <c r="AA472" i="1"/>
  <c r="AL471" i="1"/>
  <c r="AK471" i="1"/>
  <c r="AJ471" i="1"/>
  <c r="AI471" i="1"/>
  <c r="AH471" i="1"/>
  <c r="AG471" i="1"/>
  <c r="AE471" i="1"/>
  <c r="AD471" i="1"/>
  <c r="AC471" i="1"/>
  <c r="AB471" i="1"/>
  <c r="AA471" i="1"/>
  <c r="AL470" i="1"/>
  <c r="AK470" i="1"/>
  <c r="AJ470" i="1"/>
  <c r="AI470" i="1"/>
  <c r="AH470" i="1"/>
  <c r="AG470" i="1"/>
  <c r="AE470" i="1"/>
  <c r="AD470" i="1"/>
  <c r="AC470" i="1"/>
  <c r="AB470" i="1"/>
  <c r="AA470" i="1"/>
  <c r="AL469" i="1"/>
  <c r="AK469" i="1"/>
  <c r="AJ469" i="1"/>
  <c r="AI469" i="1"/>
  <c r="AH469" i="1"/>
  <c r="AG469" i="1"/>
  <c r="AE469" i="1"/>
  <c r="AD469" i="1"/>
  <c r="AC469" i="1"/>
  <c r="AB469" i="1"/>
  <c r="AA469" i="1"/>
  <c r="AL468" i="1"/>
  <c r="AK468" i="1"/>
  <c r="AJ468" i="1"/>
  <c r="AI468" i="1"/>
  <c r="AH468" i="1"/>
  <c r="AG468" i="1"/>
  <c r="AE468" i="1"/>
  <c r="AD468" i="1"/>
  <c r="AC468" i="1"/>
  <c r="AB468" i="1"/>
  <c r="AA468" i="1"/>
  <c r="H467" i="1"/>
  <c r="AL466" i="1"/>
  <c r="AK466" i="1"/>
  <c r="AJ466" i="1"/>
  <c r="AI466" i="1"/>
  <c r="AH466" i="1"/>
  <c r="AG466" i="1"/>
  <c r="AE466" i="1"/>
  <c r="AD466" i="1"/>
  <c r="AC466" i="1"/>
  <c r="AB466" i="1"/>
  <c r="AA466" i="1"/>
  <c r="AL465" i="1"/>
  <c r="AK465" i="1"/>
  <c r="AJ465" i="1"/>
  <c r="AI465" i="1"/>
  <c r="AH465" i="1"/>
  <c r="AG465" i="1"/>
  <c r="AE465" i="1"/>
  <c r="AD465" i="1"/>
  <c r="AC465" i="1"/>
  <c r="AB465" i="1"/>
  <c r="AA465" i="1"/>
  <c r="AL464" i="1"/>
  <c r="AK464" i="1"/>
  <c r="AJ464" i="1"/>
  <c r="AI464" i="1"/>
  <c r="AH464" i="1"/>
  <c r="AG464" i="1"/>
  <c r="AE464" i="1"/>
  <c r="AD464" i="1"/>
  <c r="AC464" i="1"/>
  <c r="AB464" i="1"/>
  <c r="AA464" i="1"/>
  <c r="AL463" i="1"/>
  <c r="AK463" i="1"/>
  <c r="AJ463" i="1"/>
  <c r="AI463" i="1"/>
  <c r="AH463" i="1"/>
  <c r="AG463" i="1"/>
  <c r="AE463" i="1"/>
  <c r="AD463" i="1"/>
  <c r="AC463" i="1"/>
  <c r="AB463" i="1"/>
  <c r="AA463" i="1"/>
  <c r="AL462" i="1"/>
  <c r="AK462" i="1"/>
  <c r="AJ462" i="1"/>
  <c r="AI462" i="1"/>
  <c r="AH462" i="1"/>
  <c r="AG462" i="1"/>
  <c r="AE462" i="1"/>
  <c r="AD462" i="1"/>
  <c r="AC462" i="1"/>
  <c r="AB462" i="1"/>
  <c r="AA462" i="1"/>
  <c r="H461" i="1"/>
  <c r="AA461" i="1" s="1"/>
  <c r="AL460" i="1"/>
  <c r="AK460" i="1"/>
  <c r="AJ460" i="1"/>
  <c r="AI460" i="1"/>
  <c r="AH460" i="1"/>
  <c r="AG460" i="1"/>
  <c r="AE460" i="1"/>
  <c r="AD460" i="1"/>
  <c r="AC460" i="1"/>
  <c r="AB460" i="1"/>
  <c r="AA460" i="1"/>
  <c r="AL459" i="1"/>
  <c r="AK459" i="1"/>
  <c r="AJ459" i="1"/>
  <c r="AI459" i="1"/>
  <c r="AH459" i="1"/>
  <c r="AG459" i="1"/>
  <c r="AE459" i="1"/>
  <c r="AD459" i="1"/>
  <c r="AC459" i="1"/>
  <c r="AB459" i="1"/>
  <c r="AA459" i="1"/>
  <c r="AL458" i="1"/>
  <c r="AK458" i="1"/>
  <c r="AJ458" i="1"/>
  <c r="AI458" i="1"/>
  <c r="AH458" i="1"/>
  <c r="AG458" i="1"/>
  <c r="AE458" i="1"/>
  <c r="AD458" i="1"/>
  <c r="AC458" i="1"/>
  <c r="AB458" i="1"/>
  <c r="AA458" i="1"/>
  <c r="AL457" i="1"/>
  <c r="AK457" i="1"/>
  <c r="AJ457" i="1"/>
  <c r="AI457" i="1"/>
  <c r="AH457" i="1"/>
  <c r="AG457" i="1"/>
  <c r="AE457" i="1"/>
  <c r="AD457" i="1"/>
  <c r="AC457" i="1"/>
  <c r="AB457" i="1"/>
  <c r="AA457" i="1"/>
  <c r="H456" i="1"/>
  <c r="H455" i="1"/>
  <c r="H454" i="1"/>
  <c r="L453" i="1"/>
  <c r="AE453" i="1" s="1"/>
  <c r="H453" i="1"/>
  <c r="K453" i="1" s="1"/>
  <c r="H452" i="1"/>
  <c r="K452" i="1" s="1"/>
  <c r="AA451" i="1"/>
  <c r="H451" i="1"/>
  <c r="M451" i="1" s="1"/>
  <c r="H450" i="1"/>
  <c r="AL449" i="1"/>
  <c r="AK449" i="1"/>
  <c r="AJ449" i="1"/>
  <c r="AI449" i="1"/>
  <c r="AH449" i="1"/>
  <c r="AG449" i="1"/>
  <c r="AE449" i="1"/>
  <c r="AD449" i="1"/>
  <c r="AC449" i="1"/>
  <c r="AB449" i="1"/>
  <c r="AA449" i="1"/>
  <c r="AL448" i="1"/>
  <c r="AK448" i="1"/>
  <c r="AJ448" i="1"/>
  <c r="AI448" i="1"/>
  <c r="AH448" i="1"/>
  <c r="AG448" i="1"/>
  <c r="AE448" i="1"/>
  <c r="AD448" i="1"/>
  <c r="AC448" i="1"/>
  <c r="AB448" i="1"/>
  <c r="AA448" i="1"/>
  <c r="AL447" i="1"/>
  <c r="AK447" i="1"/>
  <c r="AJ447" i="1"/>
  <c r="AI447" i="1"/>
  <c r="AH447" i="1"/>
  <c r="AG447" i="1"/>
  <c r="AE447" i="1"/>
  <c r="AD447" i="1"/>
  <c r="AC447" i="1"/>
  <c r="AB447" i="1"/>
  <c r="AA447" i="1"/>
  <c r="H446" i="1"/>
  <c r="K446" i="1" s="1"/>
  <c r="AC446" i="1" s="1"/>
  <c r="H445" i="1"/>
  <c r="L445" i="1" s="1"/>
  <c r="AE445" i="1" s="1"/>
  <c r="M444" i="1"/>
  <c r="H444" i="1"/>
  <c r="L444" i="1" s="1"/>
  <c r="AH443" i="1"/>
  <c r="H443" i="1"/>
  <c r="L443" i="1" s="1"/>
  <c r="AK443" i="1" s="1"/>
  <c r="H442" i="1"/>
  <c r="AL441" i="1"/>
  <c r="AK441" i="1"/>
  <c r="AJ441" i="1"/>
  <c r="AI441" i="1"/>
  <c r="AH441" i="1"/>
  <c r="AG441" i="1"/>
  <c r="AE441" i="1"/>
  <c r="AD441" i="1"/>
  <c r="AC441" i="1"/>
  <c r="AB441" i="1"/>
  <c r="AA441" i="1"/>
  <c r="H440" i="1"/>
  <c r="AH440" i="1" s="1"/>
  <c r="AL439" i="1"/>
  <c r="AK439" i="1"/>
  <c r="AJ439" i="1"/>
  <c r="AI439" i="1"/>
  <c r="AH439" i="1"/>
  <c r="AG439" i="1"/>
  <c r="AE439" i="1"/>
  <c r="AD439" i="1"/>
  <c r="AC439" i="1"/>
  <c r="AB439" i="1"/>
  <c r="AA439" i="1"/>
  <c r="AL438" i="1"/>
  <c r="AK438" i="1"/>
  <c r="AJ438" i="1"/>
  <c r="AI438" i="1"/>
  <c r="AE438" i="1"/>
  <c r="AD438" i="1"/>
  <c r="AC438" i="1"/>
  <c r="AA438" i="1"/>
  <c r="J438" i="1"/>
  <c r="AB438" i="1" s="1"/>
  <c r="I438" i="1"/>
  <c r="AL437" i="1"/>
  <c r="AK437" i="1"/>
  <c r="AJ437" i="1"/>
  <c r="AI437" i="1"/>
  <c r="AH437" i="1"/>
  <c r="AG437" i="1"/>
  <c r="AE437" i="1"/>
  <c r="AD437" i="1"/>
  <c r="AC437" i="1"/>
  <c r="AB437" i="1"/>
  <c r="AA437" i="1"/>
  <c r="AE436" i="1"/>
  <c r="AD436" i="1"/>
  <c r="H436" i="1"/>
  <c r="K436" i="1" s="1"/>
  <c r="AK435" i="1"/>
  <c r="K435" i="1"/>
  <c r="AC435" i="1" s="1"/>
  <c r="H435" i="1"/>
  <c r="I435" i="1" s="1"/>
  <c r="AH435" i="1" s="1"/>
  <c r="AL434" i="1"/>
  <c r="AK434" i="1"/>
  <c r="AJ434" i="1"/>
  <c r="AI434" i="1"/>
  <c r="AH434" i="1"/>
  <c r="AG434" i="1"/>
  <c r="AE434" i="1"/>
  <c r="AD434" i="1"/>
  <c r="AC434" i="1"/>
  <c r="AB434" i="1"/>
  <c r="AA434" i="1"/>
  <c r="H433" i="1"/>
  <c r="J433" i="1" s="1"/>
  <c r="AL432" i="1"/>
  <c r="AK432" i="1"/>
  <c r="AJ432" i="1"/>
  <c r="AI432" i="1"/>
  <c r="AH432" i="1"/>
  <c r="AG432" i="1"/>
  <c r="AE432" i="1"/>
  <c r="AD432" i="1"/>
  <c r="AC432" i="1"/>
  <c r="AB432" i="1"/>
  <c r="AA432" i="1"/>
  <c r="AL431" i="1"/>
  <c r="AK431" i="1"/>
  <c r="AJ431" i="1"/>
  <c r="AI431" i="1"/>
  <c r="AH431" i="1"/>
  <c r="AG431" i="1"/>
  <c r="AE431" i="1"/>
  <c r="AD431" i="1"/>
  <c r="AC431" i="1"/>
  <c r="AB431" i="1"/>
  <c r="AA431" i="1"/>
  <c r="AL430" i="1"/>
  <c r="AK430" i="1"/>
  <c r="AJ430" i="1"/>
  <c r="AI430" i="1"/>
  <c r="AH430" i="1"/>
  <c r="AG430" i="1"/>
  <c r="AE430" i="1"/>
  <c r="AD430" i="1"/>
  <c r="AC430" i="1"/>
  <c r="AB430" i="1"/>
  <c r="AA430" i="1"/>
  <c r="AL429" i="1"/>
  <c r="AK429" i="1"/>
  <c r="AJ429" i="1"/>
  <c r="AI429" i="1"/>
  <c r="AH429" i="1"/>
  <c r="AG429" i="1"/>
  <c r="AE429" i="1"/>
  <c r="AD429" i="1"/>
  <c r="AC429" i="1"/>
  <c r="AB429" i="1"/>
  <c r="AA429" i="1"/>
  <c r="AL428" i="1"/>
  <c r="AK428" i="1"/>
  <c r="AJ428" i="1"/>
  <c r="AI428" i="1"/>
  <c r="AH428" i="1"/>
  <c r="AG428" i="1"/>
  <c r="AE428" i="1"/>
  <c r="AD428" i="1"/>
  <c r="AC428" i="1"/>
  <c r="AB428" i="1"/>
  <c r="AA428" i="1"/>
  <c r="AL427" i="1"/>
  <c r="AK427" i="1"/>
  <c r="AJ427" i="1"/>
  <c r="AI427" i="1"/>
  <c r="AH427" i="1"/>
  <c r="AG427" i="1"/>
  <c r="AE427" i="1"/>
  <c r="AD427" i="1"/>
  <c r="AC427" i="1"/>
  <c r="AB427" i="1"/>
  <c r="AA427" i="1"/>
  <c r="AK426" i="1"/>
  <c r="AG426" i="1"/>
  <c r="AC426" i="1"/>
  <c r="H426" i="1"/>
  <c r="AL426" i="1" s="1"/>
  <c r="H425" i="1"/>
  <c r="AL425" i="1" s="1"/>
  <c r="AL424" i="1"/>
  <c r="AK424" i="1"/>
  <c r="AJ424" i="1"/>
  <c r="AI424" i="1"/>
  <c r="AH424" i="1"/>
  <c r="AG424" i="1"/>
  <c r="AE424" i="1"/>
  <c r="AD424" i="1"/>
  <c r="AC424" i="1"/>
  <c r="AB424" i="1"/>
  <c r="AA424" i="1"/>
  <c r="S423" i="1"/>
  <c r="K423" i="1"/>
  <c r="AC423" i="1" s="1"/>
  <c r="H423" i="1"/>
  <c r="AL422" i="1"/>
  <c r="AK422" i="1"/>
  <c r="AJ422" i="1"/>
  <c r="AI422" i="1"/>
  <c r="AH422" i="1"/>
  <c r="AG422" i="1"/>
  <c r="AE422" i="1"/>
  <c r="AD422" i="1"/>
  <c r="AC422" i="1"/>
  <c r="AB422" i="1"/>
  <c r="AA422" i="1"/>
  <c r="AL421" i="1"/>
  <c r="AK421" i="1"/>
  <c r="AJ421" i="1"/>
  <c r="AI421" i="1"/>
  <c r="AH421" i="1"/>
  <c r="AG421" i="1"/>
  <c r="AE421" i="1"/>
  <c r="AD421" i="1"/>
  <c r="AC421" i="1"/>
  <c r="AB421" i="1"/>
  <c r="AA421" i="1"/>
  <c r="AL420" i="1"/>
  <c r="AK420" i="1"/>
  <c r="AJ420" i="1"/>
  <c r="AI420" i="1"/>
  <c r="AH420" i="1"/>
  <c r="AG420" i="1"/>
  <c r="AE420" i="1"/>
  <c r="AD420" i="1"/>
  <c r="AC420" i="1"/>
  <c r="AB420" i="1"/>
  <c r="AA420" i="1"/>
  <c r="H419" i="1"/>
  <c r="AG418" i="1"/>
  <c r="AE418" i="1"/>
  <c r="H418" i="1"/>
  <c r="AH418" i="1" s="1"/>
  <c r="AL417" i="1"/>
  <c r="AK417" i="1"/>
  <c r="AJ417" i="1"/>
  <c r="AI417" i="1"/>
  <c r="AH417" i="1"/>
  <c r="AG417" i="1"/>
  <c r="AE417" i="1"/>
  <c r="AD417" i="1"/>
  <c r="AC417" i="1"/>
  <c r="AB417" i="1"/>
  <c r="AA417" i="1"/>
  <c r="AL416" i="1"/>
  <c r="AK416" i="1"/>
  <c r="AJ416" i="1"/>
  <c r="AI416" i="1"/>
  <c r="AH416" i="1"/>
  <c r="AG416" i="1"/>
  <c r="AE416" i="1"/>
  <c r="AD416" i="1"/>
  <c r="AC416" i="1"/>
  <c r="AB416" i="1"/>
  <c r="AA416" i="1"/>
  <c r="H415" i="1"/>
  <c r="AJ415" i="1" s="1"/>
  <c r="AL414" i="1"/>
  <c r="AK414" i="1"/>
  <c r="AH414" i="1"/>
  <c r="AE414" i="1"/>
  <c r="AD414" i="1"/>
  <c r="AA414" i="1"/>
  <c r="K414" i="1"/>
  <c r="AJ414" i="1" s="1"/>
  <c r="J414" i="1"/>
  <c r="AL413" i="1"/>
  <c r="AK413" i="1"/>
  <c r="AI413" i="1"/>
  <c r="AH413" i="1"/>
  <c r="AG413" i="1"/>
  <c r="AE413" i="1"/>
  <c r="AD413" i="1"/>
  <c r="AB413" i="1"/>
  <c r="AA413" i="1"/>
  <c r="Y413" i="1"/>
  <c r="K413" i="1"/>
  <c r="AJ413" i="1" s="1"/>
  <c r="AL412" i="1"/>
  <c r="AK412" i="1"/>
  <c r="AJ412" i="1"/>
  <c r="AI412" i="1"/>
  <c r="AH412" i="1"/>
  <c r="AG412" i="1"/>
  <c r="AE412" i="1"/>
  <c r="AD412" i="1"/>
  <c r="AC412" i="1"/>
  <c r="AB412" i="1"/>
  <c r="AA412" i="1"/>
  <c r="H411" i="1"/>
  <c r="H410" i="1"/>
  <c r="AE410" i="1" s="1"/>
  <c r="AE409" i="1"/>
  <c r="H409" i="1"/>
  <c r="AK409" i="1" s="1"/>
  <c r="H408" i="1"/>
  <c r="K408" i="1" s="1"/>
  <c r="AJ408" i="1" s="1"/>
  <c r="H407" i="1"/>
  <c r="AK407" i="1" s="1"/>
  <c r="AK406" i="1"/>
  <c r="AI406" i="1"/>
  <c r="AH406" i="1"/>
  <c r="AG406" i="1"/>
  <c r="AE406" i="1"/>
  <c r="AB406" i="1"/>
  <c r="AA406" i="1"/>
  <c r="M406" i="1"/>
  <c r="K406" i="1"/>
  <c r="AL405" i="1"/>
  <c r="H405" i="1"/>
  <c r="AD405" i="1" s="1"/>
  <c r="H404" i="1"/>
  <c r="I404" i="1" s="1"/>
  <c r="AL403" i="1"/>
  <c r="AK403" i="1"/>
  <c r="AJ403" i="1"/>
  <c r="AI403" i="1"/>
  <c r="AH403" i="1"/>
  <c r="AG403" i="1"/>
  <c r="AE403" i="1"/>
  <c r="AD403" i="1"/>
  <c r="AC403" i="1"/>
  <c r="AB403" i="1"/>
  <c r="AA403" i="1"/>
  <c r="M402" i="1"/>
  <c r="L402" i="1"/>
  <c r="AK402" i="1" s="1"/>
  <c r="H402" i="1"/>
  <c r="H401" i="1"/>
  <c r="K401" i="1" s="1"/>
  <c r="AC401" i="1" s="1"/>
  <c r="AL400" i="1"/>
  <c r="AK400" i="1"/>
  <c r="AJ400" i="1"/>
  <c r="AI400" i="1"/>
  <c r="AH400" i="1"/>
  <c r="AG400" i="1"/>
  <c r="AE400" i="1"/>
  <c r="AD400" i="1"/>
  <c r="AC400" i="1"/>
  <c r="AB400" i="1"/>
  <c r="AA400" i="1"/>
  <c r="AL399" i="1"/>
  <c r="AK399" i="1"/>
  <c r="AJ399" i="1"/>
  <c r="AI399" i="1"/>
  <c r="AH399" i="1"/>
  <c r="AG399" i="1"/>
  <c r="AE399" i="1"/>
  <c r="AD399" i="1"/>
  <c r="AC399" i="1"/>
  <c r="AB399" i="1"/>
  <c r="AA399" i="1"/>
  <c r="AL398" i="1"/>
  <c r="AK398" i="1"/>
  <c r="AJ398" i="1"/>
  <c r="AI398" i="1"/>
  <c r="AH398" i="1"/>
  <c r="AG398" i="1"/>
  <c r="AE398" i="1"/>
  <c r="AD398" i="1"/>
  <c r="AC398" i="1"/>
  <c r="AB398" i="1"/>
  <c r="AA398" i="1"/>
  <c r="M397" i="1"/>
  <c r="L397" i="1"/>
  <c r="AE397" i="1" s="1"/>
  <c r="H397" i="1"/>
  <c r="AL396" i="1"/>
  <c r="AK396" i="1"/>
  <c r="AJ396" i="1"/>
  <c r="AI396" i="1"/>
  <c r="AH396" i="1"/>
  <c r="AG396" i="1"/>
  <c r="AE396" i="1"/>
  <c r="AD396" i="1"/>
  <c r="AC396" i="1"/>
  <c r="AB396" i="1"/>
  <c r="AA396" i="1"/>
  <c r="J395" i="1"/>
  <c r="H395" i="1"/>
  <c r="AL394" i="1"/>
  <c r="AK394" i="1"/>
  <c r="AJ394" i="1"/>
  <c r="AI394" i="1"/>
  <c r="AH394" i="1"/>
  <c r="AG394" i="1"/>
  <c r="AE394" i="1"/>
  <c r="AD394" i="1"/>
  <c r="AC394" i="1"/>
  <c r="AB394" i="1"/>
  <c r="AA394" i="1"/>
  <c r="AL393" i="1"/>
  <c r="AK393" i="1"/>
  <c r="AJ393" i="1"/>
  <c r="AI393" i="1"/>
  <c r="AH393" i="1"/>
  <c r="AG393" i="1"/>
  <c r="AE393" i="1"/>
  <c r="AD393" i="1"/>
  <c r="AC393" i="1"/>
  <c r="AB393" i="1"/>
  <c r="AA393" i="1"/>
  <c r="AL392" i="1"/>
  <c r="AK392" i="1"/>
  <c r="AJ392" i="1"/>
  <c r="AI392" i="1"/>
  <c r="AH392" i="1"/>
  <c r="AG392" i="1"/>
  <c r="AE392" i="1"/>
  <c r="AD392" i="1"/>
  <c r="AC392" i="1"/>
  <c r="AB392" i="1"/>
  <c r="AA392" i="1"/>
  <c r="N392" i="1"/>
  <c r="H391" i="1"/>
  <c r="H390" i="1"/>
  <c r="H389" i="1"/>
  <c r="H388" i="1"/>
  <c r="H387" i="1"/>
  <c r="H386" i="1"/>
  <c r="AL385" i="1"/>
  <c r="AK385" i="1"/>
  <c r="AJ385" i="1"/>
  <c r="AI385" i="1"/>
  <c r="AH385" i="1"/>
  <c r="AG385" i="1"/>
  <c r="AE385" i="1"/>
  <c r="AD385" i="1"/>
  <c r="AC385" i="1"/>
  <c r="AB385" i="1"/>
  <c r="AA385" i="1"/>
  <c r="H384" i="1"/>
  <c r="J384" i="1" s="1"/>
  <c r="AL383" i="1"/>
  <c r="AK383" i="1"/>
  <c r="AJ383" i="1"/>
  <c r="AI383" i="1"/>
  <c r="AH383" i="1"/>
  <c r="AG383" i="1"/>
  <c r="AE383" i="1"/>
  <c r="AD383" i="1"/>
  <c r="AC383" i="1"/>
  <c r="AB383" i="1"/>
  <c r="AA383" i="1"/>
  <c r="AL382" i="1"/>
  <c r="AK382" i="1"/>
  <c r="AJ382" i="1"/>
  <c r="AI382" i="1"/>
  <c r="AH382" i="1"/>
  <c r="AG382" i="1"/>
  <c r="AE382" i="1"/>
  <c r="AD382" i="1"/>
  <c r="AC382" i="1"/>
  <c r="AB382" i="1"/>
  <c r="AA382" i="1"/>
  <c r="H381" i="1"/>
  <c r="K381" i="1" s="1"/>
  <c r="AJ381" i="1" s="1"/>
  <c r="AL380" i="1"/>
  <c r="AK380" i="1"/>
  <c r="AJ380" i="1"/>
  <c r="AI380" i="1"/>
  <c r="AH380" i="1"/>
  <c r="AG380" i="1"/>
  <c r="AE380" i="1"/>
  <c r="AD380" i="1"/>
  <c r="AC380" i="1"/>
  <c r="AB380" i="1"/>
  <c r="AA380" i="1"/>
  <c r="H379" i="1"/>
  <c r="AK379" i="1" s="1"/>
  <c r="AL378" i="1"/>
  <c r="AK378" i="1"/>
  <c r="AJ378" i="1"/>
  <c r="AI378" i="1"/>
  <c r="AH378" i="1"/>
  <c r="AG378" i="1"/>
  <c r="AE378" i="1"/>
  <c r="AD378" i="1"/>
  <c r="AC378" i="1"/>
  <c r="AB378" i="1"/>
  <c r="AA378" i="1"/>
  <c r="H377" i="1"/>
  <c r="AL377" i="1" s="1"/>
  <c r="AL376" i="1"/>
  <c r="AK376" i="1"/>
  <c r="AJ376" i="1"/>
  <c r="AI376" i="1"/>
  <c r="AH376" i="1"/>
  <c r="AG376" i="1"/>
  <c r="AE376" i="1"/>
  <c r="AD376" i="1"/>
  <c r="AC376" i="1"/>
  <c r="AB376" i="1"/>
  <c r="AA376" i="1"/>
  <c r="AL375" i="1"/>
  <c r="AK375" i="1"/>
  <c r="AJ375" i="1"/>
  <c r="AI375" i="1"/>
  <c r="AH375" i="1"/>
  <c r="AG375" i="1"/>
  <c r="AE375" i="1"/>
  <c r="AD375" i="1"/>
  <c r="AC375" i="1"/>
  <c r="AB375" i="1"/>
  <c r="AA375" i="1"/>
  <c r="AL374" i="1"/>
  <c r="AK374" i="1"/>
  <c r="AJ374" i="1"/>
  <c r="AI374" i="1"/>
  <c r="AH374" i="1"/>
  <c r="AG374" i="1"/>
  <c r="AE374" i="1"/>
  <c r="AD374" i="1"/>
  <c r="AC374" i="1"/>
  <c r="AB374" i="1"/>
  <c r="AA374" i="1"/>
  <c r="AL373" i="1"/>
  <c r="AK373" i="1"/>
  <c r="AJ373" i="1"/>
  <c r="AI373" i="1"/>
  <c r="AH373" i="1"/>
  <c r="AG373" i="1"/>
  <c r="AE373" i="1"/>
  <c r="AD373" i="1"/>
  <c r="AC373" i="1"/>
  <c r="AB373" i="1"/>
  <c r="AA373" i="1"/>
  <c r="AL372" i="1"/>
  <c r="AK372" i="1"/>
  <c r="AJ372" i="1"/>
  <c r="AI372" i="1"/>
  <c r="AH372" i="1"/>
  <c r="AG372" i="1"/>
  <c r="AE372" i="1"/>
  <c r="AD372" i="1"/>
  <c r="AC372" i="1"/>
  <c r="AB372" i="1"/>
  <c r="AA372" i="1"/>
  <c r="H371" i="1"/>
  <c r="AL371" i="1" s="1"/>
  <c r="AL370" i="1"/>
  <c r="AK370" i="1"/>
  <c r="AJ370" i="1"/>
  <c r="AI370" i="1"/>
  <c r="AH370" i="1"/>
  <c r="AG370" i="1"/>
  <c r="AE370" i="1"/>
  <c r="AD370" i="1"/>
  <c r="AC370" i="1"/>
  <c r="AB370" i="1"/>
  <c r="AA370" i="1"/>
  <c r="AL369" i="1"/>
  <c r="AK369" i="1"/>
  <c r="AJ369" i="1"/>
  <c r="AI369" i="1"/>
  <c r="AH369" i="1"/>
  <c r="AG369" i="1"/>
  <c r="AE369" i="1"/>
  <c r="AD369" i="1"/>
  <c r="AC369" i="1"/>
  <c r="AB369" i="1"/>
  <c r="AA369" i="1"/>
  <c r="AL368" i="1"/>
  <c r="AK368" i="1"/>
  <c r="AJ368" i="1"/>
  <c r="AI368" i="1"/>
  <c r="AH368" i="1"/>
  <c r="AG368" i="1"/>
  <c r="AE368" i="1"/>
  <c r="AD368" i="1"/>
  <c r="AC368" i="1"/>
  <c r="AB368" i="1"/>
  <c r="AA368" i="1"/>
  <c r="AL367" i="1"/>
  <c r="AK367" i="1"/>
  <c r="AJ367" i="1"/>
  <c r="AI367" i="1"/>
  <c r="AH367" i="1"/>
  <c r="AG367" i="1"/>
  <c r="AE367" i="1"/>
  <c r="AD367" i="1"/>
  <c r="AC367" i="1"/>
  <c r="AB367" i="1"/>
  <c r="AA367" i="1"/>
  <c r="AL366" i="1"/>
  <c r="M366" i="1"/>
  <c r="L366" i="1"/>
  <c r="K366" i="1"/>
  <c r="J366" i="1"/>
  <c r="I366" i="1"/>
  <c r="H366" i="1"/>
  <c r="H365" i="1"/>
  <c r="K365" i="1" s="1"/>
  <c r="AL364" i="1"/>
  <c r="AK364" i="1"/>
  <c r="AJ364" i="1"/>
  <c r="AI364" i="1"/>
  <c r="AH364" i="1"/>
  <c r="AG364" i="1"/>
  <c r="AE364" i="1"/>
  <c r="AD364" i="1"/>
  <c r="AC364" i="1"/>
  <c r="AB364" i="1"/>
  <c r="AA364" i="1"/>
  <c r="H363" i="1"/>
  <c r="H362" i="1"/>
  <c r="AL361" i="1"/>
  <c r="AK361" i="1"/>
  <c r="AJ361" i="1"/>
  <c r="AI361" i="1"/>
  <c r="AH361" i="1"/>
  <c r="AG361" i="1"/>
  <c r="AE361" i="1"/>
  <c r="AD361" i="1"/>
  <c r="AC361" i="1"/>
  <c r="AB361" i="1"/>
  <c r="AA361" i="1"/>
  <c r="AL360" i="1"/>
  <c r="AK360" i="1"/>
  <c r="AJ360" i="1"/>
  <c r="AI360" i="1"/>
  <c r="AH360" i="1"/>
  <c r="AG360" i="1"/>
  <c r="AE360" i="1"/>
  <c r="AD360" i="1"/>
  <c r="AC360" i="1"/>
  <c r="AB360" i="1"/>
  <c r="AA360" i="1"/>
  <c r="H359" i="1"/>
  <c r="H358" i="1"/>
  <c r="AL358" i="1" s="1"/>
  <c r="AL357" i="1"/>
  <c r="AK357" i="1"/>
  <c r="AJ357" i="1"/>
  <c r="AI357" i="1"/>
  <c r="AH357" i="1"/>
  <c r="AG357" i="1"/>
  <c r="AE357" i="1"/>
  <c r="AD357" i="1"/>
  <c r="AC357" i="1"/>
  <c r="AB357" i="1"/>
  <c r="AA357" i="1"/>
  <c r="AL356" i="1"/>
  <c r="AK356" i="1"/>
  <c r="AJ356" i="1"/>
  <c r="AI356" i="1"/>
  <c r="AH356" i="1"/>
  <c r="AG356" i="1"/>
  <c r="AE356" i="1"/>
  <c r="AD356" i="1"/>
  <c r="AC356" i="1"/>
  <c r="AB356" i="1"/>
  <c r="AA356" i="1"/>
  <c r="AL355" i="1"/>
  <c r="AK355" i="1"/>
  <c r="AJ355" i="1"/>
  <c r="AI355" i="1"/>
  <c r="AH355" i="1"/>
  <c r="AG355" i="1"/>
  <c r="AE355" i="1"/>
  <c r="AD355" i="1"/>
  <c r="AC355" i="1"/>
  <c r="AB355" i="1"/>
  <c r="AA355" i="1"/>
  <c r="AL354" i="1"/>
  <c r="AK354" i="1"/>
  <c r="AJ354" i="1"/>
  <c r="AI354" i="1"/>
  <c r="AH354" i="1"/>
  <c r="AG354" i="1"/>
  <c r="AE354" i="1"/>
  <c r="AD354" i="1"/>
  <c r="AC354" i="1"/>
  <c r="AB354" i="1"/>
  <c r="AA354" i="1"/>
  <c r="AL353" i="1"/>
  <c r="AK353" i="1"/>
  <c r="AJ353" i="1"/>
  <c r="AI353" i="1"/>
  <c r="AH353" i="1"/>
  <c r="AG353" i="1"/>
  <c r="AE353" i="1"/>
  <c r="AD353" i="1"/>
  <c r="AC353" i="1"/>
  <c r="AB353" i="1"/>
  <c r="AA353" i="1"/>
  <c r="AL352" i="1"/>
  <c r="AK352" i="1"/>
  <c r="AJ352" i="1"/>
  <c r="AI352" i="1"/>
  <c r="AH352" i="1"/>
  <c r="AG352" i="1"/>
  <c r="AE352" i="1"/>
  <c r="AD352" i="1"/>
  <c r="AC352" i="1"/>
  <c r="AB352" i="1"/>
  <c r="AA352" i="1"/>
  <c r="H351" i="1"/>
  <c r="AL350" i="1"/>
  <c r="AG350" i="1"/>
  <c r="AE350" i="1"/>
  <c r="AD350" i="1"/>
  <c r="AB350" i="1"/>
  <c r="AA350" i="1"/>
  <c r="H350" i="1"/>
  <c r="AH350" i="1" s="1"/>
  <c r="AG349" i="1"/>
  <c r="H349" i="1"/>
  <c r="AJ349" i="1" s="1"/>
  <c r="AG348" i="1"/>
  <c r="H348" i="1"/>
  <c r="AK347" i="1"/>
  <c r="AG347" i="1"/>
  <c r="H347" i="1"/>
  <c r="AL346" i="1"/>
  <c r="AK346" i="1"/>
  <c r="AJ346" i="1"/>
  <c r="AI346" i="1"/>
  <c r="AH346" i="1"/>
  <c r="AG346" i="1"/>
  <c r="AE346" i="1"/>
  <c r="AD346" i="1"/>
  <c r="AC346" i="1"/>
  <c r="AB346" i="1"/>
  <c r="AA346" i="1"/>
  <c r="AL345" i="1"/>
  <c r="AK345" i="1"/>
  <c r="AJ345" i="1"/>
  <c r="AI345" i="1"/>
  <c r="AH345" i="1"/>
  <c r="AG345" i="1"/>
  <c r="AE345" i="1"/>
  <c r="AD345" i="1"/>
  <c r="AC345" i="1"/>
  <c r="AB345" i="1"/>
  <c r="AA345" i="1"/>
  <c r="AL344" i="1"/>
  <c r="AK344" i="1"/>
  <c r="AJ344" i="1"/>
  <c r="AE344" i="1"/>
  <c r="AD344" i="1"/>
  <c r="AC344" i="1"/>
  <c r="J344" i="1"/>
  <c r="AB344" i="1" s="1"/>
  <c r="I344" i="1"/>
  <c r="AL343" i="1"/>
  <c r="AK343" i="1"/>
  <c r="AJ343" i="1"/>
  <c r="AI343" i="1"/>
  <c r="AH343" i="1"/>
  <c r="AG343" i="1"/>
  <c r="AE343" i="1"/>
  <c r="AD343" i="1"/>
  <c r="AC343" i="1"/>
  <c r="AB343" i="1"/>
  <c r="AA343" i="1"/>
  <c r="AL342" i="1"/>
  <c r="AK342" i="1"/>
  <c r="AJ342" i="1"/>
  <c r="AI342" i="1"/>
  <c r="AH342" i="1"/>
  <c r="AG342" i="1"/>
  <c r="AE342" i="1"/>
  <c r="AD342" i="1"/>
  <c r="AC342" i="1"/>
  <c r="AB342" i="1"/>
  <c r="AA342" i="1"/>
  <c r="AL341" i="1"/>
  <c r="AK341" i="1"/>
  <c r="AJ341" i="1"/>
  <c r="AI341" i="1"/>
  <c r="AH341" i="1"/>
  <c r="AG341" i="1"/>
  <c r="AE341" i="1"/>
  <c r="AD341" i="1"/>
  <c r="AC341" i="1"/>
  <c r="AB341" i="1"/>
  <c r="AA341" i="1"/>
  <c r="AL340" i="1"/>
  <c r="AK340" i="1"/>
  <c r="AJ340" i="1"/>
  <c r="AI340" i="1"/>
  <c r="AH340" i="1"/>
  <c r="AG340" i="1"/>
  <c r="AE340" i="1"/>
  <c r="AD340" i="1"/>
  <c r="AC340" i="1"/>
  <c r="AB340" i="1"/>
  <c r="AA340" i="1"/>
  <c r="AL339" i="1"/>
  <c r="AK339" i="1"/>
  <c r="AJ339" i="1"/>
  <c r="AI339" i="1"/>
  <c r="AH339" i="1"/>
  <c r="AG339" i="1"/>
  <c r="AE339" i="1"/>
  <c r="AD339" i="1"/>
  <c r="AC339" i="1"/>
  <c r="AB339" i="1"/>
  <c r="AA339" i="1"/>
  <c r="AL338" i="1"/>
  <c r="AI338" i="1"/>
  <c r="H338" i="1"/>
  <c r="H337" i="1"/>
  <c r="H336" i="1"/>
  <c r="AL335" i="1"/>
  <c r="AK335" i="1"/>
  <c r="AJ335" i="1"/>
  <c r="AI335" i="1"/>
  <c r="AH335" i="1"/>
  <c r="AG335" i="1"/>
  <c r="AE335" i="1"/>
  <c r="AD335" i="1"/>
  <c r="AC335" i="1"/>
  <c r="AB335" i="1"/>
  <c r="AA335" i="1"/>
  <c r="H334" i="1"/>
  <c r="AL333" i="1"/>
  <c r="AK333" i="1"/>
  <c r="AJ333" i="1"/>
  <c r="AI333" i="1"/>
  <c r="AH333" i="1"/>
  <c r="AG333" i="1"/>
  <c r="AE333" i="1"/>
  <c r="AD333" i="1"/>
  <c r="AC333" i="1"/>
  <c r="AB333" i="1"/>
  <c r="AA333" i="1"/>
  <c r="AL332" i="1"/>
  <c r="AK332" i="1"/>
  <c r="AJ332" i="1"/>
  <c r="AI332" i="1"/>
  <c r="AH332" i="1"/>
  <c r="AG332" i="1"/>
  <c r="AE332" i="1"/>
  <c r="AD332" i="1"/>
  <c r="AC332" i="1"/>
  <c r="AB332" i="1"/>
  <c r="AA332" i="1"/>
  <c r="AE331" i="1"/>
  <c r="J331" i="1"/>
  <c r="I331" i="1"/>
  <c r="H331" i="1"/>
  <c r="AG330" i="1"/>
  <c r="H330" i="1"/>
  <c r="AL329" i="1"/>
  <c r="AK329" i="1"/>
  <c r="AJ329" i="1"/>
  <c r="AI329" i="1"/>
  <c r="AH329" i="1"/>
  <c r="AG329" i="1"/>
  <c r="AE329" i="1"/>
  <c r="AD329" i="1"/>
  <c r="AC329" i="1"/>
  <c r="AB329" i="1"/>
  <c r="AA329" i="1"/>
  <c r="AL328" i="1"/>
  <c r="AK328" i="1"/>
  <c r="AJ328" i="1"/>
  <c r="AI328" i="1"/>
  <c r="AH328" i="1"/>
  <c r="AG328" i="1"/>
  <c r="AE328" i="1"/>
  <c r="AD328" i="1"/>
  <c r="AC328" i="1"/>
  <c r="AB328" i="1"/>
  <c r="AA328" i="1"/>
  <c r="H327" i="1"/>
  <c r="J327" i="1" s="1"/>
  <c r="AL326" i="1"/>
  <c r="AK326" i="1"/>
  <c r="AJ326" i="1"/>
  <c r="AI326" i="1"/>
  <c r="AH326" i="1"/>
  <c r="AG326" i="1"/>
  <c r="AE326" i="1"/>
  <c r="AD326" i="1"/>
  <c r="AC326" i="1"/>
  <c r="AB326" i="1"/>
  <c r="AA326" i="1"/>
  <c r="AG325" i="1"/>
  <c r="H325" i="1"/>
  <c r="AL324" i="1"/>
  <c r="AK324" i="1"/>
  <c r="AJ324" i="1"/>
  <c r="AI324" i="1"/>
  <c r="AH324" i="1"/>
  <c r="AG324" i="1"/>
  <c r="AE324" i="1"/>
  <c r="AD324" i="1"/>
  <c r="AC324" i="1"/>
  <c r="AB324" i="1"/>
  <c r="AA324" i="1"/>
  <c r="AL323" i="1"/>
  <c r="AK323" i="1"/>
  <c r="AJ323" i="1"/>
  <c r="AI323" i="1"/>
  <c r="AH323" i="1"/>
  <c r="AG323" i="1"/>
  <c r="AE323" i="1"/>
  <c r="AD323" i="1"/>
  <c r="AC323" i="1"/>
  <c r="AB323" i="1"/>
  <c r="AA323" i="1"/>
  <c r="AL322" i="1"/>
  <c r="AD322" i="1"/>
  <c r="K322" i="1"/>
  <c r="AC322" i="1" s="1"/>
  <c r="J322" i="1"/>
  <c r="H322" i="1"/>
  <c r="AE322" i="1" s="1"/>
  <c r="AH321" i="1"/>
  <c r="H321" i="1"/>
  <c r="J321" i="1" s="1"/>
  <c r="AG321" i="1" s="1"/>
  <c r="K320" i="1"/>
  <c r="AJ320" i="1" s="1"/>
  <c r="H320" i="1"/>
  <c r="J320" i="1" s="1"/>
  <c r="AB320" i="1" s="1"/>
  <c r="H319" i="1"/>
  <c r="I319" i="1" s="1"/>
  <c r="H318" i="1"/>
  <c r="AA318" i="1" s="1"/>
  <c r="AL317" i="1"/>
  <c r="AK317" i="1"/>
  <c r="AJ317" i="1"/>
  <c r="AI317" i="1"/>
  <c r="AH317" i="1"/>
  <c r="AG317" i="1"/>
  <c r="AE317" i="1"/>
  <c r="AD317" i="1"/>
  <c r="AC317" i="1"/>
  <c r="AB317" i="1"/>
  <c r="AA317" i="1"/>
  <c r="AL316" i="1"/>
  <c r="AK316" i="1"/>
  <c r="AJ316" i="1"/>
  <c r="AI316" i="1"/>
  <c r="AH316" i="1"/>
  <c r="AG316" i="1"/>
  <c r="AE316" i="1"/>
  <c r="AD316" i="1"/>
  <c r="AC316" i="1"/>
  <c r="AB316" i="1"/>
  <c r="AA316" i="1"/>
  <c r="H315" i="1"/>
  <c r="AL314" i="1"/>
  <c r="AK314" i="1"/>
  <c r="AJ314" i="1"/>
  <c r="AI314" i="1"/>
  <c r="AH314" i="1"/>
  <c r="AG314" i="1"/>
  <c r="AE314" i="1"/>
  <c r="AD314" i="1"/>
  <c r="AC314" i="1"/>
  <c r="AB314" i="1"/>
  <c r="AA314" i="1"/>
  <c r="AL313" i="1"/>
  <c r="AK313" i="1"/>
  <c r="AJ313" i="1"/>
  <c r="AI313" i="1"/>
  <c r="AH313" i="1"/>
  <c r="AG313" i="1"/>
  <c r="AE313" i="1"/>
  <c r="AD313" i="1"/>
  <c r="AC313" i="1"/>
  <c r="AB313" i="1"/>
  <c r="AA313" i="1"/>
  <c r="N313" i="1"/>
  <c r="H312" i="1"/>
  <c r="I312" i="1" s="1"/>
  <c r="H311" i="1"/>
  <c r="M311" i="1" s="1"/>
  <c r="AL311" i="1" s="1"/>
  <c r="AL310" i="1"/>
  <c r="AK310" i="1"/>
  <c r="AJ310" i="1"/>
  <c r="AI310" i="1"/>
  <c r="AH310" i="1"/>
  <c r="AG310" i="1"/>
  <c r="AE310" i="1"/>
  <c r="AD310" i="1"/>
  <c r="AC310" i="1"/>
  <c r="AB310" i="1"/>
  <c r="AA310" i="1"/>
  <c r="H309" i="1"/>
  <c r="I309" i="1" s="1"/>
  <c r="H308" i="1"/>
  <c r="M308" i="1" s="1"/>
  <c r="AL308" i="1" s="1"/>
  <c r="K307" i="1"/>
  <c r="J307" i="1"/>
  <c r="AG307" i="1" s="1"/>
  <c r="H307" i="1"/>
  <c r="AH307" i="1" s="1"/>
  <c r="L306" i="1"/>
  <c r="AE306" i="1" s="1"/>
  <c r="K306" i="1"/>
  <c r="J306" i="1"/>
  <c r="H306" i="1"/>
  <c r="M306" i="1" s="1"/>
  <c r="H305" i="1"/>
  <c r="L305" i="1" s="1"/>
  <c r="AK305" i="1" s="1"/>
  <c r="AL304" i="1"/>
  <c r="AK304" i="1"/>
  <c r="AJ304" i="1"/>
  <c r="AI304" i="1"/>
  <c r="AH304" i="1"/>
  <c r="AG304" i="1"/>
  <c r="AE304" i="1"/>
  <c r="AD304" i="1"/>
  <c r="AC304" i="1"/>
  <c r="AB304" i="1"/>
  <c r="AA304" i="1"/>
  <c r="AL303" i="1"/>
  <c r="AK303" i="1"/>
  <c r="AJ303" i="1"/>
  <c r="AI303" i="1"/>
  <c r="AH303" i="1"/>
  <c r="AG303" i="1"/>
  <c r="AE303" i="1"/>
  <c r="AD303" i="1"/>
  <c r="AC303" i="1"/>
  <c r="AB303" i="1"/>
  <c r="AA303" i="1"/>
  <c r="AL302" i="1"/>
  <c r="AK302" i="1"/>
  <c r="AJ302" i="1"/>
  <c r="AI302" i="1"/>
  <c r="AH302" i="1"/>
  <c r="AG302" i="1"/>
  <c r="AE302" i="1"/>
  <c r="AD302" i="1"/>
  <c r="AC302" i="1"/>
  <c r="AB302" i="1"/>
  <c r="AA302" i="1"/>
  <c r="AL301" i="1"/>
  <c r="AK301" i="1"/>
  <c r="AJ301" i="1"/>
  <c r="AI301" i="1"/>
  <c r="AH301" i="1"/>
  <c r="AG301" i="1"/>
  <c r="AE301" i="1"/>
  <c r="AD301" i="1"/>
  <c r="AC301" i="1"/>
  <c r="AB301" i="1"/>
  <c r="AA301" i="1"/>
  <c r="H300" i="1"/>
  <c r="I300" i="1" s="1"/>
  <c r="AL299" i="1"/>
  <c r="AK299" i="1"/>
  <c r="AJ299" i="1"/>
  <c r="AI299" i="1"/>
  <c r="AH299" i="1"/>
  <c r="AG299" i="1"/>
  <c r="AE299" i="1"/>
  <c r="AD299" i="1"/>
  <c r="AC299" i="1"/>
  <c r="AB299" i="1"/>
  <c r="AA299" i="1"/>
  <c r="H298" i="1"/>
  <c r="H297" i="1"/>
  <c r="AL296" i="1"/>
  <c r="AK296" i="1"/>
  <c r="AJ296" i="1"/>
  <c r="AI296" i="1"/>
  <c r="AH296" i="1"/>
  <c r="AG296" i="1"/>
  <c r="AE296" i="1"/>
  <c r="AD296" i="1"/>
  <c r="AC296" i="1"/>
  <c r="AB296" i="1"/>
  <c r="AA296" i="1"/>
  <c r="H295" i="1"/>
  <c r="AA294" i="1"/>
  <c r="J294" i="1"/>
  <c r="AB294" i="1" s="1"/>
  <c r="H294" i="1"/>
  <c r="H293" i="1"/>
  <c r="M293" i="1" s="1"/>
  <c r="AL292" i="1"/>
  <c r="AK292" i="1"/>
  <c r="AJ292" i="1"/>
  <c r="AI292" i="1"/>
  <c r="AH292" i="1"/>
  <c r="AG292" i="1"/>
  <c r="AE292" i="1"/>
  <c r="AD292" i="1"/>
  <c r="AC292" i="1"/>
  <c r="AB292" i="1"/>
  <c r="AA292" i="1"/>
  <c r="AL291" i="1"/>
  <c r="AK291" i="1"/>
  <c r="AJ291" i="1"/>
  <c r="AI291" i="1"/>
  <c r="AH291" i="1"/>
  <c r="AG291" i="1"/>
  <c r="AE291" i="1"/>
  <c r="AD291" i="1"/>
  <c r="AC291" i="1"/>
  <c r="AB291" i="1"/>
  <c r="AA291" i="1"/>
  <c r="AL290" i="1"/>
  <c r="AK290" i="1"/>
  <c r="AJ290" i="1"/>
  <c r="AI290" i="1"/>
  <c r="AH290" i="1"/>
  <c r="AG290" i="1"/>
  <c r="AE290" i="1"/>
  <c r="AD290" i="1"/>
  <c r="AC290" i="1"/>
  <c r="AB290" i="1"/>
  <c r="AA290" i="1"/>
  <c r="AL289" i="1"/>
  <c r="AK289" i="1"/>
  <c r="AJ289" i="1"/>
  <c r="AI289" i="1"/>
  <c r="AH289" i="1"/>
  <c r="AG289" i="1"/>
  <c r="AE289" i="1"/>
  <c r="AD289" i="1"/>
  <c r="AC289" i="1"/>
  <c r="AB289" i="1"/>
  <c r="AA289" i="1"/>
  <c r="AL288" i="1"/>
  <c r="AK288" i="1"/>
  <c r="AJ288" i="1"/>
  <c r="AI288" i="1"/>
  <c r="AH288" i="1"/>
  <c r="AG288" i="1"/>
  <c r="AE288" i="1"/>
  <c r="AD288" i="1"/>
  <c r="AC288" i="1"/>
  <c r="AB288" i="1"/>
  <c r="AA288" i="1"/>
  <c r="AK287" i="1"/>
  <c r="AE287" i="1"/>
  <c r="AB287" i="1"/>
  <c r="H287" i="1"/>
  <c r="AH286" i="1"/>
  <c r="AA286" i="1"/>
  <c r="H286" i="1"/>
  <c r="L286" i="1" s="1"/>
  <c r="AK286" i="1" s="1"/>
  <c r="AK285" i="1"/>
  <c r="AE285" i="1"/>
  <c r="M285" i="1"/>
  <c r="K285" i="1"/>
  <c r="J285" i="1"/>
  <c r="AB285" i="1" s="1"/>
  <c r="I285" i="1"/>
  <c r="AA285" i="1" s="1"/>
  <c r="H285" i="1"/>
  <c r="H284" i="1"/>
  <c r="M283" i="1"/>
  <c r="AL283" i="1" s="1"/>
  <c r="H283" i="1"/>
  <c r="AE283" i="1" s="1"/>
  <c r="H282" i="1"/>
  <c r="AE282" i="1" s="1"/>
  <c r="H281" i="1"/>
  <c r="AK281" i="1" s="1"/>
  <c r="AL280" i="1"/>
  <c r="AK280" i="1"/>
  <c r="AJ280" i="1"/>
  <c r="AI280" i="1"/>
  <c r="AH280" i="1"/>
  <c r="AG280" i="1"/>
  <c r="AE280" i="1"/>
  <c r="AD280" i="1"/>
  <c r="AC280" i="1"/>
  <c r="AB280" i="1"/>
  <c r="AA280" i="1"/>
  <c r="AL279" i="1"/>
  <c r="AK279" i="1"/>
  <c r="AJ279" i="1"/>
  <c r="AI279" i="1"/>
  <c r="AH279" i="1"/>
  <c r="AG279" i="1"/>
  <c r="AE279" i="1"/>
  <c r="AD279" i="1"/>
  <c r="AC279" i="1"/>
  <c r="AB279" i="1"/>
  <c r="AA279" i="1"/>
  <c r="AG278" i="1"/>
  <c r="K278" i="1"/>
  <c r="H278" i="1"/>
  <c r="AA278" i="1" s="1"/>
  <c r="AL277" i="1"/>
  <c r="AK277" i="1"/>
  <c r="AJ277" i="1"/>
  <c r="AI277" i="1"/>
  <c r="AH277" i="1"/>
  <c r="AG277" i="1"/>
  <c r="AE277" i="1"/>
  <c r="AD277" i="1"/>
  <c r="AC277" i="1"/>
  <c r="AB277" i="1"/>
  <c r="AA277" i="1"/>
  <c r="H276" i="1"/>
  <c r="AD276" i="1" s="1"/>
  <c r="H275" i="1"/>
  <c r="H274" i="1"/>
  <c r="M274" i="1" s="1"/>
  <c r="AK273" i="1"/>
  <c r="AI273" i="1"/>
  <c r="AH273" i="1"/>
  <c r="AG273" i="1"/>
  <c r="AE273" i="1"/>
  <c r="AC273" i="1"/>
  <c r="AB273" i="1"/>
  <c r="AA273" i="1"/>
  <c r="M273" i="1"/>
  <c r="K273" i="1"/>
  <c r="AJ273" i="1" s="1"/>
  <c r="M272" i="1"/>
  <c r="K272" i="1"/>
  <c r="J272" i="1"/>
  <c r="I272" i="1"/>
  <c r="H272" i="1"/>
  <c r="AE272" i="1" s="1"/>
  <c r="H271" i="1"/>
  <c r="AA271" i="1" s="1"/>
  <c r="AL270" i="1"/>
  <c r="AK270" i="1"/>
  <c r="AJ270" i="1"/>
  <c r="AI270" i="1"/>
  <c r="AH270" i="1"/>
  <c r="AG270" i="1"/>
  <c r="AE270" i="1"/>
  <c r="AD270" i="1"/>
  <c r="AC270" i="1"/>
  <c r="AB270" i="1"/>
  <c r="AA270" i="1"/>
  <c r="H269" i="1"/>
  <c r="H268" i="1"/>
  <c r="M268" i="1" s="1"/>
  <c r="H267" i="1"/>
  <c r="AH267" i="1" s="1"/>
  <c r="H266" i="1"/>
  <c r="L266" i="1" s="1"/>
  <c r="AL265" i="1"/>
  <c r="AK265" i="1"/>
  <c r="AJ265" i="1"/>
  <c r="AI265" i="1"/>
  <c r="AH265" i="1"/>
  <c r="AG265" i="1"/>
  <c r="AE265" i="1"/>
  <c r="AD265" i="1"/>
  <c r="AC265" i="1"/>
  <c r="AB265" i="1"/>
  <c r="AA265" i="1"/>
  <c r="AL264" i="1"/>
  <c r="AK264" i="1"/>
  <c r="AD264" i="1"/>
  <c r="AC264" i="1"/>
  <c r="H264" i="1"/>
  <c r="AE264" i="1" s="1"/>
  <c r="AL263" i="1"/>
  <c r="AK263" i="1"/>
  <c r="AJ263" i="1"/>
  <c r="AI263" i="1"/>
  <c r="AH263" i="1"/>
  <c r="AG263" i="1"/>
  <c r="AE263" i="1"/>
  <c r="AD263" i="1"/>
  <c r="AC263" i="1"/>
  <c r="AB263" i="1"/>
  <c r="AA263" i="1"/>
  <c r="H262" i="1"/>
  <c r="AL261" i="1"/>
  <c r="AK261" i="1"/>
  <c r="AJ261" i="1"/>
  <c r="AI261" i="1"/>
  <c r="AH261" i="1"/>
  <c r="AG261" i="1"/>
  <c r="AE261" i="1"/>
  <c r="AD261" i="1"/>
  <c r="AC261" i="1"/>
  <c r="AB261" i="1"/>
  <c r="AA261" i="1"/>
  <c r="AC260" i="1"/>
  <c r="H260" i="1"/>
  <c r="AK260" i="1" s="1"/>
  <c r="H259" i="1"/>
  <c r="AL258" i="1"/>
  <c r="AK258" i="1"/>
  <c r="AJ258" i="1"/>
  <c r="AI258" i="1"/>
  <c r="AH258" i="1"/>
  <c r="AG258" i="1"/>
  <c r="AE258" i="1"/>
  <c r="AD258" i="1"/>
  <c r="AC258" i="1"/>
  <c r="AB258" i="1"/>
  <c r="AA258" i="1"/>
  <c r="H257" i="1"/>
  <c r="AD257" i="1" s="1"/>
  <c r="AL256" i="1"/>
  <c r="AK256" i="1"/>
  <c r="AJ256" i="1"/>
  <c r="AI256" i="1"/>
  <c r="AH256" i="1"/>
  <c r="AG256" i="1"/>
  <c r="AE256" i="1"/>
  <c r="AD256" i="1"/>
  <c r="AC256" i="1"/>
  <c r="AB256" i="1"/>
  <c r="AA256" i="1"/>
  <c r="AL255" i="1"/>
  <c r="AK255" i="1"/>
  <c r="AJ255" i="1"/>
  <c r="AI255" i="1"/>
  <c r="AH255" i="1"/>
  <c r="AG255" i="1"/>
  <c r="AE255" i="1"/>
  <c r="AD255" i="1"/>
  <c r="AC255" i="1"/>
  <c r="AB255" i="1"/>
  <c r="AA255" i="1"/>
  <c r="AL254" i="1"/>
  <c r="AK254" i="1"/>
  <c r="AJ254" i="1"/>
  <c r="AI254" i="1"/>
  <c r="AH254" i="1"/>
  <c r="AG254" i="1"/>
  <c r="AE254" i="1"/>
  <c r="AD254" i="1"/>
  <c r="AC254" i="1"/>
  <c r="AB254" i="1"/>
  <c r="AA254" i="1"/>
  <c r="M253" i="1"/>
  <c r="AL253" i="1" s="1"/>
  <c r="L253" i="1"/>
  <c r="AE253" i="1" s="1"/>
  <c r="H253" i="1"/>
  <c r="K253" i="1" s="1"/>
  <c r="AJ253" i="1" s="1"/>
  <c r="AL252" i="1"/>
  <c r="AK252" i="1"/>
  <c r="AJ252" i="1"/>
  <c r="AI252" i="1"/>
  <c r="AH252" i="1"/>
  <c r="AG252" i="1"/>
  <c r="AE252" i="1"/>
  <c r="AD252" i="1"/>
  <c r="AC252" i="1"/>
  <c r="AB252" i="1"/>
  <c r="AA252" i="1"/>
  <c r="AL251" i="1"/>
  <c r="L251" i="1"/>
  <c r="AK251" i="1" s="1"/>
  <c r="H251" i="1"/>
  <c r="AD251" i="1" s="1"/>
  <c r="H250" i="1"/>
  <c r="K250" i="1" s="1"/>
  <c r="AL249" i="1"/>
  <c r="AK249" i="1"/>
  <c r="AJ249" i="1"/>
  <c r="AI249" i="1"/>
  <c r="AH249" i="1"/>
  <c r="AG249" i="1"/>
  <c r="AE249" i="1"/>
  <c r="AD249" i="1"/>
  <c r="AC249" i="1"/>
  <c r="AB249" i="1"/>
  <c r="AA249" i="1"/>
  <c r="H248" i="1"/>
  <c r="AE248" i="1" s="1"/>
  <c r="AL247" i="1"/>
  <c r="AK247" i="1"/>
  <c r="AJ247" i="1"/>
  <c r="AI247" i="1"/>
  <c r="AH247" i="1"/>
  <c r="AG247" i="1"/>
  <c r="AE247" i="1"/>
  <c r="AD247" i="1"/>
  <c r="AC247" i="1"/>
  <c r="AB247" i="1"/>
  <c r="AA247" i="1"/>
  <c r="AL246" i="1"/>
  <c r="AK246" i="1"/>
  <c r="AJ246" i="1"/>
  <c r="AI246" i="1"/>
  <c r="AH246" i="1"/>
  <c r="AG246" i="1"/>
  <c r="AE246" i="1"/>
  <c r="AD246" i="1"/>
  <c r="AC246" i="1"/>
  <c r="AB246" i="1"/>
  <c r="AA246" i="1"/>
  <c r="AL245" i="1"/>
  <c r="AK245" i="1"/>
  <c r="AJ245" i="1"/>
  <c r="AI245" i="1"/>
  <c r="AH245" i="1"/>
  <c r="AG245" i="1"/>
  <c r="AE245" i="1"/>
  <c r="AD245" i="1"/>
  <c r="AC245" i="1"/>
  <c r="AB245" i="1"/>
  <c r="AA245" i="1"/>
  <c r="AL244" i="1"/>
  <c r="AK244" i="1"/>
  <c r="AJ244" i="1"/>
  <c r="AI244" i="1"/>
  <c r="AH244" i="1"/>
  <c r="AG244" i="1"/>
  <c r="AE244" i="1"/>
  <c r="AD244" i="1"/>
  <c r="AC244" i="1"/>
  <c r="AB244" i="1"/>
  <c r="AA244" i="1"/>
  <c r="AL243" i="1"/>
  <c r="AK243" i="1"/>
  <c r="AJ243" i="1"/>
  <c r="AI243" i="1"/>
  <c r="AH243" i="1"/>
  <c r="AG243" i="1"/>
  <c r="AE243" i="1"/>
  <c r="AD243" i="1"/>
  <c r="AC243" i="1"/>
  <c r="AB243" i="1"/>
  <c r="AA243" i="1"/>
  <c r="AL242" i="1"/>
  <c r="AK242" i="1"/>
  <c r="AJ242" i="1"/>
  <c r="AI242" i="1"/>
  <c r="AH242" i="1"/>
  <c r="AG242" i="1"/>
  <c r="AE242" i="1"/>
  <c r="AD242" i="1"/>
  <c r="AC242" i="1"/>
  <c r="AB242" i="1"/>
  <c r="AA242" i="1"/>
  <c r="AL241" i="1"/>
  <c r="AK241" i="1"/>
  <c r="AJ241" i="1"/>
  <c r="AI241" i="1"/>
  <c r="AH241" i="1"/>
  <c r="AG241" i="1"/>
  <c r="AE241" i="1"/>
  <c r="AD241" i="1"/>
  <c r="AC241" i="1"/>
  <c r="AB241" i="1"/>
  <c r="AA241" i="1"/>
  <c r="AL240" i="1"/>
  <c r="AK240" i="1"/>
  <c r="AJ240" i="1"/>
  <c r="AI240" i="1"/>
  <c r="AH240" i="1"/>
  <c r="AG240" i="1"/>
  <c r="AE240" i="1"/>
  <c r="AD240" i="1"/>
  <c r="AC240" i="1"/>
  <c r="AB240" i="1"/>
  <c r="AA240" i="1"/>
  <c r="AL239" i="1"/>
  <c r="AK239" i="1"/>
  <c r="AJ239" i="1"/>
  <c r="AI239" i="1"/>
  <c r="AH239" i="1"/>
  <c r="AG239" i="1"/>
  <c r="AE239" i="1"/>
  <c r="AD239" i="1"/>
  <c r="AC239" i="1"/>
  <c r="AB239" i="1"/>
  <c r="AA239" i="1"/>
  <c r="H238" i="1"/>
  <c r="AE238" i="1" s="1"/>
  <c r="AL237" i="1"/>
  <c r="AK237" i="1"/>
  <c r="AJ237" i="1"/>
  <c r="AI237" i="1"/>
  <c r="AH237" i="1"/>
  <c r="AG237" i="1"/>
  <c r="AE237" i="1"/>
  <c r="AD237" i="1"/>
  <c r="AC237" i="1"/>
  <c r="AB237" i="1"/>
  <c r="AA237" i="1"/>
  <c r="H236" i="1"/>
  <c r="AL235" i="1"/>
  <c r="AK235" i="1"/>
  <c r="AJ235" i="1"/>
  <c r="AI235" i="1"/>
  <c r="AH235" i="1"/>
  <c r="AG235" i="1"/>
  <c r="AE235" i="1"/>
  <c r="AD235" i="1"/>
  <c r="AC235" i="1"/>
  <c r="AB235" i="1"/>
  <c r="AA235" i="1"/>
  <c r="M234" i="1"/>
  <c r="H234" i="1"/>
  <c r="L234" i="1" s="1"/>
  <c r="AE234" i="1" s="1"/>
  <c r="AL233" i="1"/>
  <c r="AK233" i="1"/>
  <c r="AJ233" i="1"/>
  <c r="AI233" i="1"/>
  <c r="AH233" i="1"/>
  <c r="AG233" i="1"/>
  <c r="AE233" i="1"/>
  <c r="AD233" i="1"/>
  <c r="AC233" i="1"/>
  <c r="AB233" i="1"/>
  <c r="AA233" i="1"/>
  <c r="AL232" i="1"/>
  <c r="AK232" i="1"/>
  <c r="AJ232" i="1"/>
  <c r="AI232" i="1"/>
  <c r="AH232" i="1"/>
  <c r="AG232" i="1"/>
  <c r="AE232" i="1"/>
  <c r="AD232" i="1"/>
  <c r="AC232" i="1"/>
  <c r="AB232" i="1"/>
  <c r="AA232" i="1"/>
  <c r="AL231" i="1"/>
  <c r="AK231" i="1"/>
  <c r="AJ231" i="1"/>
  <c r="AI231" i="1"/>
  <c r="AH231" i="1"/>
  <c r="AG231" i="1"/>
  <c r="AE231" i="1"/>
  <c r="AD231" i="1"/>
  <c r="AC231" i="1"/>
  <c r="AB231" i="1"/>
  <c r="AA231" i="1"/>
  <c r="AJ230" i="1"/>
  <c r="AD230" i="1"/>
  <c r="AC230" i="1"/>
  <c r="AA230" i="1"/>
  <c r="Q230" i="1"/>
  <c r="L230" i="1"/>
  <c r="AK230" i="1" s="1"/>
  <c r="J230" i="1"/>
  <c r="AI230" i="1" s="1"/>
  <c r="H230" i="1"/>
  <c r="AH230" i="1" s="1"/>
  <c r="H229" i="1"/>
  <c r="M229" i="1" s="1"/>
  <c r="AL228" i="1"/>
  <c r="AK228" i="1"/>
  <c r="AJ228" i="1"/>
  <c r="AI228" i="1"/>
  <c r="AH228" i="1"/>
  <c r="AG228" i="1"/>
  <c r="AE228" i="1"/>
  <c r="AD228" i="1"/>
  <c r="AC228" i="1"/>
  <c r="AB228" i="1"/>
  <c r="AA228" i="1"/>
  <c r="H227" i="1"/>
  <c r="AD227" i="1" s="1"/>
  <c r="AL226" i="1"/>
  <c r="AK226" i="1"/>
  <c r="AJ226" i="1"/>
  <c r="AI226" i="1"/>
  <c r="AH226" i="1"/>
  <c r="AG226" i="1"/>
  <c r="AE226" i="1"/>
  <c r="AD226" i="1"/>
  <c r="AC226" i="1"/>
  <c r="AB226" i="1"/>
  <c r="AA226" i="1"/>
  <c r="AL225" i="1"/>
  <c r="AK225" i="1"/>
  <c r="AJ225" i="1"/>
  <c r="AI225" i="1"/>
  <c r="AH225" i="1"/>
  <c r="AG225" i="1"/>
  <c r="AE225" i="1"/>
  <c r="AD225" i="1"/>
  <c r="AC225" i="1"/>
  <c r="AB225" i="1"/>
  <c r="AA225" i="1"/>
  <c r="AL224" i="1"/>
  <c r="AK224" i="1"/>
  <c r="AJ224" i="1"/>
  <c r="AI224" i="1"/>
  <c r="AH224" i="1"/>
  <c r="AG224" i="1"/>
  <c r="AE224" i="1"/>
  <c r="AD224" i="1"/>
  <c r="AC224" i="1"/>
  <c r="AB224" i="1"/>
  <c r="AA224" i="1"/>
  <c r="AL223" i="1"/>
  <c r="AK223" i="1"/>
  <c r="AJ223" i="1"/>
  <c r="AI223" i="1"/>
  <c r="AH223" i="1"/>
  <c r="AG223" i="1"/>
  <c r="AE223" i="1"/>
  <c r="AD223" i="1"/>
  <c r="AC223" i="1"/>
  <c r="AB223" i="1"/>
  <c r="AA223" i="1"/>
  <c r="AL222" i="1"/>
  <c r="AK222" i="1"/>
  <c r="AJ222" i="1"/>
  <c r="AI222" i="1"/>
  <c r="AH222" i="1"/>
  <c r="AG222" i="1"/>
  <c r="AE222" i="1"/>
  <c r="AD222" i="1"/>
  <c r="AC222" i="1"/>
  <c r="AB222" i="1"/>
  <c r="AA222" i="1"/>
  <c r="AL221" i="1"/>
  <c r="AK221" i="1"/>
  <c r="AJ221" i="1"/>
  <c r="AI221" i="1"/>
  <c r="AH221" i="1"/>
  <c r="AG221" i="1"/>
  <c r="AE221" i="1"/>
  <c r="AD221" i="1"/>
  <c r="AC221" i="1"/>
  <c r="AB221" i="1"/>
  <c r="AA221" i="1"/>
  <c r="AL220" i="1"/>
  <c r="AK220" i="1"/>
  <c r="AJ220" i="1"/>
  <c r="AE220" i="1"/>
  <c r="AD220" i="1"/>
  <c r="AC220" i="1"/>
  <c r="J220" i="1"/>
  <c r="AB220" i="1" s="1"/>
  <c r="I220" i="1"/>
  <c r="AA220" i="1" s="1"/>
  <c r="AL219" i="1"/>
  <c r="AK219" i="1"/>
  <c r="AJ219" i="1"/>
  <c r="AI219" i="1"/>
  <c r="AH219" i="1"/>
  <c r="AG219" i="1"/>
  <c r="AE219" i="1"/>
  <c r="AD219" i="1"/>
  <c r="AC219" i="1"/>
  <c r="AB219" i="1"/>
  <c r="AA219" i="1"/>
  <c r="AL218" i="1"/>
  <c r="AK218" i="1"/>
  <c r="AJ218" i="1"/>
  <c r="AI218" i="1"/>
  <c r="AH218" i="1"/>
  <c r="AG218" i="1"/>
  <c r="AE218" i="1"/>
  <c r="AD218" i="1"/>
  <c r="AC218" i="1"/>
  <c r="AB218" i="1"/>
  <c r="AA218" i="1"/>
  <c r="H217" i="1"/>
  <c r="AL216" i="1"/>
  <c r="AK216" i="1"/>
  <c r="AJ216" i="1"/>
  <c r="AI216" i="1"/>
  <c r="AH216" i="1"/>
  <c r="AG216" i="1"/>
  <c r="AE216" i="1"/>
  <c r="AF216" i="1" s="1"/>
  <c r="AD216" i="1"/>
  <c r="AC216" i="1"/>
  <c r="AB216" i="1"/>
  <c r="AA216" i="1"/>
  <c r="AL215" i="1"/>
  <c r="AK215" i="1"/>
  <c r="AJ215" i="1"/>
  <c r="AI215" i="1"/>
  <c r="AH215" i="1"/>
  <c r="AG215" i="1"/>
  <c r="AE215" i="1"/>
  <c r="AD215" i="1"/>
  <c r="AC215" i="1"/>
  <c r="AB215" i="1"/>
  <c r="AA215" i="1"/>
  <c r="AL214" i="1"/>
  <c r="AK214" i="1"/>
  <c r="AJ214" i="1"/>
  <c r="AI214" i="1"/>
  <c r="AH214" i="1"/>
  <c r="AG214" i="1"/>
  <c r="AE214" i="1"/>
  <c r="AD214" i="1"/>
  <c r="AC214" i="1"/>
  <c r="AB214" i="1"/>
  <c r="AA214" i="1"/>
  <c r="AL213" i="1"/>
  <c r="AK213" i="1"/>
  <c r="AJ213" i="1"/>
  <c r="AI213" i="1"/>
  <c r="AH213" i="1"/>
  <c r="AG213" i="1"/>
  <c r="AE213" i="1"/>
  <c r="AD213" i="1"/>
  <c r="AC213" i="1"/>
  <c r="AB213" i="1"/>
  <c r="AA213" i="1"/>
  <c r="AL212" i="1"/>
  <c r="AK212" i="1"/>
  <c r="AJ212" i="1"/>
  <c r="AI212" i="1"/>
  <c r="AH212" i="1"/>
  <c r="AG212" i="1"/>
  <c r="AE212" i="1"/>
  <c r="AD212" i="1"/>
  <c r="AC212" i="1"/>
  <c r="AB212" i="1"/>
  <c r="AA212" i="1"/>
  <c r="AL211" i="1"/>
  <c r="AK211" i="1"/>
  <c r="AJ211" i="1"/>
  <c r="AI211" i="1"/>
  <c r="AH211" i="1"/>
  <c r="AG211" i="1"/>
  <c r="AE211" i="1"/>
  <c r="AD211" i="1"/>
  <c r="AC211" i="1"/>
  <c r="AB211" i="1"/>
  <c r="AA211" i="1"/>
  <c r="AL210" i="1"/>
  <c r="AK210" i="1"/>
  <c r="AJ210" i="1"/>
  <c r="AI210" i="1"/>
  <c r="AH210" i="1"/>
  <c r="AG210" i="1"/>
  <c r="AE210" i="1"/>
  <c r="AD210" i="1"/>
  <c r="AC210" i="1"/>
  <c r="AB210" i="1"/>
  <c r="AA210" i="1"/>
  <c r="AL209" i="1"/>
  <c r="AK209" i="1"/>
  <c r="AJ209" i="1"/>
  <c r="AI209" i="1"/>
  <c r="AH209" i="1"/>
  <c r="AG209" i="1"/>
  <c r="AE209" i="1"/>
  <c r="AD209" i="1"/>
  <c r="AC209" i="1"/>
  <c r="AB209" i="1"/>
  <c r="AA209" i="1"/>
  <c r="AL208" i="1"/>
  <c r="AK208" i="1"/>
  <c r="AJ208" i="1"/>
  <c r="AI208" i="1"/>
  <c r="AH208" i="1"/>
  <c r="AG208" i="1"/>
  <c r="AE208" i="1"/>
  <c r="AD208" i="1"/>
  <c r="AC208" i="1"/>
  <c r="AB208" i="1"/>
  <c r="AA208" i="1"/>
  <c r="AA207" i="1"/>
  <c r="H207" i="1"/>
  <c r="H206" i="1"/>
  <c r="J206" i="1" s="1"/>
  <c r="AI206" i="1" s="1"/>
  <c r="H205" i="1"/>
  <c r="M205" i="1" s="1"/>
  <c r="AL204" i="1"/>
  <c r="AK204" i="1"/>
  <c r="AJ204" i="1"/>
  <c r="AI204" i="1"/>
  <c r="AH204" i="1"/>
  <c r="AG204" i="1"/>
  <c r="AE204" i="1"/>
  <c r="AD204" i="1"/>
  <c r="AC204" i="1"/>
  <c r="AB204" i="1"/>
  <c r="AA204" i="1"/>
  <c r="AL203" i="1"/>
  <c r="AK203" i="1"/>
  <c r="AJ203" i="1"/>
  <c r="AI203" i="1"/>
  <c r="AH203" i="1"/>
  <c r="AG203" i="1"/>
  <c r="AE203" i="1"/>
  <c r="AD203" i="1"/>
  <c r="AC203" i="1"/>
  <c r="AB203" i="1"/>
  <c r="AA203" i="1"/>
  <c r="H202" i="1"/>
  <c r="S202" i="1" s="1"/>
  <c r="L201" i="1"/>
  <c r="AE201" i="1" s="1"/>
  <c r="H201" i="1"/>
  <c r="H200" i="1"/>
  <c r="AA200" i="1" s="1"/>
  <c r="H199" i="1"/>
  <c r="H198" i="1"/>
  <c r="AD198" i="1" s="1"/>
  <c r="H197" i="1"/>
  <c r="K196" i="1"/>
  <c r="AJ196" i="1" s="1"/>
  <c r="H196" i="1"/>
  <c r="M196" i="1" s="1"/>
  <c r="AL195" i="1"/>
  <c r="AK195" i="1"/>
  <c r="AJ195" i="1"/>
  <c r="AI195" i="1"/>
  <c r="AH195" i="1"/>
  <c r="AG195" i="1"/>
  <c r="AE195" i="1"/>
  <c r="AD195" i="1"/>
  <c r="AC195" i="1"/>
  <c r="AB195" i="1"/>
  <c r="AA195" i="1"/>
  <c r="AG194" i="1"/>
  <c r="M194" i="1"/>
  <c r="H194" i="1"/>
  <c r="AH194" i="1" s="1"/>
  <c r="AL193" i="1"/>
  <c r="AK193" i="1"/>
  <c r="AJ193" i="1"/>
  <c r="AI193" i="1"/>
  <c r="AH193" i="1"/>
  <c r="AG193" i="1"/>
  <c r="AE193" i="1"/>
  <c r="AD193" i="1"/>
  <c r="AC193" i="1"/>
  <c r="AB193" i="1"/>
  <c r="AA193" i="1"/>
  <c r="H192" i="1"/>
  <c r="K192" i="1" s="1"/>
  <c r="AJ192" i="1" s="1"/>
  <c r="AL191" i="1"/>
  <c r="AK191" i="1"/>
  <c r="AJ191" i="1"/>
  <c r="AI191" i="1"/>
  <c r="AH191" i="1"/>
  <c r="AG191" i="1"/>
  <c r="AE191" i="1"/>
  <c r="AD191" i="1"/>
  <c r="AC191" i="1"/>
  <c r="AB191" i="1"/>
  <c r="AA191" i="1"/>
  <c r="AL190" i="1"/>
  <c r="AK190" i="1"/>
  <c r="AJ190" i="1"/>
  <c r="AI190" i="1"/>
  <c r="AH190" i="1"/>
  <c r="AG190" i="1"/>
  <c r="AE190" i="1"/>
  <c r="AD190" i="1"/>
  <c r="AC190" i="1"/>
  <c r="AB190" i="1"/>
  <c r="AA190" i="1"/>
  <c r="AL189" i="1"/>
  <c r="AK189" i="1"/>
  <c r="AJ189" i="1"/>
  <c r="AI189" i="1"/>
  <c r="AH189" i="1"/>
  <c r="AG189" i="1"/>
  <c r="AE189" i="1"/>
  <c r="AD189" i="1"/>
  <c r="AC189" i="1"/>
  <c r="AB189" i="1"/>
  <c r="AA189" i="1"/>
  <c r="AL188" i="1"/>
  <c r="AK188" i="1"/>
  <c r="AJ188" i="1"/>
  <c r="AI188" i="1"/>
  <c r="AH188" i="1"/>
  <c r="AG188" i="1"/>
  <c r="AE188" i="1"/>
  <c r="AD188" i="1"/>
  <c r="AC188" i="1"/>
  <c r="AB188" i="1"/>
  <c r="AA188" i="1"/>
  <c r="AL187" i="1"/>
  <c r="AK187" i="1"/>
  <c r="AJ187" i="1"/>
  <c r="AI187" i="1"/>
  <c r="AH187" i="1"/>
  <c r="AG187" i="1"/>
  <c r="AE187" i="1"/>
  <c r="AD187" i="1"/>
  <c r="AC187" i="1"/>
  <c r="AB187" i="1"/>
  <c r="AA187" i="1"/>
  <c r="AL186" i="1"/>
  <c r="AK186" i="1"/>
  <c r="AJ186" i="1"/>
  <c r="AI186" i="1"/>
  <c r="AH186" i="1"/>
  <c r="AG186" i="1"/>
  <c r="AE186" i="1"/>
  <c r="AD186" i="1"/>
  <c r="AC186" i="1"/>
  <c r="AB186" i="1"/>
  <c r="AA186" i="1"/>
  <c r="AL185" i="1"/>
  <c r="AK185" i="1"/>
  <c r="AJ185" i="1"/>
  <c r="AI185" i="1"/>
  <c r="AH185" i="1"/>
  <c r="AG185" i="1"/>
  <c r="AE185" i="1"/>
  <c r="AD185" i="1"/>
  <c r="AC185" i="1"/>
  <c r="AB185" i="1"/>
  <c r="AA185" i="1"/>
  <c r="H184" i="1"/>
  <c r="M184" i="1" s="1"/>
  <c r="AL183" i="1"/>
  <c r="AK183" i="1"/>
  <c r="AJ183" i="1"/>
  <c r="AI183" i="1"/>
  <c r="AH183" i="1"/>
  <c r="AG183" i="1"/>
  <c r="AE183" i="1"/>
  <c r="AD183" i="1"/>
  <c r="AC183" i="1"/>
  <c r="AB183" i="1"/>
  <c r="AA183" i="1"/>
  <c r="AL182" i="1"/>
  <c r="AK182" i="1"/>
  <c r="AJ182" i="1"/>
  <c r="AI182" i="1"/>
  <c r="AH182" i="1"/>
  <c r="AG182" i="1"/>
  <c r="AE182" i="1"/>
  <c r="AD182" i="1"/>
  <c r="AC182" i="1"/>
  <c r="AB182" i="1"/>
  <c r="AA182" i="1"/>
  <c r="AL181" i="1"/>
  <c r="AK181" i="1"/>
  <c r="AJ181" i="1"/>
  <c r="AI181" i="1"/>
  <c r="AH181" i="1"/>
  <c r="AG181" i="1"/>
  <c r="AE181" i="1"/>
  <c r="AD181" i="1"/>
  <c r="AC181" i="1"/>
  <c r="AB181" i="1"/>
  <c r="AA181" i="1"/>
  <c r="AG180" i="1"/>
  <c r="H180" i="1"/>
  <c r="AI180" i="1" s="1"/>
  <c r="H179" i="1"/>
  <c r="I179" i="1" s="1"/>
  <c r="H178" i="1"/>
  <c r="AE178" i="1" s="1"/>
  <c r="H177" i="1"/>
  <c r="AE177" i="1" s="1"/>
  <c r="AL176" i="1"/>
  <c r="AK176" i="1"/>
  <c r="AJ176" i="1"/>
  <c r="AI176" i="1"/>
  <c r="AH176" i="1"/>
  <c r="AG176" i="1"/>
  <c r="AE176" i="1"/>
  <c r="AD176" i="1"/>
  <c r="AC176" i="1"/>
  <c r="AB176" i="1"/>
  <c r="AA176" i="1"/>
  <c r="AL175" i="1"/>
  <c r="AK175" i="1"/>
  <c r="AJ175" i="1"/>
  <c r="AI175" i="1"/>
  <c r="AH175" i="1"/>
  <c r="AG175" i="1"/>
  <c r="AE175" i="1"/>
  <c r="AD175" i="1"/>
  <c r="AC175" i="1"/>
  <c r="AB175" i="1"/>
  <c r="AA175" i="1"/>
  <c r="AL174" i="1"/>
  <c r="AK174" i="1"/>
  <c r="AJ174" i="1"/>
  <c r="AI174" i="1"/>
  <c r="AH174" i="1"/>
  <c r="AG174" i="1"/>
  <c r="AE174" i="1"/>
  <c r="AD174" i="1"/>
  <c r="AC174" i="1"/>
  <c r="AB174" i="1"/>
  <c r="AA174" i="1"/>
  <c r="AL173" i="1"/>
  <c r="AK173" i="1"/>
  <c r="AJ173" i="1"/>
  <c r="AI173" i="1"/>
  <c r="AH173" i="1"/>
  <c r="AG173" i="1"/>
  <c r="AE173" i="1"/>
  <c r="AD173" i="1"/>
  <c r="AC173" i="1"/>
  <c r="AB173" i="1"/>
  <c r="AA173" i="1"/>
  <c r="H172" i="1"/>
  <c r="AL171" i="1"/>
  <c r="AK171" i="1"/>
  <c r="AJ171" i="1"/>
  <c r="AI171" i="1"/>
  <c r="AH171" i="1"/>
  <c r="AG171" i="1"/>
  <c r="AE171" i="1"/>
  <c r="AD171" i="1"/>
  <c r="AC171" i="1"/>
  <c r="AB171" i="1"/>
  <c r="AA171" i="1"/>
  <c r="AL170" i="1"/>
  <c r="AK170" i="1"/>
  <c r="AJ170" i="1"/>
  <c r="AI170" i="1"/>
  <c r="AH170" i="1"/>
  <c r="AG170" i="1"/>
  <c r="AE170" i="1"/>
  <c r="AD170" i="1"/>
  <c r="AC170" i="1"/>
  <c r="AB170" i="1"/>
  <c r="AA170" i="1"/>
  <c r="AL169" i="1"/>
  <c r="AK169" i="1"/>
  <c r="AJ169" i="1"/>
  <c r="AI169" i="1"/>
  <c r="AH169" i="1"/>
  <c r="AG169" i="1"/>
  <c r="AE169" i="1"/>
  <c r="AD169" i="1"/>
  <c r="AC169" i="1"/>
  <c r="AB169" i="1"/>
  <c r="AA169" i="1"/>
  <c r="AL168" i="1"/>
  <c r="AK168" i="1"/>
  <c r="AJ168" i="1"/>
  <c r="AI168" i="1"/>
  <c r="AH168" i="1"/>
  <c r="AG168" i="1"/>
  <c r="AE168" i="1"/>
  <c r="AD168" i="1"/>
  <c r="AC168" i="1"/>
  <c r="AB168" i="1"/>
  <c r="AA168" i="1"/>
  <c r="AL167" i="1"/>
  <c r="AK167" i="1"/>
  <c r="AJ167" i="1"/>
  <c r="AI167" i="1"/>
  <c r="AH167" i="1"/>
  <c r="AG167" i="1"/>
  <c r="AE167" i="1"/>
  <c r="AD167" i="1"/>
  <c r="AC167" i="1"/>
  <c r="AB167" i="1"/>
  <c r="AA167" i="1"/>
  <c r="AL166" i="1"/>
  <c r="AK166" i="1"/>
  <c r="AJ166" i="1"/>
  <c r="AI166" i="1"/>
  <c r="AH166" i="1"/>
  <c r="AG166" i="1"/>
  <c r="AE166" i="1"/>
  <c r="AD166" i="1"/>
  <c r="AC166" i="1"/>
  <c r="AB166" i="1"/>
  <c r="AA166" i="1"/>
  <c r="AL165" i="1"/>
  <c r="AK165" i="1"/>
  <c r="AJ165" i="1"/>
  <c r="AI165" i="1"/>
  <c r="AH165" i="1"/>
  <c r="AG165" i="1"/>
  <c r="AE165" i="1"/>
  <c r="AD165" i="1"/>
  <c r="AC165" i="1"/>
  <c r="AB165" i="1"/>
  <c r="AA165" i="1"/>
  <c r="H164" i="1"/>
  <c r="M164" i="1" s="1"/>
  <c r="AL163" i="1"/>
  <c r="AK163" i="1"/>
  <c r="AJ163" i="1"/>
  <c r="AI163" i="1"/>
  <c r="AH163" i="1"/>
  <c r="AG163" i="1"/>
  <c r="AE163" i="1"/>
  <c r="AD163" i="1"/>
  <c r="AC163" i="1"/>
  <c r="AB163" i="1"/>
  <c r="AA163" i="1"/>
  <c r="AL162" i="1"/>
  <c r="AK162" i="1"/>
  <c r="AJ162" i="1"/>
  <c r="AI162" i="1"/>
  <c r="AH162" i="1"/>
  <c r="AG162" i="1"/>
  <c r="AE162" i="1"/>
  <c r="AD162" i="1"/>
  <c r="AC162" i="1"/>
  <c r="AB162" i="1"/>
  <c r="AA162" i="1"/>
  <c r="H161" i="1"/>
  <c r="I161" i="1" s="1"/>
  <c r="AA161" i="1" s="1"/>
  <c r="H160" i="1"/>
  <c r="I160" i="1" s="1"/>
  <c r="AA160" i="1" s="1"/>
  <c r="J159" i="1"/>
  <c r="AB159" i="1" s="1"/>
  <c r="I159" i="1"/>
  <c r="AH159" i="1" s="1"/>
  <c r="H159" i="1"/>
  <c r="AE159" i="1" s="1"/>
  <c r="J158" i="1"/>
  <c r="AB158" i="1" s="1"/>
  <c r="I158" i="1"/>
  <c r="AH158" i="1" s="1"/>
  <c r="H158" i="1"/>
  <c r="AE158" i="1" s="1"/>
  <c r="AL157" i="1"/>
  <c r="AK157" i="1"/>
  <c r="AJ157" i="1"/>
  <c r="AI157" i="1"/>
  <c r="AH157" i="1"/>
  <c r="AG157" i="1"/>
  <c r="AE157" i="1"/>
  <c r="AD157" i="1"/>
  <c r="AC157" i="1"/>
  <c r="AB157" i="1"/>
  <c r="AA157" i="1"/>
  <c r="AD156" i="1"/>
  <c r="L156" i="1"/>
  <c r="K156" i="1"/>
  <c r="H156" i="1"/>
  <c r="R156" i="1" s="1"/>
  <c r="AL155" i="1"/>
  <c r="AK155" i="1"/>
  <c r="AJ155" i="1"/>
  <c r="AI155" i="1"/>
  <c r="AH155" i="1"/>
  <c r="AG155" i="1"/>
  <c r="AE155" i="1"/>
  <c r="AD155" i="1"/>
  <c r="AC155" i="1"/>
  <c r="AB155" i="1"/>
  <c r="AA155" i="1"/>
  <c r="AL154" i="1"/>
  <c r="H154" i="1"/>
  <c r="AK154" i="1" s="1"/>
  <c r="AL153" i="1"/>
  <c r="AK153" i="1"/>
  <c r="H153" i="1"/>
  <c r="AE153" i="1" s="1"/>
  <c r="H152" i="1"/>
  <c r="AK152" i="1" s="1"/>
  <c r="AL151" i="1"/>
  <c r="AK151" i="1"/>
  <c r="AJ151" i="1"/>
  <c r="AI151" i="1"/>
  <c r="AH151" i="1"/>
  <c r="AG151" i="1"/>
  <c r="AE151" i="1"/>
  <c r="AD151" i="1"/>
  <c r="AC151" i="1"/>
  <c r="AB151" i="1"/>
  <c r="AA151" i="1"/>
  <c r="AL150" i="1"/>
  <c r="AK150" i="1"/>
  <c r="AJ150" i="1"/>
  <c r="AI150" i="1"/>
  <c r="AH150" i="1"/>
  <c r="AG150" i="1"/>
  <c r="AE150" i="1"/>
  <c r="AD150" i="1"/>
  <c r="AC150" i="1"/>
  <c r="AB150" i="1"/>
  <c r="AA150" i="1"/>
  <c r="AL149" i="1"/>
  <c r="AK149" i="1"/>
  <c r="AJ149" i="1"/>
  <c r="AI149" i="1"/>
  <c r="AH149" i="1"/>
  <c r="AG149" i="1"/>
  <c r="AE149" i="1"/>
  <c r="AD149" i="1"/>
  <c r="AC149" i="1"/>
  <c r="AB149" i="1"/>
  <c r="AA149" i="1"/>
  <c r="AL148" i="1"/>
  <c r="AK148" i="1"/>
  <c r="AJ148" i="1"/>
  <c r="AI148" i="1"/>
  <c r="AH148" i="1"/>
  <c r="AG148" i="1"/>
  <c r="AE148" i="1"/>
  <c r="AD148" i="1"/>
  <c r="AC148" i="1"/>
  <c r="AB148" i="1"/>
  <c r="AA148" i="1"/>
  <c r="AL147" i="1"/>
  <c r="AK147" i="1"/>
  <c r="AJ147" i="1"/>
  <c r="AI147" i="1"/>
  <c r="AH147" i="1"/>
  <c r="AG147" i="1"/>
  <c r="AE147" i="1"/>
  <c r="AD147" i="1"/>
  <c r="AC147" i="1"/>
  <c r="AB147" i="1"/>
  <c r="AA147" i="1"/>
  <c r="AL146" i="1"/>
  <c r="AK146" i="1"/>
  <c r="AJ146" i="1"/>
  <c r="AI146" i="1"/>
  <c r="AH146" i="1"/>
  <c r="AG146" i="1"/>
  <c r="AE146" i="1"/>
  <c r="AD146" i="1"/>
  <c r="AC146" i="1"/>
  <c r="AB146" i="1"/>
  <c r="AA146" i="1"/>
  <c r="AL145" i="1"/>
  <c r="AK145" i="1"/>
  <c r="AJ145" i="1"/>
  <c r="AI145" i="1"/>
  <c r="AH145" i="1"/>
  <c r="AG145" i="1"/>
  <c r="AE145" i="1"/>
  <c r="AD145" i="1"/>
  <c r="AC145" i="1"/>
  <c r="AB145" i="1"/>
  <c r="AA145" i="1"/>
  <c r="AL144" i="1"/>
  <c r="AK144" i="1"/>
  <c r="AJ144" i="1"/>
  <c r="AI144" i="1"/>
  <c r="AH144" i="1"/>
  <c r="AG144" i="1"/>
  <c r="AE144" i="1"/>
  <c r="AD144" i="1"/>
  <c r="AC144" i="1"/>
  <c r="AB144" i="1"/>
  <c r="AA144" i="1"/>
  <c r="AL143" i="1"/>
  <c r="AK143" i="1"/>
  <c r="AJ143" i="1"/>
  <c r="AI143" i="1"/>
  <c r="AH143" i="1"/>
  <c r="AG143" i="1"/>
  <c r="AE143" i="1"/>
  <c r="AD143" i="1"/>
  <c r="AC143" i="1"/>
  <c r="AB143" i="1"/>
  <c r="AA143" i="1"/>
  <c r="AL142" i="1"/>
  <c r="AK142" i="1"/>
  <c r="AJ142" i="1"/>
  <c r="AI142" i="1"/>
  <c r="AH142" i="1"/>
  <c r="AG142" i="1"/>
  <c r="AE142" i="1"/>
  <c r="AD142" i="1"/>
  <c r="AC142" i="1"/>
  <c r="AB142" i="1"/>
  <c r="AA142" i="1"/>
  <c r="AL141" i="1"/>
  <c r="AK141" i="1"/>
  <c r="AJ141" i="1"/>
  <c r="AI141" i="1"/>
  <c r="AH141" i="1"/>
  <c r="AG141" i="1"/>
  <c r="AE141" i="1"/>
  <c r="AD141" i="1"/>
  <c r="AC141" i="1"/>
  <c r="AB141" i="1"/>
  <c r="AA141" i="1"/>
  <c r="AL140" i="1"/>
  <c r="AK140" i="1"/>
  <c r="AJ140" i="1"/>
  <c r="AI140" i="1"/>
  <c r="AH140" i="1"/>
  <c r="AG140" i="1"/>
  <c r="AE140" i="1"/>
  <c r="AD140" i="1"/>
  <c r="AC140" i="1"/>
  <c r="AB140" i="1"/>
  <c r="AA140" i="1"/>
  <c r="AL139" i="1"/>
  <c r="AK139" i="1"/>
  <c r="AJ139" i="1"/>
  <c r="AI139" i="1"/>
  <c r="AH139" i="1"/>
  <c r="AG139" i="1"/>
  <c r="AE139" i="1"/>
  <c r="AD139" i="1"/>
  <c r="AC139" i="1"/>
  <c r="AB139" i="1"/>
  <c r="AA139" i="1"/>
  <c r="AL138" i="1"/>
  <c r="AK138" i="1"/>
  <c r="AJ138" i="1"/>
  <c r="AI138" i="1"/>
  <c r="AH138" i="1"/>
  <c r="AG138" i="1"/>
  <c r="AE138" i="1"/>
  <c r="AD138" i="1"/>
  <c r="AC138" i="1"/>
  <c r="AB138" i="1"/>
  <c r="AA138" i="1"/>
  <c r="AL137" i="1"/>
  <c r="AK137" i="1"/>
  <c r="AJ137" i="1"/>
  <c r="AI137" i="1"/>
  <c r="AH137" i="1"/>
  <c r="AG137" i="1"/>
  <c r="AE137" i="1"/>
  <c r="AD137" i="1"/>
  <c r="AC137" i="1"/>
  <c r="AB137" i="1"/>
  <c r="AA137" i="1"/>
  <c r="AL136" i="1"/>
  <c r="AK136" i="1"/>
  <c r="AJ136" i="1"/>
  <c r="AI136" i="1"/>
  <c r="AH136" i="1"/>
  <c r="AG136" i="1"/>
  <c r="AE136" i="1"/>
  <c r="AD136" i="1"/>
  <c r="AC136" i="1"/>
  <c r="AB136" i="1"/>
  <c r="AA136" i="1"/>
  <c r="AL135" i="1"/>
  <c r="AK135" i="1"/>
  <c r="AJ135" i="1"/>
  <c r="AI135" i="1"/>
  <c r="AH135" i="1"/>
  <c r="AG135" i="1"/>
  <c r="AE135" i="1"/>
  <c r="AD135" i="1"/>
  <c r="AC135" i="1"/>
  <c r="AB135" i="1"/>
  <c r="AA135" i="1"/>
  <c r="AL134" i="1"/>
  <c r="AK134" i="1"/>
  <c r="AJ134" i="1"/>
  <c r="AI134" i="1"/>
  <c r="AH134" i="1"/>
  <c r="AG134" i="1"/>
  <c r="AE134" i="1"/>
  <c r="AD134" i="1"/>
  <c r="AC134" i="1"/>
  <c r="AB134" i="1"/>
  <c r="AA134" i="1"/>
  <c r="AL133" i="1"/>
  <c r="AK133" i="1"/>
  <c r="AJ133" i="1"/>
  <c r="AI133" i="1"/>
  <c r="AH133" i="1"/>
  <c r="AG133" i="1"/>
  <c r="AE133" i="1"/>
  <c r="AD133" i="1"/>
  <c r="AC133" i="1"/>
  <c r="AB133" i="1"/>
  <c r="AA133" i="1"/>
  <c r="AL132" i="1"/>
  <c r="AK132" i="1"/>
  <c r="AJ132" i="1"/>
  <c r="AI132" i="1"/>
  <c r="AH132" i="1"/>
  <c r="AG132" i="1"/>
  <c r="AE132" i="1"/>
  <c r="AD132" i="1"/>
  <c r="AC132" i="1"/>
  <c r="AB132" i="1"/>
  <c r="AA132" i="1"/>
  <c r="AL131" i="1"/>
  <c r="AK131" i="1"/>
  <c r="AJ131" i="1"/>
  <c r="AI131" i="1"/>
  <c r="AH131" i="1"/>
  <c r="AG131" i="1"/>
  <c r="AE131" i="1"/>
  <c r="AD131" i="1"/>
  <c r="AC131" i="1"/>
  <c r="AB131" i="1"/>
  <c r="AA131" i="1"/>
  <c r="AL130" i="1"/>
  <c r="AK130" i="1"/>
  <c r="AJ130" i="1"/>
  <c r="AI130" i="1"/>
  <c r="AH130" i="1"/>
  <c r="AG130" i="1"/>
  <c r="AE130" i="1"/>
  <c r="AD130" i="1"/>
  <c r="AC130" i="1"/>
  <c r="AB130" i="1"/>
  <c r="AA130" i="1"/>
  <c r="AL129" i="1"/>
  <c r="AK129" i="1"/>
  <c r="AJ129" i="1"/>
  <c r="AI129" i="1"/>
  <c r="AH129" i="1"/>
  <c r="AG129" i="1"/>
  <c r="AE129" i="1"/>
  <c r="AD129" i="1"/>
  <c r="AC129" i="1"/>
  <c r="AB129" i="1"/>
  <c r="AA129" i="1"/>
  <c r="AL128" i="1"/>
  <c r="AK128" i="1"/>
  <c r="AJ128" i="1"/>
  <c r="AI128" i="1"/>
  <c r="AH128" i="1"/>
  <c r="AG128" i="1"/>
  <c r="AE128" i="1"/>
  <c r="AD128" i="1"/>
  <c r="AC128" i="1"/>
  <c r="AB128" i="1"/>
  <c r="AA128" i="1"/>
  <c r="AL127" i="1"/>
  <c r="AK127" i="1"/>
  <c r="AJ127" i="1"/>
  <c r="AI127" i="1"/>
  <c r="AH127" i="1"/>
  <c r="AG127" i="1"/>
  <c r="AE127" i="1"/>
  <c r="AD127" i="1"/>
  <c r="AC127" i="1"/>
  <c r="AB127" i="1"/>
  <c r="AA127" i="1"/>
  <c r="AL126" i="1"/>
  <c r="AK126" i="1"/>
  <c r="AJ126" i="1"/>
  <c r="AI126" i="1"/>
  <c r="AH126" i="1"/>
  <c r="AG126" i="1"/>
  <c r="AE126" i="1"/>
  <c r="AD126" i="1"/>
  <c r="AC126" i="1"/>
  <c r="AB126" i="1"/>
  <c r="AA126" i="1"/>
  <c r="AL125" i="1"/>
  <c r="AK125" i="1"/>
  <c r="AJ125" i="1"/>
  <c r="AI125" i="1"/>
  <c r="AH125" i="1"/>
  <c r="AG125" i="1"/>
  <c r="AE125" i="1"/>
  <c r="AD125" i="1"/>
  <c r="AC125" i="1"/>
  <c r="AB125" i="1"/>
  <c r="AA125" i="1"/>
  <c r="AL124" i="1"/>
  <c r="AK124" i="1"/>
  <c r="AJ124" i="1"/>
  <c r="AI124" i="1"/>
  <c r="AH124" i="1"/>
  <c r="AG124" i="1"/>
  <c r="AE124" i="1"/>
  <c r="AD124" i="1"/>
  <c r="AC124" i="1"/>
  <c r="AB124" i="1"/>
  <c r="AA124" i="1"/>
  <c r="AL123" i="1"/>
  <c r="AK123" i="1"/>
  <c r="AJ123" i="1"/>
  <c r="AI123" i="1"/>
  <c r="AH123" i="1"/>
  <c r="AG123" i="1"/>
  <c r="AE123" i="1"/>
  <c r="AD123" i="1"/>
  <c r="AC123" i="1"/>
  <c r="AB123" i="1"/>
  <c r="AA123" i="1"/>
  <c r="AL122" i="1"/>
  <c r="AK122" i="1"/>
  <c r="AJ122" i="1"/>
  <c r="AI122" i="1"/>
  <c r="AH122" i="1"/>
  <c r="AG122" i="1"/>
  <c r="AE122" i="1"/>
  <c r="AD122" i="1"/>
  <c r="AC122" i="1"/>
  <c r="AB122" i="1"/>
  <c r="AA122" i="1"/>
  <c r="AL121" i="1"/>
  <c r="AK121" i="1"/>
  <c r="AJ121" i="1"/>
  <c r="AI121" i="1"/>
  <c r="AH121" i="1"/>
  <c r="AG121" i="1"/>
  <c r="AE121" i="1"/>
  <c r="AD121" i="1"/>
  <c r="AC121" i="1"/>
  <c r="AB121" i="1"/>
  <c r="AA121" i="1"/>
  <c r="AL120" i="1"/>
  <c r="AK120" i="1"/>
  <c r="AJ120" i="1"/>
  <c r="AI120" i="1"/>
  <c r="AH120" i="1"/>
  <c r="AG120" i="1"/>
  <c r="AE120" i="1"/>
  <c r="AD120" i="1"/>
  <c r="AC120" i="1"/>
  <c r="AB120" i="1"/>
  <c r="AA120" i="1"/>
  <c r="AL119" i="1"/>
  <c r="AK119" i="1"/>
  <c r="AJ119" i="1"/>
  <c r="AI119" i="1"/>
  <c r="AH119" i="1"/>
  <c r="AG119" i="1"/>
  <c r="AE119" i="1"/>
  <c r="AD119" i="1"/>
  <c r="AC119" i="1"/>
  <c r="AB119" i="1"/>
  <c r="AA119" i="1"/>
  <c r="AL118" i="1"/>
  <c r="AK118" i="1"/>
  <c r="AJ118" i="1"/>
  <c r="AI118" i="1"/>
  <c r="AH118" i="1"/>
  <c r="AG118" i="1"/>
  <c r="AE118" i="1"/>
  <c r="AD118" i="1"/>
  <c r="AC118" i="1"/>
  <c r="AB118" i="1"/>
  <c r="AA118" i="1"/>
  <c r="AL117" i="1"/>
  <c r="AK117" i="1"/>
  <c r="AJ117" i="1"/>
  <c r="AI117" i="1"/>
  <c r="AH117" i="1"/>
  <c r="AG117" i="1"/>
  <c r="AE117" i="1"/>
  <c r="AD117" i="1"/>
  <c r="AC117" i="1"/>
  <c r="AB117" i="1"/>
  <c r="AA117" i="1"/>
  <c r="AL116" i="1"/>
  <c r="AK116" i="1"/>
  <c r="AJ116" i="1"/>
  <c r="AI116" i="1"/>
  <c r="AH116" i="1"/>
  <c r="AG116" i="1"/>
  <c r="AE116" i="1"/>
  <c r="AD116" i="1"/>
  <c r="AC116" i="1"/>
  <c r="AB116" i="1"/>
  <c r="AA116" i="1"/>
  <c r="AL115" i="1"/>
  <c r="AK115" i="1"/>
  <c r="AJ115" i="1"/>
  <c r="AI115" i="1"/>
  <c r="AH115" i="1"/>
  <c r="AG115" i="1"/>
  <c r="AE115" i="1"/>
  <c r="AD115" i="1"/>
  <c r="AC115" i="1"/>
  <c r="AB115" i="1"/>
  <c r="AA115" i="1"/>
  <c r="AL114" i="1"/>
  <c r="AK114" i="1"/>
  <c r="AJ114" i="1"/>
  <c r="AI114" i="1"/>
  <c r="AH114" i="1"/>
  <c r="AG114" i="1"/>
  <c r="AE114" i="1"/>
  <c r="AD114" i="1"/>
  <c r="AC114" i="1"/>
  <c r="AB114" i="1"/>
  <c r="AA114" i="1"/>
  <c r="AL113" i="1"/>
  <c r="AK113" i="1"/>
  <c r="AJ113" i="1"/>
  <c r="AI113" i="1"/>
  <c r="AH113" i="1"/>
  <c r="AG113" i="1"/>
  <c r="AE113" i="1"/>
  <c r="AD113" i="1"/>
  <c r="AC113" i="1"/>
  <c r="AB113" i="1"/>
  <c r="AA113" i="1"/>
  <c r="AL112" i="1"/>
  <c r="AK112" i="1"/>
  <c r="AJ112" i="1"/>
  <c r="AI112" i="1"/>
  <c r="AH112" i="1"/>
  <c r="AG112" i="1"/>
  <c r="AE112" i="1"/>
  <c r="AD112" i="1"/>
  <c r="AC112" i="1"/>
  <c r="AB112" i="1"/>
  <c r="AA112" i="1"/>
  <c r="AL111" i="1"/>
  <c r="AK111" i="1"/>
  <c r="AJ111" i="1"/>
  <c r="AI111" i="1"/>
  <c r="AH111" i="1"/>
  <c r="AG111" i="1"/>
  <c r="AE111" i="1"/>
  <c r="AD111" i="1"/>
  <c r="AC111" i="1"/>
  <c r="AB111" i="1"/>
  <c r="AA111" i="1"/>
  <c r="AL110" i="1"/>
  <c r="AK110" i="1"/>
  <c r="AJ110" i="1"/>
  <c r="AI110" i="1"/>
  <c r="AH110" i="1"/>
  <c r="AG110" i="1"/>
  <c r="AE110" i="1"/>
  <c r="AF110" i="1" s="1"/>
  <c r="AD110" i="1"/>
  <c r="AC110" i="1"/>
  <c r="AB110" i="1"/>
  <c r="AA110" i="1"/>
  <c r="AL109" i="1"/>
  <c r="AK109" i="1"/>
  <c r="AJ109" i="1"/>
  <c r="AI109" i="1"/>
  <c r="AH109" i="1"/>
  <c r="AG109" i="1"/>
  <c r="AE109" i="1"/>
  <c r="AD109" i="1"/>
  <c r="AC109" i="1"/>
  <c r="AB109" i="1"/>
  <c r="AA109" i="1"/>
  <c r="AL108" i="1"/>
  <c r="AK108" i="1"/>
  <c r="AJ108" i="1"/>
  <c r="AI108" i="1"/>
  <c r="AH108" i="1"/>
  <c r="AG108" i="1"/>
  <c r="AE108" i="1"/>
  <c r="AD108" i="1"/>
  <c r="AC108" i="1"/>
  <c r="AB108" i="1"/>
  <c r="AA108" i="1"/>
  <c r="AL107" i="1"/>
  <c r="AK107" i="1"/>
  <c r="AJ107" i="1"/>
  <c r="AI107" i="1"/>
  <c r="AH107" i="1"/>
  <c r="AG107" i="1"/>
  <c r="AE107" i="1"/>
  <c r="AD107" i="1"/>
  <c r="AC107" i="1"/>
  <c r="AB107" i="1"/>
  <c r="AA107" i="1"/>
  <c r="AL106" i="1"/>
  <c r="AK106" i="1"/>
  <c r="AJ106" i="1"/>
  <c r="AI106" i="1"/>
  <c r="AH106" i="1"/>
  <c r="AG106" i="1"/>
  <c r="AE106" i="1"/>
  <c r="AD106" i="1"/>
  <c r="AC106" i="1"/>
  <c r="AB106" i="1"/>
  <c r="AA106" i="1"/>
  <c r="AL105" i="1"/>
  <c r="AK105" i="1"/>
  <c r="AJ105" i="1"/>
  <c r="AI105" i="1"/>
  <c r="AH105" i="1"/>
  <c r="AG105" i="1"/>
  <c r="AE105" i="1"/>
  <c r="AD105" i="1"/>
  <c r="AC105" i="1"/>
  <c r="AB105" i="1"/>
  <c r="AA105" i="1"/>
  <c r="AL104" i="1"/>
  <c r="AK104" i="1"/>
  <c r="AJ104" i="1"/>
  <c r="AI104" i="1"/>
  <c r="AH104" i="1"/>
  <c r="AG104" i="1"/>
  <c r="AE104" i="1"/>
  <c r="AD104" i="1"/>
  <c r="AC104" i="1"/>
  <c r="AB104" i="1"/>
  <c r="AA104" i="1"/>
  <c r="AL103" i="1"/>
  <c r="AK103" i="1"/>
  <c r="AJ103" i="1"/>
  <c r="AI103" i="1"/>
  <c r="AH103" i="1"/>
  <c r="AG103" i="1"/>
  <c r="AE103" i="1"/>
  <c r="AD103" i="1"/>
  <c r="AC103" i="1"/>
  <c r="AB103" i="1"/>
  <c r="AA103" i="1"/>
  <c r="AL102" i="1"/>
  <c r="AK102" i="1"/>
  <c r="AJ102" i="1"/>
  <c r="AI102" i="1"/>
  <c r="AH102" i="1"/>
  <c r="AG102" i="1"/>
  <c r="AE102" i="1"/>
  <c r="AD102" i="1"/>
  <c r="AC102" i="1"/>
  <c r="AB102" i="1"/>
  <c r="AA102" i="1"/>
  <c r="AL101" i="1"/>
  <c r="AK101" i="1"/>
  <c r="AJ101" i="1"/>
  <c r="AI101" i="1"/>
  <c r="AH101" i="1"/>
  <c r="AG101" i="1"/>
  <c r="AE101" i="1"/>
  <c r="AD101" i="1"/>
  <c r="AC101" i="1"/>
  <c r="AB101" i="1"/>
  <c r="AA101" i="1"/>
  <c r="AL100" i="1"/>
  <c r="AK100" i="1"/>
  <c r="AJ100" i="1"/>
  <c r="AI100" i="1"/>
  <c r="AH100" i="1"/>
  <c r="AG100" i="1"/>
  <c r="AE100" i="1"/>
  <c r="AD100" i="1"/>
  <c r="AC100" i="1"/>
  <c r="AB100" i="1"/>
  <c r="AA100" i="1"/>
  <c r="AL99" i="1"/>
  <c r="AK99" i="1"/>
  <c r="AJ99" i="1"/>
  <c r="AI99" i="1"/>
  <c r="AH99" i="1"/>
  <c r="AG99" i="1"/>
  <c r="AE99" i="1"/>
  <c r="AD99" i="1"/>
  <c r="AC99" i="1"/>
  <c r="AB99" i="1"/>
  <c r="AA99" i="1"/>
  <c r="AL98" i="1"/>
  <c r="AK98" i="1"/>
  <c r="AJ98" i="1"/>
  <c r="AI98" i="1"/>
  <c r="AH98" i="1"/>
  <c r="AG98" i="1"/>
  <c r="AE98" i="1"/>
  <c r="AD98" i="1"/>
  <c r="AC98" i="1"/>
  <c r="AB98" i="1"/>
  <c r="AA98" i="1"/>
  <c r="AL97" i="1"/>
  <c r="AK97" i="1"/>
  <c r="AJ97" i="1"/>
  <c r="AI97" i="1"/>
  <c r="AH97" i="1"/>
  <c r="AG97" i="1"/>
  <c r="AE97" i="1"/>
  <c r="AD97" i="1"/>
  <c r="AC97" i="1"/>
  <c r="AB97" i="1"/>
  <c r="AA97" i="1"/>
  <c r="AL96" i="1"/>
  <c r="AK96" i="1"/>
  <c r="AJ96" i="1"/>
  <c r="AI96" i="1"/>
  <c r="AH96" i="1"/>
  <c r="AG96" i="1"/>
  <c r="AE96" i="1"/>
  <c r="AD96" i="1"/>
  <c r="AC96" i="1"/>
  <c r="AB96" i="1"/>
  <c r="AA96" i="1"/>
  <c r="L95" i="1"/>
  <c r="AE95" i="1" s="1"/>
  <c r="K95" i="1"/>
  <c r="AC95" i="1" s="1"/>
  <c r="H95" i="1"/>
  <c r="J95" i="1" s="1"/>
  <c r="AL94" i="1"/>
  <c r="AK94" i="1"/>
  <c r="AJ94" i="1"/>
  <c r="AI94" i="1"/>
  <c r="AH94" i="1"/>
  <c r="AG94" i="1"/>
  <c r="AE94" i="1"/>
  <c r="AD94" i="1"/>
  <c r="AC94" i="1"/>
  <c r="AB94" i="1"/>
  <c r="AA94" i="1"/>
  <c r="AL93" i="1"/>
  <c r="AK93" i="1"/>
  <c r="AJ93" i="1"/>
  <c r="AI93" i="1"/>
  <c r="AH93" i="1"/>
  <c r="AG93" i="1"/>
  <c r="AE93" i="1"/>
  <c r="AD93" i="1"/>
  <c r="AC93" i="1"/>
  <c r="AB93" i="1"/>
  <c r="AA93" i="1"/>
  <c r="AL92" i="1"/>
  <c r="AK92" i="1"/>
  <c r="AJ92" i="1"/>
  <c r="AI92" i="1"/>
  <c r="AH92" i="1"/>
  <c r="AG92" i="1"/>
  <c r="AE92" i="1"/>
  <c r="AD92" i="1"/>
  <c r="AC92" i="1"/>
  <c r="AB92" i="1"/>
  <c r="AA92" i="1"/>
  <c r="AL91" i="1"/>
  <c r="AK91" i="1"/>
  <c r="AJ91" i="1"/>
  <c r="AI91" i="1"/>
  <c r="AH91" i="1"/>
  <c r="AG91" i="1"/>
  <c r="AE91" i="1"/>
  <c r="AD91" i="1"/>
  <c r="AC91" i="1"/>
  <c r="AB91" i="1"/>
  <c r="AA91" i="1"/>
  <c r="AL90" i="1"/>
  <c r="AK90" i="1"/>
  <c r="AJ90" i="1"/>
  <c r="AI90" i="1"/>
  <c r="AH90" i="1"/>
  <c r="AG90" i="1"/>
  <c r="AE90" i="1"/>
  <c r="AD90" i="1"/>
  <c r="AC90" i="1"/>
  <c r="AB90" i="1"/>
  <c r="AA90" i="1"/>
  <c r="AL89" i="1"/>
  <c r="AK89" i="1"/>
  <c r="AJ89" i="1"/>
  <c r="AI89" i="1"/>
  <c r="AH89" i="1"/>
  <c r="AG89" i="1"/>
  <c r="AE89" i="1"/>
  <c r="AD89" i="1"/>
  <c r="AC89" i="1"/>
  <c r="AB89" i="1"/>
  <c r="AA89" i="1"/>
  <c r="AL88" i="1"/>
  <c r="AK88" i="1"/>
  <c r="AJ88" i="1"/>
  <c r="AI88" i="1"/>
  <c r="AH88" i="1"/>
  <c r="AG88" i="1"/>
  <c r="AE88" i="1"/>
  <c r="AD88" i="1"/>
  <c r="AC88" i="1"/>
  <c r="AB88" i="1"/>
  <c r="AA88" i="1"/>
  <c r="H87" i="1"/>
  <c r="AL86" i="1"/>
  <c r="AK86" i="1"/>
  <c r="AJ86" i="1"/>
  <c r="AI86" i="1"/>
  <c r="AH86" i="1"/>
  <c r="AG86" i="1"/>
  <c r="AE86" i="1"/>
  <c r="AD86" i="1"/>
  <c r="AC86" i="1"/>
  <c r="AB86" i="1"/>
  <c r="AA86" i="1"/>
  <c r="AL85" i="1"/>
  <c r="AK85" i="1"/>
  <c r="AJ85" i="1"/>
  <c r="AI85" i="1"/>
  <c r="AH85" i="1"/>
  <c r="AG85" i="1"/>
  <c r="AE85" i="1"/>
  <c r="AD85" i="1"/>
  <c r="AC85" i="1"/>
  <c r="AB85" i="1"/>
  <c r="AA85" i="1"/>
  <c r="AL84" i="1"/>
  <c r="AK84" i="1"/>
  <c r="AJ84" i="1"/>
  <c r="AI84" i="1"/>
  <c r="AH84" i="1"/>
  <c r="AG84" i="1"/>
  <c r="AE84" i="1"/>
  <c r="AD84" i="1"/>
  <c r="AC84" i="1"/>
  <c r="AB84" i="1"/>
  <c r="AA84" i="1"/>
  <c r="AL83" i="1"/>
  <c r="AK83" i="1"/>
  <c r="AJ83" i="1"/>
  <c r="AI83" i="1"/>
  <c r="AH83" i="1"/>
  <c r="AG83" i="1"/>
  <c r="AE83" i="1"/>
  <c r="AD83" i="1"/>
  <c r="AC83" i="1"/>
  <c r="AB83" i="1"/>
  <c r="AA83" i="1"/>
  <c r="AL82" i="1"/>
  <c r="AK82" i="1"/>
  <c r="AJ82" i="1"/>
  <c r="AI82" i="1"/>
  <c r="AH82" i="1"/>
  <c r="AG82" i="1"/>
  <c r="AE82" i="1"/>
  <c r="AD82" i="1"/>
  <c r="AC82" i="1"/>
  <c r="AB82" i="1"/>
  <c r="AA82" i="1"/>
  <c r="AL81" i="1"/>
  <c r="AK81" i="1"/>
  <c r="AJ81" i="1"/>
  <c r="AI81" i="1"/>
  <c r="AH81" i="1"/>
  <c r="AG81" i="1"/>
  <c r="AE81" i="1"/>
  <c r="AD81" i="1"/>
  <c r="AC81" i="1"/>
  <c r="AB81" i="1"/>
  <c r="AA81" i="1"/>
  <c r="AL80" i="1"/>
  <c r="AK80" i="1"/>
  <c r="AJ80" i="1"/>
  <c r="AI80" i="1"/>
  <c r="AH80" i="1"/>
  <c r="AG80" i="1"/>
  <c r="AE80" i="1"/>
  <c r="AD80" i="1"/>
  <c r="AC80" i="1"/>
  <c r="AB80" i="1"/>
  <c r="AA80" i="1"/>
  <c r="AL79" i="1"/>
  <c r="AK79" i="1"/>
  <c r="AJ79" i="1"/>
  <c r="AI79" i="1"/>
  <c r="AH79" i="1"/>
  <c r="AG79" i="1"/>
  <c r="AE79" i="1"/>
  <c r="AD79" i="1"/>
  <c r="AC79" i="1"/>
  <c r="AB79" i="1"/>
  <c r="AA79" i="1"/>
  <c r="AL78" i="1"/>
  <c r="AK78" i="1"/>
  <c r="AJ78" i="1"/>
  <c r="AI78" i="1"/>
  <c r="AH78" i="1"/>
  <c r="AG78" i="1"/>
  <c r="AE78" i="1"/>
  <c r="AD78" i="1"/>
  <c r="AC78" i="1"/>
  <c r="AB78" i="1"/>
  <c r="AA78" i="1"/>
  <c r="AL77" i="1"/>
  <c r="AK77" i="1"/>
  <c r="AJ77" i="1"/>
  <c r="AI77" i="1"/>
  <c r="AH77" i="1"/>
  <c r="AG77" i="1"/>
  <c r="AE77" i="1"/>
  <c r="AD77" i="1"/>
  <c r="AC77" i="1"/>
  <c r="AB77" i="1"/>
  <c r="AA77" i="1"/>
  <c r="AL76" i="1"/>
  <c r="AK76" i="1"/>
  <c r="AJ76" i="1"/>
  <c r="AI76" i="1"/>
  <c r="AH76" i="1"/>
  <c r="AG76" i="1"/>
  <c r="AE76" i="1"/>
  <c r="AD76" i="1"/>
  <c r="AC76" i="1"/>
  <c r="AB76" i="1"/>
  <c r="AA76" i="1"/>
  <c r="AL75" i="1"/>
  <c r="AK75" i="1"/>
  <c r="AJ75" i="1"/>
  <c r="AI75" i="1"/>
  <c r="AH75" i="1"/>
  <c r="AG75" i="1"/>
  <c r="AE75" i="1"/>
  <c r="AD75" i="1"/>
  <c r="AC75" i="1"/>
  <c r="AB75" i="1"/>
  <c r="AA75" i="1"/>
  <c r="AL74" i="1"/>
  <c r="AK74" i="1"/>
  <c r="AJ74" i="1"/>
  <c r="AI74" i="1"/>
  <c r="AH74" i="1"/>
  <c r="AG74" i="1"/>
  <c r="AE74" i="1"/>
  <c r="AD74" i="1"/>
  <c r="AC74" i="1"/>
  <c r="AB74" i="1"/>
  <c r="AA74" i="1"/>
  <c r="AL73" i="1"/>
  <c r="AK73" i="1"/>
  <c r="AJ73" i="1"/>
  <c r="AI73" i="1"/>
  <c r="AH73" i="1"/>
  <c r="AG73" i="1"/>
  <c r="AE73" i="1"/>
  <c r="AD73" i="1"/>
  <c r="AC73" i="1"/>
  <c r="AB73" i="1"/>
  <c r="AA73" i="1"/>
  <c r="AL72" i="1"/>
  <c r="AK72" i="1"/>
  <c r="AJ72" i="1"/>
  <c r="AI72" i="1"/>
  <c r="AH72" i="1"/>
  <c r="AG72" i="1"/>
  <c r="AE72" i="1"/>
  <c r="AD72" i="1"/>
  <c r="AC72" i="1"/>
  <c r="AB72" i="1"/>
  <c r="AA72" i="1"/>
  <c r="AL71" i="1"/>
  <c r="AK71" i="1"/>
  <c r="AJ71" i="1"/>
  <c r="AI71" i="1"/>
  <c r="AH71" i="1"/>
  <c r="AG71" i="1"/>
  <c r="AE71" i="1"/>
  <c r="AD71" i="1"/>
  <c r="AC71" i="1"/>
  <c r="AB71" i="1"/>
  <c r="AA71" i="1"/>
  <c r="AL70" i="1"/>
  <c r="AK70" i="1"/>
  <c r="AJ70" i="1"/>
  <c r="AI70" i="1"/>
  <c r="AH70" i="1"/>
  <c r="AG70" i="1"/>
  <c r="AE70" i="1"/>
  <c r="AD70" i="1"/>
  <c r="AC70" i="1"/>
  <c r="AB70" i="1"/>
  <c r="AA70" i="1"/>
  <c r="AL69" i="1"/>
  <c r="AK69" i="1"/>
  <c r="AJ69" i="1"/>
  <c r="AI69" i="1"/>
  <c r="AH69" i="1"/>
  <c r="AG69" i="1"/>
  <c r="AE69" i="1"/>
  <c r="AD69" i="1"/>
  <c r="AC69" i="1"/>
  <c r="AB69" i="1"/>
  <c r="AA69" i="1"/>
  <c r="AL68" i="1"/>
  <c r="AK68" i="1"/>
  <c r="AJ68" i="1"/>
  <c r="AI68" i="1"/>
  <c r="AH68" i="1"/>
  <c r="AG68" i="1"/>
  <c r="AE68" i="1"/>
  <c r="AD68" i="1"/>
  <c r="AC68" i="1"/>
  <c r="AB68" i="1"/>
  <c r="AA68" i="1"/>
  <c r="AL67" i="1"/>
  <c r="AK67" i="1"/>
  <c r="AJ67" i="1"/>
  <c r="AI67" i="1"/>
  <c r="AH67" i="1"/>
  <c r="AG67" i="1"/>
  <c r="AE67" i="1"/>
  <c r="AD67" i="1"/>
  <c r="AC67" i="1"/>
  <c r="AB67" i="1"/>
  <c r="AA67" i="1"/>
  <c r="AL66" i="1"/>
  <c r="AK66" i="1"/>
  <c r="AJ66" i="1"/>
  <c r="AI66" i="1"/>
  <c r="AH66" i="1"/>
  <c r="AG66" i="1"/>
  <c r="AE66" i="1"/>
  <c r="AD66" i="1"/>
  <c r="AC66" i="1"/>
  <c r="AB66" i="1"/>
  <c r="AA66" i="1"/>
  <c r="AL65" i="1"/>
  <c r="AK65" i="1"/>
  <c r="AJ65" i="1"/>
  <c r="AI65" i="1"/>
  <c r="AH65" i="1"/>
  <c r="AG65" i="1"/>
  <c r="AE65" i="1"/>
  <c r="AD65" i="1"/>
  <c r="AC65" i="1"/>
  <c r="AB65" i="1"/>
  <c r="AA65" i="1"/>
  <c r="AL64" i="1"/>
  <c r="AK64" i="1"/>
  <c r="AJ64" i="1"/>
  <c r="AI64" i="1"/>
  <c r="AH64" i="1"/>
  <c r="AG64" i="1"/>
  <c r="AE64" i="1"/>
  <c r="AD64" i="1"/>
  <c r="AC64" i="1"/>
  <c r="AB64" i="1"/>
  <c r="AA64" i="1"/>
  <c r="AL63" i="1"/>
  <c r="AK63" i="1"/>
  <c r="AJ63" i="1"/>
  <c r="AI63" i="1"/>
  <c r="AH63" i="1"/>
  <c r="AG63" i="1"/>
  <c r="AE63" i="1"/>
  <c r="AD63" i="1"/>
  <c r="AC63" i="1"/>
  <c r="AB63" i="1"/>
  <c r="AA63" i="1"/>
  <c r="AL62" i="1"/>
  <c r="AK62" i="1"/>
  <c r="AJ62" i="1"/>
  <c r="AI62" i="1"/>
  <c r="AH62" i="1"/>
  <c r="AG62" i="1"/>
  <c r="AE62" i="1"/>
  <c r="AD62" i="1"/>
  <c r="AC62" i="1"/>
  <c r="AB62" i="1"/>
  <c r="AA62" i="1"/>
  <c r="AL61" i="1"/>
  <c r="AK61" i="1"/>
  <c r="AJ61" i="1"/>
  <c r="AI61" i="1"/>
  <c r="AH61" i="1"/>
  <c r="AG61" i="1"/>
  <c r="AE61" i="1"/>
  <c r="AD61" i="1"/>
  <c r="AC61" i="1"/>
  <c r="AB61" i="1"/>
  <c r="AA61" i="1"/>
  <c r="AL60" i="1"/>
  <c r="AK60" i="1"/>
  <c r="AJ60" i="1"/>
  <c r="AI60" i="1"/>
  <c r="AH60" i="1"/>
  <c r="AG60" i="1"/>
  <c r="AE60" i="1"/>
  <c r="AD60" i="1"/>
  <c r="AC60" i="1"/>
  <c r="AB60" i="1"/>
  <c r="AA60" i="1"/>
  <c r="AL59" i="1"/>
  <c r="AK59" i="1"/>
  <c r="AJ59" i="1"/>
  <c r="AI59" i="1"/>
  <c r="AH59" i="1"/>
  <c r="AG59" i="1"/>
  <c r="AE59" i="1"/>
  <c r="AD59" i="1"/>
  <c r="AC59" i="1"/>
  <c r="AB59" i="1"/>
  <c r="AA59" i="1"/>
  <c r="AL58" i="1"/>
  <c r="AK58" i="1"/>
  <c r="AJ58" i="1"/>
  <c r="AI58" i="1"/>
  <c r="AH58" i="1"/>
  <c r="AG58" i="1"/>
  <c r="AE58" i="1"/>
  <c r="AD58" i="1"/>
  <c r="AC58" i="1"/>
  <c r="AB58" i="1"/>
  <c r="AA58" i="1"/>
  <c r="AL57" i="1"/>
  <c r="AK57" i="1"/>
  <c r="AJ57" i="1"/>
  <c r="AI57" i="1"/>
  <c r="AH57" i="1"/>
  <c r="AG57" i="1"/>
  <c r="AE57" i="1"/>
  <c r="AD57" i="1"/>
  <c r="AC57" i="1"/>
  <c r="AB57" i="1"/>
  <c r="AA57" i="1"/>
  <c r="AL56" i="1"/>
  <c r="AK56" i="1"/>
  <c r="AJ56" i="1"/>
  <c r="AI56" i="1"/>
  <c r="AH56" i="1"/>
  <c r="AG56" i="1"/>
  <c r="AE56" i="1"/>
  <c r="AD56" i="1"/>
  <c r="AC56" i="1"/>
  <c r="AB56" i="1"/>
  <c r="AA56" i="1"/>
  <c r="AL55" i="1"/>
  <c r="AK55" i="1"/>
  <c r="AJ55" i="1"/>
  <c r="AI55" i="1"/>
  <c r="AH55" i="1"/>
  <c r="AG55" i="1"/>
  <c r="AE55" i="1"/>
  <c r="AD55" i="1"/>
  <c r="AC55" i="1"/>
  <c r="AB55" i="1"/>
  <c r="AA55" i="1"/>
  <c r="AL54" i="1"/>
  <c r="AK54" i="1"/>
  <c r="AJ54" i="1"/>
  <c r="AI54" i="1"/>
  <c r="AH54" i="1"/>
  <c r="AG54" i="1"/>
  <c r="AE54" i="1"/>
  <c r="AD54" i="1"/>
  <c r="AC54" i="1"/>
  <c r="AB54" i="1"/>
  <c r="AA54" i="1"/>
  <c r="AL53" i="1"/>
  <c r="AK53" i="1"/>
  <c r="AJ53" i="1"/>
  <c r="AI53" i="1"/>
  <c r="AH53" i="1"/>
  <c r="AG53" i="1"/>
  <c r="AE53" i="1"/>
  <c r="AD53" i="1"/>
  <c r="AC53" i="1"/>
  <c r="AB53" i="1"/>
  <c r="AA53" i="1"/>
  <c r="AL52" i="1"/>
  <c r="AK52" i="1"/>
  <c r="AJ52" i="1"/>
  <c r="AI52" i="1"/>
  <c r="AH52" i="1"/>
  <c r="AG52" i="1"/>
  <c r="AE52" i="1"/>
  <c r="AD52" i="1"/>
  <c r="AC52" i="1"/>
  <c r="AB52" i="1"/>
  <c r="AA52" i="1"/>
  <c r="AL51" i="1"/>
  <c r="AK51" i="1"/>
  <c r="AJ51" i="1"/>
  <c r="AI51" i="1"/>
  <c r="AH51" i="1"/>
  <c r="AG51" i="1"/>
  <c r="AE51" i="1"/>
  <c r="AD51" i="1"/>
  <c r="AC51" i="1"/>
  <c r="AB51" i="1"/>
  <c r="AA51" i="1"/>
  <c r="AL50" i="1"/>
  <c r="AK50" i="1"/>
  <c r="AJ50" i="1"/>
  <c r="AI50" i="1"/>
  <c r="AH50" i="1"/>
  <c r="AG50" i="1"/>
  <c r="AE50" i="1"/>
  <c r="AD50" i="1"/>
  <c r="AC50" i="1"/>
  <c r="AB50" i="1"/>
  <c r="AA50" i="1"/>
  <c r="AL49" i="1"/>
  <c r="AK49" i="1"/>
  <c r="AJ49" i="1"/>
  <c r="AI49" i="1"/>
  <c r="AH49" i="1"/>
  <c r="AG49" i="1"/>
  <c r="AE49" i="1"/>
  <c r="AD49" i="1"/>
  <c r="AC49" i="1"/>
  <c r="AB49" i="1"/>
  <c r="AA49" i="1"/>
  <c r="AL48" i="1"/>
  <c r="AK48" i="1"/>
  <c r="AJ48" i="1"/>
  <c r="AI48" i="1"/>
  <c r="AH48" i="1"/>
  <c r="AG48" i="1"/>
  <c r="AE48" i="1"/>
  <c r="AD48" i="1"/>
  <c r="AC48" i="1"/>
  <c r="AB48" i="1"/>
  <c r="AA48" i="1"/>
  <c r="AL47" i="1"/>
  <c r="AK47" i="1"/>
  <c r="AJ47" i="1"/>
  <c r="AI47" i="1"/>
  <c r="AH47" i="1"/>
  <c r="AG47" i="1"/>
  <c r="AE47" i="1"/>
  <c r="AD47" i="1"/>
  <c r="AC47" i="1"/>
  <c r="AB47" i="1"/>
  <c r="AA47" i="1"/>
  <c r="AL46" i="1"/>
  <c r="AK46" i="1"/>
  <c r="AJ46" i="1"/>
  <c r="AI46" i="1"/>
  <c r="AH46" i="1"/>
  <c r="AG46" i="1"/>
  <c r="AE46" i="1"/>
  <c r="AD46" i="1"/>
  <c r="AC46" i="1"/>
  <c r="AB46" i="1"/>
  <c r="AA46" i="1"/>
  <c r="AL45" i="1"/>
  <c r="AK45" i="1"/>
  <c r="AJ45" i="1"/>
  <c r="AI45" i="1"/>
  <c r="AH45" i="1"/>
  <c r="AG45" i="1"/>
  <c r="AE45" i="1"/>
  <c r="AD45" i="1"/>
  <c r="AC45" i="1"/>
  <c r="AB45" i="1"/>
  <c r="AA45" i="1"/>
  <c r="AL44" i="1"/>
  <c r="AK44" i="1"/>
  <c r="AJ44" i="1"/>
  <c r="AI44" i="1"/>
  <c r="AH44" i="1"/>
  <c r="AG44" i="1"/>
  <c r="AE44" i="1"/>
  <c r="AD44" i="1"/>
  <c r="AC44" i="1"/>
  <c r="AB44" i="1"/>
  <c r="AA44" i="1"/>
  <c r="AL43" i="1"/>
  <c r="AK43" i="1"/>
  <c r="AJ43" i="1"/>
  <c r="AI43" i="1"/>
  <c r="AH43" i="1"/>
  <c r="AG43" i="1"/>
  <c r="AE43" i="1"/>
  <c r="AD43" i="1"/>
  <c r="AC43" i="1"/>
  <c r="AB43" i="1"/>
  <c r="AA43" i="1"/>
  <c r="AL42" i="1"/>
  <c r="AK42" i="1"/>
  <c r="AJ42" i="1"/>
  <c r="AI42" i="1"/>
  <c r="AH42" i="1"/>
  <c r="AG42" i="1"/>
  <c r="AE42" i="1"/>
  <c r="AD42" i="1"/>
  <c r="AC42" i="1"/>
  <c r="AB42" i="1"/>
  <c r="AA42" i="1"/>
  <c r="AL41" i="1"/>
  <c r="AK41" i="1"/>
  <c r="AJ41" i="1"/>
  <c r="AI41" i="1"/>
  <c r="AH41" i="1"/>
  <c r="AG41" i="1"/>
  <c r="AE41" i="1"/>
  <c r="AD41" i="1"/>
  <c r="AC41" i="1"/>
  <c r="AB41" i="1"/>
  <c r="AA41" i="1"/>
  <c r="AL40" i="1"/>
  <c r="AK40" i="1"/>
  <c r="AJ40" i="1"/>
  <c r="AI40" i="1"/>
  <c r="AH40" i="1"/>
  <c r="AG40" i="1"/>
  <c r="AE40" i="1"/>
  <c r="AD40" i="1"/>
  <c r="AC40" i="1"/>
  <c r="AB40" i="1"/>
  <c r="AA40" i="1"/>
  <c r="AL39" i="1"/>
  <c r="AK39" i="1"/>
  <c r="AJ39" i="1"/>
  <c r="AI39" i="1"/>
  <c r="AH39" i="1"/>
  <c r="AG39" i="1"/>
  <c r="AE39" i="1"/>
  <c r="AD39" i="1"/>
  <c r="AC39" i="1"/>
  <c r="AB39" i="1"/>
  <c r="AA39" i="1"/>
  <c r="AL38" i="1"/>
  <c r="AK38" i="1"/>
  <c r="AJ38" i="1"/>
  <c r="AI38" i="1"/>
  <c r="AH38" i="1"/>
  <c r="AG38" i="1"/>
  <c r="AE38" i="1"/>
  <c r="AD38" i="1"/>
  <c r="AC38" i="1"/>
  <c r="AB38" i="1"/>
  <c r="AA38" i="1"/>
  <c r="AL37" i="1"/>
  <c r="AK37" i="1"/>
  <c r="AJ37" i="1"/>
  <c r="AI37" i="1"/>
  <c r="AH37" i="1"/>
  <c r="AG37" i="1"/>
  <c r="AE37" i="1"/>
  <c r="AD37" i="1"/>
  <c r="AC37" i="1"/>
  <c r="AB37" i="1"/>
  <c r="AA37" i="1"/>
  <c r="H36" i="1"/>
  <c r="AL35" i="1"/>
  <c r="AK35" i="1"/>
  <c r="AJ35" i="1"/>
  <c r="AI35" i="1"/>
  <c r="AH35" i="1"/>
  <c r="AG35" i="1"/>
  <c r="AE35" i="1"/>
  <c r="AD35" i="1"/>
  <c r="AC35" i="1"/>
  <c r="AB35" i="1"/>
  <c r="AA35" i="1"/>
  <c r="AL34" i="1"/>
  <c r="AK34" i="1"/>
  <c r="AJ34" i="1"/>
  <c r="AI34" i="1"/>
  <c r="AH34" i="1"/>
  <c r="AG34" i="1"/>
  <c r="AE34" i="1"/>
  <c r="AD34" i="1"/>
  <c r="AC34" i="1"/>
  <c r="AB34" i="1"/>
  <c r="AA34" i="1"/>
  <c r="AL33" i="1"/>
  <c r="AK33" i="1"/>
  <c r="AJ33" i="1"/>
  <c r="AI33" i="1"/>
  <c r="AH33" i="1"/>
  <c r="AG33" i="1"/>
  <c r="AE33" i="1"/>
  <c r="AD33" i="1"/>
  <c r="AC33" i="1"/>
  <c r="AB33" i="1"/>
  <c r="AA33" i="1"/>
  <c r="AL32" i="1"/>
  <c r="AK32" i="1"/>
  <c r="AJ32" i="1"/>
  <c r="AI32" i="1"/>
  <c r="AH32" i="1"/>
  <c r="AG32" i="1"/>
  <c r="AE32" i="1"/>
  <c r="AD32" i="1"/>
  <c r="AC32" i="1"/>
  <c r="AB32" i="1"/>
  <c r="AA32" i="1"/>
  <c r="AL31" i="1"/>
  <c r="AK31" i="1"/>
  <c r="AJ31" i="1"/>
  <c r="AI31" i="1"/>
  <c r="AH31" i="1"/>
  <c r="AG31" i="1"/>
  <c r="AE31" i="1"/>
  <c r="AD31" i="1"/>
  <c r="AC31" i="1"/>
  <c r="AB31" i="1"/>
  <c r="AA31" i="1"/>
  <c r="AL30" i="1"/>
  <c r="AK30" i="1"/>
  <c r="AJ30" i="1"/>
  <c r="AI30" i="1"/>
  <c r="AH30" i="1"/>
  <c r="AG30" i="1"/>
  <c r="AE30" i="1"/>
  <c r="AD30" i="1"/>
  <c r="AC30" i="1"/>
  <c r="AB30" i="1"/>
  <c r="AA30" i="1"/>
  <c r="AL29" i="1"/>
  <c r="AK29" i="1"/>
  <c r="AJ29" i="1"/>
  <c r="AI29" i="1"/>
  <c r="AH29" i="1"/>
  <c r="AG29" i="1"/>
  <c r="AE29" i="1"/>
  <c r="AD29" i="1"/>
  <c r="AC29" i="1"/>
  <c r="AB29" i="1"/>
  <c r="AA29" i="1"/>
  <c r="AL28" i="1"/>
  <c r="AK28" i="1"/>
  <c r="AJ28" i="1"/>
  <c r="AI28" i="1"/>
  <c r="AH28" i="1"/>
  <c r="AG28" i="1"/>
  <c r="AE28" i="1"/>
  <c r="AD28" i="1"/>
  <c r="AC28" i="1"/>
  <c r="AB28" i="1"/>
  <c r="AA28" i="1"/>
  <c r="AL27" i="1"/>
  <c r="AK27" i="1"/>
  <c r="AJ27" i="1"/>
  <c r="AI27" i="1"/>
  <c r="AH27" i="1"/>
  <c r="AG27" i="1"/>
  <c r="AE27" i="1"/>
  <c r="AD27" i="1"/>
  <c r="AC27" i="1"/>
  <c r="AB27" i="1"/>
  <c r="AA27" i="1"/>
  <c r="AL26" i="1"/>
  <c r="AK26" i="1"/>
  <c r="AJ26" i="1"/>
  <c r="AI26" i="1"/>
  <c r="AH26" i="1"/>
  <c r="AG26" i="1"/>
  <c r="AE26" i="1"/>
  <c r="AD26" i="1"/>
  <c r="AC26" i="1"/>
  <c r="AB26" i="1"/>
  <c r="AA26" i="1"/>
  <c r="AL25" i="1"/>
  <c r="AK25" i="1"/>
  <c r="AJ25" i="1"/>
  <c r="AI25" i="1"/>
  <c r="AH25" i="1"/>
  <c r="AG25" i="1"/>
  <c r="AE25" i="1"/>
  <c r="AD25" i="1"/>
  <c r="AC25" i="1"/>
  <c r="AB25" i="1"/>
  <c r="AA25" i="1"/>
  <c r="AL24" i="1"/>
  <c r="AK24" i="1"/>
  <c r="AJ24" i="1"/>
  <c r="AI24" i="1"/>
  <c r="AH24" i="1"/>
  <c r="AG24" i="1"/>
  <c r="AE24" i="1"/>
  <c r="AD24" i="1"/>
  <c r="AC24" i="1"/>
  <c r="AB24" i="1"/>
  <c r="AA24" i="1"/>
  <c r="AL23" i="1"/>
  <c r="AK23" i="1"/>
  <c r="AJ23" i="1"/>
  <c r="AI23" i="1"/>
  <c r="AH23" i="1"/>
  <c r="AG23" i="1"/>
  <c r="AE23" i="1"/>
  <c r="AD23" i="1"/>
  <c r="AC23" i="1"/>
  <c r="AB23" i="1"/>
  <c r="AA23" i="1"/>
  <c r="AL22" i="1"/>
  <c r="AK22" i="1"/>
  <c r="AJ22" i="1"/>
  <c r="AI22" i="1"/>
  <c r="AH22" i="1"/>
  <c r="AG22" i="1"/>
  <c r="AE22" i="1"/>
  <c r="AD22" i="1"/>
  <c r="AC22" i="1"/>
  <c r="AB22" i="1"/>
  <c r="AA22" i="1"/>
  <c r="AL21" i="1"/>
  <c r="AK21" i="1"/>
  <c r="AJ21" i="1"/>
  <c r="AI21" i="1"/>
  <c r="AH21" i="1"/>
  <c r="AG21" i="1"/>
  <c r="AE21" i="1"/>
  <c r="AD21" i="1"/>
  <c r="AC21" i="1"/>
  <c r="AB21" i="1"/>
  <c r="AA21" i="1"/>
  <c r="AL20" i="1"/>
  <c r="AK20" i="1"/>
  <c r="AJ20" i="1"/>
  <c r="AI20" i="1"/>
  <c r="AH20" i="1"/>
  <c r="AG20" i="1"/>
  <c r="AE20" i="1"/>
  <c r="AD20" i="1"/>
  <c r="AC20" i="1"/>
  <c r="AB20" i="1"/>
  <c r="AA20" i="1"/>
  <c r="AL19" i="1"/>
  <c r="AK19" i="1"/>
  <c r="AJ19" i="1"/>
  <c r="AI19" i="1"/>
  <c r="AH19" i="1"/>
  <c r="AG19" i="1"/>
  <c r="AE19" i="1"/>
  <c r="AD19" i="1"/>
  <c r="AC19" i="1"/>
  <c r="AB19" i="1"/>
  <c r="AA19" i="1"/>
  <c r="AL18" i="1"/>
  <c r="AK18" i="1"/>
  <c r="AJ18" i="1"/>
  <c r="AI18" i="1"/>
  <c r="AH18" i="1"/>
  <c r="AG18" i="1"/>
  <c r="AE18" i="1"/>
  <c r="AD18" i="1"/>
  <c r="AC18" i="1"/>
  <c r="AB18" i="1"/>
  <c r="AA18" i="1"/>
  <c r="AO17" i="1"/>
  <c r="AL17" i="1"/>
  <c r="AK17" i="1"/>
  <c r="AJ17" i="1"/>
  <c r="AI17" i="1"/>
  <c r="AH17" i="1"/>
  <c r="AG17" i="1"/>
  <c r="AE17" i="1"/>
  <c r="AD17" i="1"/>
  <c r="AC17" i="1"/>
  <c r="AB17" i="1"/>
  <c r="AA17" i="1"/>
  <c r="H16" i="1"/>
  <c r="K16" i="1" s="1"/>
  <c r="AJ16" i="1" s="1"/>
  <c r="AG15" i="1"/>
  <c r="AE15" i="1"/>
  <c r="AD15" i="1"/>
  <c r="H15" i="1"/>
  <c r="AH15" i="1" s="1"/>
  <c r="AO14" i="1"/>
  <c r="AL14" i="1"/>
  <c r="AK14" i="1"/>
  <c r="AJ14" i="1"/>
  <c r="AI14" i="1"/>
  <c r="AH14" i="1"/>
  <c r="AG14" i="1"/>
  <c r="AE14" i="1"/>
  <c r="AD14" i="1"/>
  <c r="AC14" i="1"/>
  <c r="AB14" i="1"/>
  <c r="AA14" i="1"/>
  <c r="AO13" i="1"/>
  <c r="H13" i="1"/>
  <c r="AK13" i="1" s="1"/>
  <c r="AO12" i="1"/>
  <c r="H12" i="1"/>
  <c r="AK12" i="1" s="1"/>
  <c r="AO11" i="1"/>
  <c r="AI11" i="1"/>
  <c r="AB11" i="1"/>
  <c r="H11" i="1"/>
  <c r="I11" i="1" s="1"/>
  <c r="AA11" i="1" s="1"/>
  <c r="H10" i="1"/>
  <c r="K10" i="1" s="1"/>
  <c r="AJ10" i="1" s="1"/>
  <c r="H9" i="1"/>
  <c r="AL9" i="1" s="1"/>
  <c r="AO8" i="1"/>
  <c r="AL8" i="1"/>
  <c r="AK8" i="1"/>
  <c r="AJ8" i="1"/>
  <c r="AI8" i="1"/>
  <c r="AH8" i="1"/>
  <c r="AG8" i="1"/>
  <c r="AE8" i="1"/>
  <c r="AD8" i="1"/>
  <c r="AC8" i="1"/>
  <c r="AB8" i="1"/>
  <c r="AA8" i="1"/>
  <c r="AO7" i="1"/>
  <c r="AL7" i="1"/>
  <c r="AK7" i="1"/>
  <c r="AJ7" i="1"/>
  <c r="AI7" i="1"/>
  <c r="AH7" i="1"/>
  <c r="AG7" i="1"/>
  <c r="AE7" i="1"/>
  <c r="AD7" i="1"/>
  <c r="AC7" i="1"/>
  <c r="AB7" i="1"/>
  <c r="AA7" i="1"/>
  <c r="AO6" i="1"/>
  <c r="AL6" i="1"/>
  <c r="AK6" i="1"/>
  <c r="AJ6" i="1"/>
  <c r="AI6" i="1"/>
  <c r="AH6" i="1"/>
  <c r="AG6" i="1"/>
  <c r="AE6" i="1"/>
  <c r="AD6" i="1"/>
  <c r="AC6" i="1"/>
  <c r="AB6" i="1"/>
  <c r="AA6" i="1"/>
  <c r="AO5" i="1"/>
  <c r="AL5" i="1"/>
  <c r="AK5" i="1"/>
  <c r="AJ5" i="1"/>
  <c r="AI5" i="1"/>
  <c r="AH5" i="1"/>
  <c r="AG5" i="1"/>
  <c r="AE5" i="1"/>
  <c r="AD5" i="1"/>
  <c r="AC5" i="1"/>
  <c r="AB5" i="1"/>
  <c r="AA5" i="1"/>
  <c r="AL4" i="1"/>
  <c r="AK4" i="1"/>
  <c r="AJ4" i="1"/>
  <c r="AI4" i="1"/>
  <c r="AH4" i="1"/>
  <c r="AG4" i="1"/>
  <c r="AE4" i="1"/>
  <c r="AD4" i="1"/>
  <c r="AC4" i="1"/>
  <c r="AB4" i="1"/>
  <c r="AA4" i="1"/>
  <c r="AL3" i="1"/>
  <c r="AK3" i="1"/>
  <c r="AJ3" i="1"/>
  <c r="AI3" i="1"/>
  <c r="AH3" i="1"/>
  <c r="AG3" i="1"/>
  <c r="AE3" i="1"/>
  <c r="AD3" i="1"/>
  <c r="AC3" i="1"/>
  <c r="AB3" i="1"/>
  <c r="AA3" i="1"/>
  <c r="AO2" i="1"/>
  <c r="AL2" i="1"/>
  <c r="AK2" i="1"/>
  <c r="AJ2" i="1"/>
  <c r="AI2" i="1"/>
  <c r="AH2" i="1"/>
  <c r="AG2" i="1"/>
  <c r="AE2" i="1"/>
  <c r="AD2" i="1"/>
  <c r="AC2" i="1"/>
  <c r="AB2" i="1"/>
  <c r="AA2" i="1"/>
  <c r="AF299" i="1" l="1"/>
  <c r="AG759" i="1"/>
  <c r="AF193" i="1"/>
  <c r="AF183" i="1"/>
  <c r="AB206" i="1"/>
  <c r="AF142" i="1"/>
  <c r="AF218" i="1"/>
  <c r="AF215" i="1"/>
  <c r="I196" i="1"/>
  <c r="AA196" i="1" s="1"/>
  <c r="J234" i="1"/>
  <c r="AI234" i="1" s="1"/>
  <c r="I320" i="1"/>
  <c r="AA320" i="1" s="1"/>
  <c r="L564" i="1"/>
  <c r="AK564" i="1" s="1"/>
  <c r="AK572" i="1"/>
  <c r="I625" i="1"/>
  <c r="AA625" i="1" s="1"/>
  <c r="AC778" i="1"/>
  <c r="L802" i="1"/>
  <c r="AK802" i="1" s="1"/>
  <c r="L845" i="1"/>
  <c r="AE845" i="1" s="1"/>
  <c r="I260" i="1"/>
  <c r="AA260" i="1" s="1"/>
  <c r="K266" i="1"/>
  <c r="L268" i="1"/>
  <c r="AK268" i="1" s="1"/>
  <c r="I283" i="1"/>
  <c r="AH283" i="1" s="1"/>
  <c r="M305" i="1"/>
  <c r="AL321" i="1"/>
  <c r="AA444" i="1"/>
  <c r="J451" i="1"/>
  <c r="AI451" i="1" s="1"/>
  <c r="J453" i="1"/>
  <c r="AF20" i="1"/>
  <c r="AF28" i="1"/>
  <c r="M95" i="1"/>
  <c r="AD95" i="1" s="1"/>
  <c r="J177" i="1"/>
  <c r="AI177" i="1" s="1"/>
  <c r="AK180" i="1"/>
  <c r="AE194" i="1"/>
  <c r="J196" i="1"/>
  <c r="AI196" i="1" s="1"/>
  <c r="K234" i="1"/>
  <c r="J260" i="1"/>
  <c r="AB260" i="1" s="1"/>
  <c r="AJ264" i="1"/>
  <c r="K283" i="1"/>
  <c r="AC283" i="1" s="1"/>
  <c r="AC350" i="1"/>
  <c r="AJ366" i="1"/>
  <c r="AK415" i="1"/>
  <c r="AD418" i="1"/>
  <c r="AK436" i="1"/>
  <c r="AH444" i="1"/>
  <c r="K451" i="1"/>
  <c r="AJ451" i="1" s="1"/>
  <c r="AC580" i="1"/>
  <c r="K625" i="1"/>
  <c r="AJ625" i="1" s="1"/>
  <c r="AJ646" i="1"/>
  <c r="K654" i="1"/>
  <c r="AL659" i="1"/>
  <c r="AK669" i="1"/>
  <c r="I701" i="1"/>
  <c r="AA701" i="1" s="1"/>
  <c r="L765" i="1"/>
  <c r="AK765" i="1" s="1"/>
  <c r="J771" i="1"/>
  <c r="AE776" i="1"/>
  <c r="AD778" i="1"/>
  <c r="I794" i="1"/>
  <c r="AH794" i="1" s="1"/>
  <c r="L795" i="1"/>
  <c r="AE817" i="1"/>
  <c r="AJ828" i="1"/>
  <c r="AD833" i="1"/>
  <c r="AE837" i="1"/>
  <c r="AG839" i="1"/>
  <c r="AA738" i="1"/>
  <c r="AC765" i="1"/>
  <c r="K771" i="1"/>
  <c r="AJ776" i="1"/>
  <c r="AE778" i="1"/>
  <c r="AF782" i="1"/>
  <c r="I785" i="1"/>
  <c r="AA785" i="1" s="1"/>
  <c r="K794" i="1"/>
  <c r="AJ794" i="1" s="1"/>
  <c r="M795" i="1"/>
  <c r="AL795" i="1" s="1"/>
  <c r="AE828" i="1"/>
  <c r="L848" i="1"/>
  <c r="L196" i="1"/>
  <c r="AE196" i="1" s="1"/>
  <c r="AA401" i="1"/>
  <c r="M408" i="1"/>
  <c r="AL408" i="1" s="1"/>
  <c r="AH451" i="1"/>
  <c r="AI484" i="1"/>
  <c r="AF503" i="1"/>
  <c r="AF524" i="1"/>
  <c r="J529" i="1"/>
  <c r="J565" i="1"/>
  <c r="AB565" i="1" s="1"/>
  <c r="I572" i="1"/>
  <c r="AE580" i="1"/>
  <c r="L593" i="1"/>
  <c r="I611" i="1"/>
  <c r="AA611" i="1" s="1"/>
  <c r="AB738" i="1"/>
  <c r="L771" i="1"/>
  <c r="AE771" i="1" s="1"/>
  <c r="AK778" i="1"/>
  <c r="AK823" i="1"/>
  <c r="AD828" i="1"/>
  <c r="AG841" i="1"/>
  <c r="AD272" i="1"/>
  <c r="I276" i="1"/>
  <c r="AA276" i="1" s="1"/>
  <c r="AF276" i="1" s="1"/>
  <c r="K238" i="1"/>
  <c r="AC238" i="1" s="1"/>
  <c r="AA311" i="1"/>
  <c r="AA327" i="1"/>
  <c r="AH349" i="1"/>
  <c r="AF477" i="1"/>
  <c r="K502" i="1"/>
  <c r="AJ502" i="1" s="1"/>
  <c r="K529" i="1"/>
  <c r="AC529" i="1" s="1"/>
  <c r="AG539" i="1"/>
  <c r="J572" i="1"/>
  <c r="AG572" i="1" s="1"/>
  <c r="K605" i="1"/>
  <c r="AC605" i="1" s="1"/>
  <c r="AE611" i="1"/>
  <c r="AK710" i="1"/>
  <c r="AI738" i="1"/>
  <c r="M771" i="1"/>
  <c r="AB828" i="1"/>
  <c r="AE152" i="1"/>
  <c r="J238" i="1"/>
  <c r="AB238" i="1" s="1"/>
  <c r="AD260" i="1"/>
  <c r="J267" i="1"/>
  <c r="AK283" i="1"/>
  <c r="J308" i="1"/>
  <c r="AA178" i="1"/>
  <c r="AA184" i="1"/>
  <c r="I206" i="1"/>
  <c r="AA206" i="1" s="1"/>
  <c r="AE260" i="1"/>
  <c r="L267" i="1"/>
  <c r="AK267" i="1" s="1"/>
  <c r="J276" i="1"/>
  <c r="AB276" i="1" s="1"/>
  <c r="AE278" i="1"/>
  <c r="K308" i="1"/>
  <c r="AC308" i="1" s="1"/>
  <c r="AC321" i="1"/>
  <c r="AH401" i="1"/>
  <c r="AK408" i="1"/>
  <c r="J444" i="1"/>
  <c r="AB444" i="1" s="1"/>
  <c r="AL15" i="1"/>
  <c r="AD153" i="1"/>
  <c r="J164" i="1"/>
  <c r="AH178" i="1"/>
  <c r="AH184" i="1"/>
  <c r="K206" i="1"/>
  <c r="AJ206" i="1" s="1"/>
  <c r="AL230" i="1"/>
  <c r="AD238" i="1"/>
  <c r="J253" i="1"/>
  <c r="AJ260" i="1"/>
  <c r="M267" i="1"/>
  <c r="AD267" i="1" s="1"/>
  <c r="AE276" i="1"/>
  <c r="K286" i="1"/>
  <c r="AH308" i="1"/>
  <c r="Y318" i="1"/>
  <c r="AD321" i="1"/>
  <c r="AK322" i="1"/>
  <c r="AI349" i="1"/>
  <c r="AI350" i="1"/>
  <c r="AF364" i="1"/>
  <c r="AF383" i="1"/>
  <c r="AE405" i="1"/>
  <c r="J436" i="1"/>
  <c r="AI436" i="1" s="1"/>
  <c r="K444" i="1"/>
  <c r="AC444" i="1" s="1"/>
  <c r="J452" i="1"/>
  <c r="AD502" i="1"/>
  <c r="AE538" i="1"/>
  <c r="AH539" i="1"/>
  <c r="AG555" i="1"/>
  <c r="AC572" i="1"/>
  <c r="J576" i="1"/>
  <c r="AI576" i="1" s="1"/>
  <c r="AH580" i="1"/>
  <c r="K586" i="1"/>
  <c r="AJ586" i="1" s="1"/>
  <c r="AK611" i="1"/>
  <c r="AF664" i="1"/>
  <c r="I669" i="1"/>
  <c r="AL710" i="1"/>
  <c r="AJ738" i="1"/>
  <c r="AE777" i="1"/>
  <c r="AC784" i="1"/>
  <c r="I797" i="1"/>
  <c r="AD805" i="1"/>
  <c r="AH828" i="1"/>
  <c r="J830" i="1"/>
  <c r="AD842" i="1"/>
  <c r="K178" i="1"/>
  <c r="AJ178" i="1" s="1"/>
  <c r="L206" i="1"/>
  <c r="AK206" i="1" s="1"/>
  <c r="AL260" i="1"/>
  <c r="AK276" i="1"/>
  <c r="AE321" i="1"/>
  <c r="AK350" i="1"/>
  <c r="AF394" i="1"/>
  <c r="AK405" i="1"/>
  <c r="AF427" i="1"/>
  <c r="AL538" i="1"/>
  <c r="AE572" i="1"/>
  <c r="AL580" i="1"/>
  <c r="AG632" i="1"/>
  <c r="J669" i="1"/>
  <c r="AB669" i="1" s="1"/>
  <c r="AG733" i="1"/>
  <c r="AK738" i="1"/>
  <c r="J776" i="1"/>
  <c r="AI776" i="1" s="1"/>
  <c r="I817" i="1"/>
  <c r="AH842" i="1"/>
  <c r="AF464" i="1"/>
  <c r="AF505" i="1"/>
  <c r="AF556" i="1"/>
  <c r="AF361" i="1"/>
  <c r="AF392" i="1"/>
  <c r="AF399" i="1"/>
  <c r="AF448" i="1"/>
  <c r="AF504" i="1"/>
  <c r="AF515" i="1"/>
  <c r="AF707" i="1"/>
  <c r="AF844" i="1"/>
  <c r="AF174" i="1"/>
  <c r="AF692" i="1"/>
  <c r="AF27" i="1"/>
  <c r="AF35" i="1"/>
  <c r="AA762" i="1"/>
  <c r="AF19" i="1"/>
  <c r="AF6" i="1"/>
  <c r="AF8" i="1"/>
  <c r="AF17" i="1"/>
  <c r="AF140" i="1"/>
  <c r="AF181" i="1"/>
  <c r="AF243" i="1"/>
  <c r="AG817" i="1"/>
  <c r="AF39" i="1"/>
  <c r="AF73" i="1"/>
  <c r="AF81" i="1"/>
  <c r="AF108" i="1"/>
  <c r="AF141" i="1"/>
  <c r="AF162" i="1"/>
  <c r="AF43" i="1"/>
  <c r="AF51" i="1"/>
  <c r="AF83" i="1"/>
  <c r="AF89" i="1"/>
  <c r="AF317" i="1"/>
  <c r="AF393" i="1"/>
  <c r="AF406" i="1"/>
  <c r="AF523" i="1"/>
  <c r="AF528" i="1"/>
  <c r="AF536" i="1"/>
  <c r="AI632" i="1"/>
  <c r="AF734" i="1"/>
  <c r="AF739" i="1"/>
  <c r="AF740" i="1"/>
  <c r="AF790" i="1"/>
  <c r="AF114" i="1"/>
  <c r="AF122" i="1"/>
  <c r="AF146" i="1"/>
  <c r="AF168" i="1"/>
  <c r="AF509" i="1"/>
  <c r="AF818" i="1"/>
  <c r="AF851" i="1"/>
  <c r="AF7" i="1"/>
  <c r="AF18" i="1"/>
  <c r="AF26" i="1"/>
  <c r="AF34" i="1"/>
  <c r="AF80" i="1"/>
  <c r="AF112" i="1"/>
  <c r="AF120" i="1"/>
  <c r="AD253" i="1"/>
  <c r="AF385" i="1"/>
  <c r="AF481" i="1"/>
  <c r="AG529" i="1"/>
  <c r="AF686" i="1"/>
  <c r="AG159" i="1"/>
  <c r="AF279" i="1"/>
  <c r="AF663" i="1"/>
  <c r="AF668" i="1"/>
  <c r="AG267" i="1"/>
  <c r="AF270" i="1"/>
  <c r="AI320" i="1"/>
  <c r="AF429" i="1"/>
  <c r="AF647" i="1"/>
  <c r="AF655" i="1"/>
  <c r="AF703" i="1"/>
  <c r="AF748" i="1"/>
  <c r="AA621" i="1"/>
  <c r="AF621" i="1" s="1"/>
  <c r="AF709" i="1"/>
  <c r="AF732" i="1"/>
  <c r="AF741" i="1"/>
  <c r="AF136" i="1"/>
  <c r="AF185" i="1"/>
  <c r="AF233" i="1"/>
  <c r="AF245" i="1"/>
  <c r="AF252" i="1"/>
  <c r="AF277" i="1"/>
  <c r="AF373" i="1"/>
  <c r="AF422" i="1"/>
  <c r="AF439" i="1"/>
  <c r="AF530" i="1"/>
  <c r="AF553" i="1"/>
  <c r="AF568" i="1"/>
  <c r="AF579" i="1"/>
  <c r="AF643" i="1"/>
  <c r="AF722" i="1"/>
  <c r="AF44" i="1"/>
  <c r="AF49" i="1"/>
  <c r="AF52" i="1"/>
  <c r="AF124" i="1"/>
  <c r="AF132" i="1"/>
  <c r="AF55" i="1"/>
  <c r="AK156" i="1"/>
  <c r="AF265" i="1"/>
  <c r="AF457" i="1"/>
  <c r="AF511" i="1"/>
  <c r="AF517" i="1"/>
  <c r="AF547" i="1"/>
  <c r="AF628" i="1"/>
  <c r="AF642" i="1"/>
  <c r="AI646" i="1"/>
  <c r="AJ670" i="1"/>
  <c r="AF697" i="1"/>
  <c r="AF764" i="1"/>
  <c r="AF768" i="1"/>
  <c r="AF770" i="1"/>
  <c r="AF781" i="1"/>
  <c r="AF838" i="1"/>
  <c r="AF558" i="1"/>
  <c r="AF231" i="1"/>
  <c r="AF512" i="1"/>
  <c r="AF649" i="1"/>
  <c r="AI706" i="1"/>
  <c r="AF743" i="1"/>
  <c r="AF746" i="1"/>
  <c r="AF751" i="1"/>
  <c r="AB776" i="1"/>
  <c r="AF413" i="1"/>
  <c r="AF63" i="1"/>
  <c r="AF71" i="1"/>
  <c r="AF102" i="1"/>
  <c r="AF106" i="1"/>
  <c r="AF139" i="1"/>
  <c r="AF144" i="1"/>
  <c r="AI158" i="1"/>
  <c r="AF188" i="1"/>
  <c r="AB230" i="1"/>
  <c r="AF237" i="1"/>
  <c r="AF242" i="1"/>
  <c r="AG260" i="1"/>
  <c r="AF291" i="1"/>
  <c r="AF355" i="1"/>
  <c r="AF421" i="1"/>
  <c r="AF486" i="1"/>
  <c r="AF534" i="1"/>
  <c r="AF614" i="1"/>
  <c r="AI621" i="1"/>
  <c r="AF662" i="1"/>
  <c r="AA678" i="1"/>
  <c r="AF758" i="1"/>
  <c r="AI785" i="1"/>
  <c r="AA817" i="1"/>
  <c r="AI836" i="1"/>
  <c r="AF847" i="1"/>
  <c r="AF62" i="1"/>
  <c r="AF70" i="1"/>
  <c r="AF134" i="1"/>
  <c r="AF138" i="1"/>
  <c r="AF155" i="1"/>
  <c r="AF166" i="1"/>
  <c r="AF212" i="1"/>
  <c r="AF241" i="1"/>
  <c r="AF290" i="1"/>
  <c r="AF368" i="1"/>
  <c r="AJ401" i="1"/>
  <c r="AF403" i="1"/>
  <c r="AC408" i="1"/>
  <c r="AF412" i="1"/>
  <c r="AF475" i="1"/>
  <c r="AF532" i="1"/>
  <c r="AF597" i="1"/>
  <c r="AF619" i="1"/>
  <c r="AF666" i="1"/>
  <c r="AF756" i="1"/>
  <c r="AF809" i="1"/>
  <c r="AF343" i="1"/>
  <c r="AF14" i="1"/>
  <c r="AF41" i="1"/>
  <c r="AF53" i="1"/>
  <c r="AF57" i="1"/>
  <c r="AF61" i="1"/>
  <c r="AF65" i="1"/>
  <c r="AF100" i="1"/>
  <c r="AF104" i="1"/>
  <c r="AF126" i="1"/>
  <c r="AF165" i="1"/>
  <c r="AF176" i="1"/>
  <c r="AF186" i="1"/>
  <c r="AF203" i="1"/>
  <c r="AF208" i="1"/>
  <c r="AF211" i="1"/>
  <c r="AF222" i="1"/>
  <c r="AF226" i="1"/>
  <c r="AF289" i="1"/>
  <c r="AF333" i="1"/>
  <c r="AF353" i="1"/>
  <c r="AF375" i="1"/>
  <c r="AF459" i="1"/>
  <c r="AF473" i="1"/>
  <c r="AF479" i="1"/>
  <c r="AF498" i="1"/>
  <c r="AF516" i="1"/>
  <c r="AF519" i="1"/>
  <c r="AF541" i="1"/>
  <c r="AF549" i="1"/>
  <c r="AF704" i="1"/>
  <c r="AF731" i="1"/>
  <c r="AF783" i="1"/>
  <c r="AA794" i="1"/>
  <c r="AH726" i="1"/>
  <c r="AA561" i="1"/>
  <c r="AF561" i="1" s="1"/>
  <c r="AH561" i="1"/>
  <c r="AG561" i="1"/>
  <c r="L172" i="1"/>
  <c r="AE172" i="1" s="1"/>
  <c r="AL180" i="1"/>
  <c r="L202" i="1"/>
  <c r="AL202" i="1"/>
  <c r="L250" i="1"/>
  <c r="AK250" i="1" s="1"/>
  <c r="AE259" i="1"/>
  <c r="AL259" i="1"/>
  <c r="AD259" i="1"/>
  <c r="AD262" i="1"/>
  <c r="AH347" i="1"/>
  <c r="AE347" i="1"/>
  <c r="AL347" i="1"/>
  <c r="AB347" i="1"/>
  <c r="AJ348" i="1"/>
  <c r="AE348" i="1"/>
  <c r="J387" i="1"/>
  <c r="I387" i="1"/>
  <c r="M407" i="1"/>
  <c r="AL407" i="1" s="1"/>
  <c r="AD425" i="1"/>
  <c r="K450" i="1"/>
  <c r="AC450" i="1" s="1"/>
  <c r="J450" i="1"/>
  <c r="AA450" i="1"/>
  <c r="M450" i="1"/>
  <c r="AD450" i="1" s="1"/>
  <c r="AD554" i="1"/>
  <c r="AA585" i="1"/>
  <c r="S585" i="1"/>
  <c r="M585" i="1"/>
  <c r="K585" i="1"/>
  <c r="K592" i="1"/>
  <c r="AC592" i="1" s="1"/>
  <c r="J592" i="1"/>
  <c r="AI592" i="1" s="1"/>
  <c r="AC620" i="1"/>
  <c r="AJ620" i="1"/>
  <c r="AE626" i="1"/>
  <c r="AD626" i="1"/>
  <c r="AH715" i="1"/>
  <c r="AE848" i="1"/>
  <c r="AK848" i="1"/>
  <c r="AD9" i="1"/>
  <c r="L87" i="1"/>
  <c r="AK87" i="1" s="1"/>
  <c r="AF107" i="1"/>
  <c r="M172" i="1"/>
  <c r="AL172" i="1" s="1"/>
  <c r="AB180" i="1"/>
  <c r="L192" i="1"/>
  <c r="J197" i="1"/>
  <c r="AI197" i="1" s="1"/>
  <c r="K201" i="1"/>
  <c r="AC201" i="1" s="1"/>
  <c r="M201" i="1"/>
  <c r="AD201" i="1" s="1"/>
  <c r="O202" i="1"/>
  <c r="J207" i="1"/>
  <c r="AI207" i="1" s="1"/>
  <c r="K207" i="1"/>
  <c r="AJ207" i="1" s="1"/>
  <c r="M250" i="1"/>
  <c r="AL250" i="1" s="1"/>
  <c r="I257" i="1"/>
  <c r="AC259" i="1"/>
  <c r="J262" i="1"/>
  <c r="AB262" i="1" s="1"/>
  <c r="AI278" i="1"/>
  <c r="AJ318" i="1"/>
  <c r="AA347" i="1"/>
  <c r="AD348" i="1"/>
  <c r="AI366" i="1"/>
  <c r="AD377" i="1"/>
  <c r="AA407" i="1"/>
  <c r="AH426" i="1"/>
  <c r="AE426" i="1"/>
  <c r="AD426" i="1"/>
  <c r="AJ426" i="1"/>
  <c r="AA426" i="1"/>
  <c r="AH445" i="1"/>
  <c r="AA445" i="1"/>
  <c r="M445" i="1"/>
  <c r="AL445" i="1" s="1"/>
  <c r="J445" i="1"/>
  <c r="AI445" i="1" s="1"/>
  <c r="L450" i="1"/>
  <c r="AE450" i="1" s="1"/>
  <c r="AL521" i="1"/>
  <c r="AK521" i="1"/>
  <c r="AE521" i="1"/>
  <c r="K521" i="1"/>
  <c r="L585" i="1"/>
  <c r="AK585" i="1" s="1"/>
  <c r="L633" i="1"/>
  <c r="AE633" i="1" s="1"/>
  <c r="K633" i="1"/>
  <c r="AJ633" i="1" s="1"/>
  <c r="J633" i="1"/>
  <c r="AL681" i="1"/>
  <c r="L681" i="1"/>
  <c r="AK681" i="1" s="1"/>
  <c r="K681" i="1"/>
  <c r="AJ681" i="1" s="1"/>
  <c r="AK689" i="1"/>
  <c r="AL716" i="1"/>
  <c r="K716" i="1"/>
  <c r="J716" i="1"/>
  <c r="AI716" i="1" s="1"/>
  <c r="I716" i="1"/>
  <c r="AH716" i="1" s="1"/>
  <c r="L719" i="1"/>
  <c r="AE719" i="1" s="1"/>
  <c r="K719" i="1"/>
  <c r="AJ719" i="1" s="1"/>
  <c r="J719" i="1"/>
  <c r="AI719" i="1" s="1"/>
  <c r="I719" i="1"/>
  <c r="AA719" i="1" s="1"/>
  <c r="AA807" i="1"/>
  <c r="L807" i="1"/>
  <c r="AE807" i="1" s="1"/>
  <c r="K807" i="1"/>
  <c r="AC807" i="1" s="1"/>
  <c r="J807" i="1"/>
  <c r="AB807" i="1" s="1"/>
  <c r="AF3" i="1"/>
  <c r="AK9" i="1"/>
  <c r="AF25" i="1"/>
  <c r="AF33" i="1"/>
  <c r="AF60" i="1"/>
  <c r="AF69" i="1"/>
  <c r="AF79" i="1"/>
  <c r="M87" i="1"/>
  <c r="AD87" i="1" s="1"/>
  <c r="AF94" i="1"/>
  <c r="AB95" i="1"/>
  <c r="AF105" i="1"/>
  <c r="AD152" i="1"/>
  <c r="AC156" i="1"/>
  <c r="AI159" i="1"/>
  <c r="AH160" i="1"/>
  <c r="AH161" i="1"/>
  <c r="I164" i="1"/>
  <c r="AH164" i="1" s="1"/>
  <c r="Y172" i="1"/>
  <c r="AF175" i="1"/>
  <c r="I177" i="1"/>
  <c r="AH177" i="1" s="1"/>
  <c r="AC180" i="1"/>
  <c r="M192" i="1"/>
  <c r="K197" i="1"/>
  <c r="AC197" i="1" s="1"/>
  <c r="J201" i="1"/>
  <c r="AI201" i="1" s="1"/>
  <c r="P202" i="1"/>
  <c r="L207" i="1"/>
  <c r="AG207" i="1" s="1"/>
  <c r="AF209" i="1"/>
  <c r="AF220" i="1"/>
  <c r="AL229" i="1"/>
  <c r="I229" i="1"/>
  <c r="AA229" i="1" s="1"/>
  <c r="AF239" i="1"/>
  <c r="AF255" i="1"/>
  <c r="AC257" i="1"/>
  <c r="AJ259" i="1"/>
  <c r="AE262" i="1"/>
  <c r="AH266" i="1"/>
  <c r="M266" i="1"/>
  <c r="AD266" i="1" s="1"/>
  <c r="J266" i="1"/>
  <c r="AK278" i="1"/>
  <c r="AD282" i="1"/>
  <c r="L293" i="1"/>
  <c r="AE293" i="1" s="1"/>
  <c r="AJ293" i="1"/>
  <c r="J293" i="1"/>
  <c r="AB293" i="1" s="1"/>
  <c r="AF314" i="1"/>
  <c r="AC347" i="1"/>
  <c r="AF354" i="1"/>
  <c r="AK377" i="1"/>
  <c r="AB426" i="1"/>
  <c r="AE435" i="1"/>
  <c r="AA435" i="1"/>
  <c r="J435" i="1"/>
  <c r="K445" i="1"/>
  <c r="AJ445" i="1" s="1"/>
  <c r="K461" i="1"/>
  <c r="AC461" i="1" s="1"/>
  <c r="M461" i="1"/>
  <c r="L461" i="1"/>
  <c r="AK461" i="1" s="1"/>
  <c r="AH461" i="1"/>
  <c r="AG484" i="1"/>
  <c r="AA484" i="1"/>
  <c r="AF484" i="1" s="1"/>
  <c r="AE514" i="1"/>
  <c r="AD514" i="1"/>
  <c r="K514" i="1"/>
  <c r="AC514" i="1" s="1"/>
  <c r="AL514" i="1"/>
  <c r="J514" i="1"/>
  <c r="AH585" i="1"/>
  <c r="I633" i="1"/>
  <c r="AA633" i="1" s="1"/>
  <c r="I681" i="1"/>
  <c r="AA681" i="1" s="1"/>
  <c r="AL689" i="1"/>
  <c r="AJ693" i="1"/>
  <c r="AC695" i="1"/>
  <c r="AJ709" i="1"/>
  <c r="AE712" i="1"/>
  <c r="AD712" i="1"/>
  <c r="AC712" i="1"/>
  <c r="AL712" i="1"/>
  <c r="AK712" i="1"/>
  <c r="AC752" i="1"/>
  <c r="AJ752" i="1"/>
  <c r="AI775" i="1"/>
  <c r="AB775" i="1"/>
  <c r="AF775" i="1" s="1"/>
  <c r="AE840" i="1"/>
  <c r="AC840" i="1"/>
  <c r="AB840" i="1"/>
  <c r="AA840" i="1"/>
  <c r="AL840" i="1"/>
  <c r="AK840" i="1"/>
  <c r="AJ840" i="1"/>
  <c r="AK846" i="1"/>
  <c r="AF195" i="1"/>
  <c r="AF285" i="1"/>
  <c r="AJ325" i="1"/>
  <c r="AI325" i="1"/>
  <c r="AL348" i="1"/>
  <c r="J386" i="1"/>
  <c r="I386" i="1"/>
  <c r="AH386" i="1" s="1"/>
  <c r="AF417" i="1"/>
  <c r="AF471" i="1"/>
  <c r="AF545" i="1"/>
  <c r="AF555" i="1"/>
  <c r="J599" i="1"/>
  <c r="AB599" i="1" s="1"/>
  <c r="L599" i="1"/>
  <c r="AK599" i="1" s="1"/>
  <c r="K599" i="1"/>
  <c r="AJ599" i="1" s="1"/>
  <c r="AD599" i="1"/>
  <c r="AL608" i="1"/>
  <c r="AD608" i="1"/>
  <c r="K608" i="1"/>
  <c r="AJ608" i="1" s="1"/>
  <c r="J608" i="1"/>
  <c r="AB608" i="1" s="1"/>
  <c r="AH654" i="1"/>
  <c r="AG654" i="1"/>
  <c r="AA654" i="1"/>
  <c r="AF676" i="1"/>
  <c r="J681" i="1"/>
  <c r="AF766" i="1"/>
  <c r="AF849" i="1"/>
  <c r="K87" i="1"/>
  <c r="AJ87" i="1" s="1"/>
  <c r="AF38" i="1"/>
  <c r="J337" i="1"/>
  <c r="AB337" i="1" s="1"/>
  <c r="AF67" i="1"/>
  <c r="AL635" i="1"/>
  <c r="AK635" i="1"/>
  <c r="AC703" i="1"/>
  <c r="AJ703" i="1"/>
  <c r="AA793" i="1"/>
  <c r="M793" i="1"/>
  <c r="AH816" i="1"/>
  <c r="M816" i="1"/>
  <c r="AA826" i="1"/>
  <c r="AI826" i="1"/>
  <c r="AL826" i="1"/>
  <c r="I377" i="1"/>
  <c r="K377" i="1"/>
  <c r="AJ377" i="1" s="1"/>
  <c r="L726" i="1"/>
  <c r="AE726" i="1" s="1"/>
  <c r="K726" i="1"/>
  <c r="AC726" i="1" s="1"/>
  <c r="J726" i="1"/>
  <c r="AF109" i="1"/>
  <c r="AF24" i="1"/>
  <c r="AF59" i="1"/>
  <c r="AF93" i="1"/>
  <c r="AF118" i="1"/>
  <c r="AF130" i="1"/>
  <c r="AF150" i="1"/>
  <c r="AD180" i="1"/>
  <c r="AE257" i="1"/>
  <c r="AK259" i="1"/>
  <c r="AJ262" i="1"/>
  <c r="K12" i="1"/>
  <c r="AJ12" i="1" s="1"/>
  <c r="AF23" i="1"/>
  <c r="AF47" i="1"/>
  <c r="AE156" i="1"/>
  <c r="K164" i="1"/>
  <c r="AC164" i="1" s="1"/>
  <c r="AF171" i="1"/>
  <c r="K177" i="1"/>
  <c r="AJ177" i="1" s="1"/>
  <c r="AE180" i="1"/>
  <c r="J184" i="1"/>
  <c r="M197" i="1"/>
  <c r="AL197" i="1" s="1"/>
  <c r="AL262" i="1"/>
  <c r="K281" i="1"/>
  <c r="AC281" i="1" s="1"/>
  <c r="AF420" i="1"/>
  <c r="AH442" i="1"/>
  <c r="AA442" i="1"/>
  <c r="K594" i="1"/>
  <c r="AJ594" i="1" s="1"/>
  <c r="J594" i="1"/>
  <c r="I594" i="1"/>
  <c r="AA594" i="1" s="1"/>
  <c r="AK594" i="1"/>
  <c r="AH594" i="1"/>
  <c r="M594" i="1"/>
  <c r="AL594" i="1" s="1"/>
  <c r="AL599" i="1"/>
  <c r="AF637" i="1"/>
  <c r="AF22" i="1"/>
  <c r="AF30" i="1"/>
  <c r="AF46" i="1"/>
  <c r="AF116" i="1"/>
  <c r="AF128" i="1"/>
  <c r="AF148" i="1"/>
  <c r="AL152" i="1"/>
  <c r="AE154" i="1"/>
  <c r="I156" i="1"/>
  <c r="K158" i="1"/>
  <c r="AJ158" i="1" s="1"/>
  <c r="K159" i="1"/>
  <c r="AJ159" i="1" s="1"/>
  <c r="J160" i="1"/>
  <c r="J161" i="1"/>
  <c r="L164" i="1"/>
  <c r="AE164" i="1" s="1"/>
  <c r="AF170" i="1"/>
  <c r="K179" i="1"/>
  <c r="AJ179" i="1" s="1"/>
  <c r="K184" i="1"/>
  <c r="AC184" i="1" s="1"/>
  <c r="AF191" i="1"/>
  <c r="AB196" i="1"/>
  <c r="AH207" i="1"/>
  <c r="AF261" i="1"/>
  <c r="AK293" i="1"/>
  <c r="J312" i="1"/>
  <c r="AI312" i="1" s="1"/>
  <c r="K315" i="1"/>
  <c r="J315" i="1"/>
  <c r="AB315" i="1" s="1"/>
  <c r="I334" i="1"/>
  <c r="I338" i="1"/>
  <c r="AD338" i="1"/>
  <c r="AB338" i="1"/>
  <c r="AI347" i="1"/>
  <c r="AB349" i="1"/>
  <c r="AD366" i="1"/>
  <c r="AF370" i="1"/>
  <c r="L386" i="1"/>
  <c r="AE386" i="1" s="1"/>
  <c r="K397" i="1"/>
  <c r="AJ397" i="1" s="1"/>
  <c r="J397" i="1"/>
  <c r="AI397" i="1" s="1"/>
  <c r="AJ423" i="1"/>
  <c r="M423" i="1"/>
  <c r="L423" i="1"/>
  <c r="I423" i="1"/>
  <c r="AA423" i="1" s="1"/>
  <c r="AC433" i="1"/>
  <c r="M435" i="1"/>
  <c r="AL435" i="1" s="1"/>
  <c r="M442" i="1"/>
  <c r="AD442" i="1" s="1"/>
  <c r="L446" i="1"/>
  <c r="AE446" i="1" s="1"/>
  <c r="AF462" i="1"/>
  <c r="AL467" i="1"/>
  <c r="AD467" i="1"/>
  <c r="AF478" i="1"/>
  <c r="AB483" i="1"/>
  <c r="AF483" i="1" s="1"/>
  <c r="AG483" i="1"/>
  <c r="AI483" i="1"/>
  <c r="AF492" i="1"/>
  <c r="AK514" i="1"/>
  <c r="AF526" i="1"/>
  <c r="AL535" i="1"/>
  <c r="K535" i="1"/>
  <c r="AJ535" i="1" s="1"/>
  <c r="AK535" i="1"/>
  <c r="J535" i="1"/>
  <c r="AB535" i="1" s="1"/>
  <c r="AE535" i="1"/>
  <c r="I535" i="1"/>
  <c r="AE615" i="1"/>
  <c r="J615" i="1"/>
  <c r="AI615" i="1" s="1"/>
  <c r="AD635" i="1"/>
  <c r="J640" i="1"/>
  <c r="AI640" i="1" s="1"/>
  <c r="I640" i="1"/>
  <c r="L640" i="1"/>
  <c r="AE640" i="1" s="1"/>
  <c r="K640" i="1"/>
  <c r="AJ640" i="1" s="1"/>
  <c r="K673" i="1"/>
  <c r="AJ673" i="1" s="1"/>
  <c r="AA673" i="1"/>
  <c r="S673" i="1"/>
  <c r="AD673" i="1"/>
  <c r="AF699" i="1"/>
  <c r="M725" i="1"/>
  <c r="L725" i="1"/>
  <c r="K725" i="1"/>
  <c r="AJ725" i="1" s="1"/>
  <c r="J725" i="1"/>
  <c r="AI725" i="1" s="1"/>
  <c r="AH759" i="1"/>
  <c r="AA759" i="1"/>
  <c r="AF759" i="1" s="1"/>
  <c r="K793" i="1"/>
  <c r="AJ793" i="1" s="1"/>
  <c r="K816" i="1"/>
  <c r="AJ816" i="1" s="1"/>
  <c r="L298" i="1"/>
  <c r="AE298" i="1" s="1"/>
  <c r="K298" i="1"/>
  <c r="AJ298" i="1" s="1"/>
  <c r="K407" i="1"/>
  <c r="J407" i="1"/>
  <c r="AH407" i="1"/>
  <c r="AD610" i="1"/>
  <c r="J610" i="1"/>
  <c r="AI610" i="1" s="1"/>
  <c r="AE616" i="1"/>
  <c r="M616" i="1"/>
  <c r="AD616" i="1" s="1"/>
  <c r="AK616" i="1"/>
  <c r="I616" i="1"/>
  <c r="AH616" i="1" s="1"/>
  <c r="AF5" i="1"/>
  <c r="AF32" i="1"/>
  <c r="AF48" i="1"/>
  <c r="AF68" i="1"/>
  <c r="AF78" i="1"/>
  <c r="P87" i="1"/>
  <c r="AK95" i="1"/>
  <c r="AF98" i="1"/>
  <c r="AF125" i="1"/>
  <c r="AF173" i="1"/>
  <c r="L197" i="1"/>
  <c r="AE197" i="1" s="1"/>
  <c r="AC202" i="1"/>
  <c r="AI267" i="1"/>
  <c r="AH278" i="1"/>
  <c r="AB278" i="1"/>
  <c r="AF278" i="1" s="1"/>
  <c r="AL278" i="1"/>
  <c r="J281" i="1"/>
  <c r="AI281" i="1" s="1"/>
  <c r="AD281" i="1"/>
  <c r="AL281" i="1"/>
  <c r="I281" i="1"/>
  <c r="AH281" i="1" s="1"/>
  <c r="AF342" i="1"/>
  <c r="AD347" i="1"/>
  <c r="M381" i="1"/>
  <c r="L381" i="1"/>
  <c r="AE381" i="1" s="1"/>
  <c r="I381" i="1"/>
  <c r="AH381" i="1" s="1"/>
  <c r="AF4" i="1"/>
  <c r="AF31" i="1"/>
  <c r="AF37" i="1"/>
  <c r="AF77" i="1"/>
  <c r="AF86" i="1"/>
  <c r="AF92" i="1"/>
  <c r="AF123" i="1"/>
  <c r="AD154" i="1"/>
  <c r="AJ156" i="1"/>
  <c r="J179" i="1"/>
  <c r="AB179" i="1" s="1"/>
  <c r="AD202" i="1"/>
  <c r="AL257" i="1"/>
  <c r="AF324" i="1"/>
  <c r="L337" i="1"/>
  <c r="AK337" i="1" s="1"/>
  <c r="AF341" i="1"/>
  <c r="AL365" i="1"/>
  <c r="J365" i="1"/>
  <c r="I365" i="1"/>
  <c r="AA365" i="1" s="1"/>
  <c r="J381" i="1"/>
  <c r="K386" i="1"/>
  <c r="AJ386" i="1" s="1"/>
  <c r="AF416" i="1"/>
  <c r="AF430" i="1"/>
  <c r="AH450" i="1"/>
  <c r="M567" i="1"/>
  <c r="AD567" i="1" s="1"/>
  <c r="L567" i="1"/>
  <c r="AE567" i="1" s="1"/>
  <c r="AE608" i="1"/>
  <c r="AF2" i="1"/>
  <c r="M12" i="1"/>
  <c r="AD12" i="1" s="1"/>
  <c r="AF76" i="1"/>
  <c r="AF85" i="1"/>
  <c r="AF91" i="1"/>
  <c r="AF96" i="1"/>
  <c r="R12" i="1"/>
  <c r="AF21" i="1"/>
  <c r="AF29" i="1"/>
  <c r="AF45" i="1"/>
  <c r="AF54" i="1"/>
  <c r="AF64" i="1"/>
  <c r="AF75" i="1"/>
  <c r="AF84" i="1"/>
  <c r="AF90" i="1"/>
  <c r="AF151" i="1"/>
  <c r="J156" i="1"/>
  <c r="AB156" i="1" s="1"/>
  <c r="AL156" i="1"/>
  <c r="AA158" i="1"/>
  <c r="AF158" i="1" s="1"/>
  <c r="AA159" i="1"/>
  <c r="AF159" i="1" s="1"/>
  <c r="K160" i="1"/>
  <c r="AJ160" i="1" s="1"/>
  <c r="K161" i="1"/>
  <c r="AJ161" i="1" s="1"/>
  <c r="AF163" i="1"/>
  <c r="J178" i="1"/>
  <c r="AG178" i="1" s="1"/>
  <c r="AJ180" i="1"/>
  <c r="AF182" i="1"/>
  <c r="L184" i="1"/>
  <c r="AE184" i="1" s="1"/>
  <c r="AH196" i="1"/>
  <c r="AJ202" i="1"/>
  <c r="AF204" i="1"/>
  <c r="AF214" i="1"/>
  <c r="AF225" i="1"/>
  <c r="J227" i="1"/>
  <c r="AB227" i="1" s="1"/>
  <c r="AL267" i="1"/>
  <c r="AA267" i="1"/>
  <c r="K267" i="1"/>
  <c r="AC267" i="1" s="1"/>
  <c r="AD278" i="1"/>
  <c r="AE281" i="1"/>
  <c r="M294" i="1"/>
  <c r="AL294" i="1" s="1"/>
  <c r="AF310" i="1"/>
  <c r="L315" i="1"/>
  <c r="AK315" i="1" s="1"/>
  <c r="AF326" i="1"/>
  <c r="J334" i="1"/>
  <c r="AB334" i="1" s="1"/>
  <c r="L338" i="1"/>
  <c r="AJ347" i="1"/>
  <c r="AK365" i="1"/>
  <c r="AE366" i="1"/>
  <c r="AF369" i="1"/>
  <c r="AF372" i="1"/>
  <c r="M386" i="1"/>
  <c r="AD386" i="1" s="1"/>
  <c r="I397" i="1"/>
  <c r="AC413" i="1"/>
  <c r="J423" i="1"/>
  <c r="AB423" i="1" s="1"/>
  <c r="AI426" i="1"/>
  <c r="AF431" i="1"/>
  <c r="AD433" i="1"/>
  <c r="K443" i="1"/>
  <c r="AC443" i="1" s="1"/>
  <c r="AA443" i="1"/>
  <c r="M443" i="1"/>
  <c r="AB451" i="1"/>
  <c r="AF491" i="1"/>
  <c r="AH510" i="1"/>
  <c r="AA510" i="1"/>
  <c r="AF510" i="1" s="1"/>
  <c r="AL591" i="1"/>
  <c r="I591" i="1"/>
  <c r="AE594" i="1"/>
  <c r="AK600" i="1"/>
  <c r="I615" i="1"/>
  <c r="AH615" i="1" s="1"/>
  <c r="AF629" i="1"/>
  <c r="AA632" i="1"/>
  <c r="AF632" i="1" s="1"/>
  <c r="AE635" i="1"/>
  <c r="AE641" i="1"/>
  <c r="AD641" i="1"/>
  <c r="AC641" i="1"/>
  <c r="AL641" i="1"/>
  <c r="AE677" i="1"/>
  <c r="K677" i="1"/>
  <c r="J677" i="1"/>
  <c r="I677" i="1"/>
  <c r="AK677" i="1"/>
  <c r="M715" i="1"/>
  <c r="AL715" i="1" s="1"/>
  <c r="L715" i="1"/>
  <c r="AE715" i="1" s="1"/>
  <c r="K715" i="1"/>
  <c r="AJ715" i="1" s="1"/>
  <c r="AA715" i="1"/>
  <c r="J715" i="1"/>
  <c r="I725" i="1"/>
  <c r="AA725" i="1" s="1"/>
  <c r="AF774" i="1"/>
  <c r="AH775" i="1"/>
  <c r="AF788" i="1"/>
  <c r="AA829" i="1"/>
  <c r="AF240" i="1"/>
  <c r="AF263" i="1"/>
  <c r="AD268" i="1"/>
  <c r="AL276" i="1"/>
  <c r="AF288" i="1"/>
  <c r="AI327" i="1"/>
  <c r="AE402" i="1"/>
  <c r="AF428" i="1"/>
  <c r="S436" i="1"/>
  <c r="O436" i="1"/>
  <c r="AL436" i="1"/>
  <c r="AH452" i="1"/>
  <c r="M452" i="1"/>
  <c r="AD452" i="1" s="1"/>
  <c r="AE485" i="1"/>
  <c r="AA485" i="1"/>
  <c r="K485" i="1"/>
  <c r="AC485" i="1" s="1"/>
  <c r="J485" i="1"/>
  <c r="AF507" i="1"/>
  <c r="AF539" i="1"/>
  <c r="AC576" i="1"/>
  <c r="AE613" i="1"/>
  <c r="AA613" i="1"/>
  <c r="M613" i="1"/>
  <c r="AL613" i="1" s="1"/>
  <c r="K613" i="1"/>
  <c r="J613" i="1"/>
  <c r="M701" i="1"/>
  <c r="L701" i="1"/>
  <c r="AE701" i="1" s="1"/>
  <c r="K701" i="1"/>
  <c r="AC701" i="1" s="1"/>
  <c r="AH701" i="1"/>
  <c r="AL753" i="1"/>
  <c r="AE753" i="1"/>
  <c r="K753" i="1"/>
  <c r="AJ753" i="1" s="1"/>
  <c r="J753" i="1"/>
  <c r="AI753" i="1" s="1"/>
  <c r="I753" i="1"/>
  <c r="AA753" i="1" s="1"/>
  <c r="AF767" i="1"/>
  <c r="AI843" i="1"/>
  <c r="AK843" i="1"/>
  <c r="AH843" i="1"/>
  <c r="AL843" i="1"/>
  <c r="AE843" i="1"/>
  <c r="AF850" i="1"/>
  <c r="AF224" i="1"/>
  <c r="AK238" i="1"/>
  <c r="AF247" i="1"/>
  <c r="AK253" i="1"/>
  <c r="AF258" i="1"/>
  <c r="AH268" i="1"/>
  <c r="K276" i="1"/>
  <c r="AE286" i="1"/>
  <c r="AJ286" i="1"/>
  <c r="AF301" i="1"/>
  <c r="AJ306" i="1"/>
  <c r="AI306" i="1"/>
  <c r="L308" i="1"/>
  <c r="AF323" i="1"/>
  <c r="AB327" i="1"/>
  <c r="AF335" i="1"/>
  <c r="AF340" i="1"/>
  <c r="AF346" i="1"/>
  <c r="AF378" i="1"/>
  <c r="AA402" i="1"/>
  <c r="V436" i="1"/>
  <c r="L451" i="1"/>
  <c r="L452" i="1"/>
  <c r="AG452" i="1" s="1"/>
  <c r="I502" i="1"/>
  <c r="AA502" i="1" s="1"/>
  <c r="AC502" i="1"/>
  <c r="AL502" i="1"/>
  <c r="AF537" i="1"/>
  <c r="AL586" i="1"/>
  <c r="AD586" i="1"/>
  <c r="AF587" i="1"/>
  <c r="AL682" i="1"/>
  <c r="K682" i="1"/>
  <c r="AJ682" i="1" s="1"/>
  <c r="J682" i="1"/>
  <c r="I682" i="1"/>
  <c r="AA682" i="1" s="1"/>
  <c r="AB765" i="1"/>
  <c r="AF810" i="1"/>
  <c r="M824" i="1"/>
  <c r="AD824" i="1" s="1"/>
  <c r="K824" i="1"/>
  <c r="AJ824" i="1" s="1"/>
  <c r="J824" i="1"/>
  <c r="AB824" i="1" s="1"/>
  <c r="AA834" i="1"/>
  <c r="AK834" i="1"/>
  <c r="AE834" i="1"/>
  <c r="AB834" i="1"/>
  <c r="AE841" i="1"/>
  <c r="AB841" i="1"/>
  <c r="AK841" i="1"/>
  <c r="AI841" i="1"/>
  <c r="AD841" i="1"/>
  <c r="AD843" i="1"/>
  <c r="AF190" i="1"/>
  <c r="AF210" i="1"/>
  <c r="AF223" i="1"/>
  <c r="AF228" i="1"/>
  <c r="I234" i="1"/>
  <c r="I238" i="1"/>
  <c r="AL238" i="1"/>
  <c r="K251" i="1"/>
  <c r="AJ251" i="1" s="1"/>
  <c r="I253" i="1"/>
  <c r="I264" i="1"/>
  <c r="AA264" i="1" s="1"/>
  <c r="AL268" i="1"/>
  <c r="AG272" i="1"/>
  <c r="AF273" i="1"/>
  <c r="AF280" i="1"/>
  <c r="AL285" i="1"/>
  <c r="J286" i="1"/>
  <c r="AF292" i="1"/>
  <c r="AF304" i="1"/>
  <c r="I306" i="1"/>
  <c r="I322" i="1"/>
  <c r="AH322" i="1" s="1"/>
  <c r="AF328" i="1"/>
  <c r="AF339" i="1"/>
  <c r="AJ350" i="1"/>
  <c r="AF357" i="1"/>
  <c r="AF380" i="1"/>
  <c r="M401" i="1"/>
  <c r="AD401" i="1" s="1"/>
  <c r="AH402" i="1"/>
  <c r="X436" i="1"/>
  <c r="AG438" i="1"/>
  <c r="AH438" i="1"/>
  <c r="AF472" i="1"/>
  <c r="AF474" i="1"/>
  <c r="AH485" i="1"/>
  <c r="J502" i="1"/>
  <c r="AI502" i="1" s="1"/>
  <c r="AF513" i="1"/>
  <c r="AF551" i="1"/>
  <c r="M565" i="1"/>
  <c r="AL565" i="1" s="1"/>
  <c r="L565" i="1"/>
  <c r="AE565" i="1" s="1"/>
  <c r="J586" i="1"/>
  <c r="AI586" i="1" s="1"/>
  <c r="K607" i="1"/>
  <c r="AJ607" i="1" s="1"/>
  <c r="AK613" i="1"/>
  <c r="AK648" i="1"/>
  <c r="J648" i="1"/>
  <c r="L682" i="1"/>
  <c r="AE682" i="1" s="1"/>
  <c r="AF727" i="1"/>
  <c r="AF754" i="1"/>
  <c r="AB797" i="1"/>
  <c r="AA797" i="1"/>
  <c r="L797" i="1"/>
  <c r="AF808" i="1"/>
  <c r="AF817" i="1"/>
  <c r="AC827" i="1"/>
  <c r="AH827" i="1"/>
  <c r="AH832" i="1"/>
  <c r="AL832" i="1"/>
  <c r="AJ842" i="1"/>
  <c r="AC842" i="1"/>
  <c r="AF470" i="1"/>
  <c r="AF490" i="1"/>
  <c r="AF496" i="1"/>
  <c r="AJ533" i="1"/>
  <c r="AF540" i="1"/>
  <c r="AF578" i="1"/>
  <c r="AF622" i="1"/>
  <c r="AD693" i="1"/>
  <c r="AL693" i="1"/>
  <c r="AJ705" i="1"/>
  <c r="AC705" i="1"/>
  <c r="AF760" i="1"/>
  <c r="AL777" i="1"/>
  <c r="AK777" i="1"/>
  <c r="M786" i="1"/>
  <c r="L786" i="1"/>
  <c r="AE786" i="1" s="1"/>
  <c r="AL794" i="1"/>
  <c r="AD831" i="1"/>
  <c r="AB831" i="1"/>
  <c r="AF466" i="1"/>
  <c r="AF469" i="1"/>
  <c r="AF489" i="1"/>
  <c r="AF520" i="1"/>
  <c r="I533" i="1"/>
  <c r="AA533" i="1" s="1"/>
  <c r="AK533" i="1"/>
  <c r="AF543" i="1"/>
  <c r="I560" i="1"/>
  <c r="AH560" i="1" s="1"/>
  <c r="AF562" i="1"/>
  <c r="AF577" i="1"/>
  <c r="AF581" i="1"/>
  <c r="I598" i="1"/>
  <c r="AG598" i="1" s="1"/>
  <c r="AF603" i="1"/>
  <c r="AF653" i="1"/>
  <c r="AF667" i="1"/>
  <c r="AC675" i="1"/>
  <c r="AJ675" i="1"/>
  <c r="AL691" i="1"/>
  <c r="L691" i="1"/>
  <c r="AE691" i="1" s="1"/>
  <c r="AC777" i="1"/>
  <c r="J786" i="1"/>
  <c r="AI786" i="1" s="1"/>
  <c r="AF432" i="1"/>
  <c r="AF437" i="1"/>
  <c r="AF468" i="1"/>
  <c r="AL484" i="1"/>
  <c r="AF488" i="1"/>
  <c r="I499" i="1"/>
  <c r="AH499" i="1" s="1"/>
  <c r="AF501" i="1"/>
  <c r="AF518" i="1"/>
  <c r="AF527" i="1"/>
  <c r="AF531" i="1"/>
  <c r="J533" i="1"/>
  <c r="AL533" i="1"/>
  <c r="AF590" i="1"/>
  <c r="AF602" i="1"/>
  <c r="J620" i="1"/>
  <c r="AI620" i="1" s="1"/>
  <c r="M678" i="1"/>
  <c r="AL678" i="1" s="1"/>
  <c r="K678" i="1"/>
  <c r="AJ678" i="1" s="1"/>
  <c r="J678" i="1"/>
  <c r="AG678" i="1" s="1"/>
  <c r="K683" i="1"/>
  <c r="J683" i="1"/>
  <c r="AI683" i="1" s="1"/>
  <c r="I683" i="1"/>
  <c r="I691" i="1"/>
  <c r="AH691" i="1" s="1"/>
  <c r="AF747" i="1"/>
  <c r="AF761" i="1"/>
  <c r="AF763" i="1"/>
  <c r="AD777" i="1"/>
  <c r="AF780" i="1"/>
  <c r="AL784" i="1"/>
  <c r="J784" i="1"/>
  <c r="AI784" i="1" s="1"/>
  <c r="AK784" i="1"/>
  <c r="I784" i="1"/>
  <c r="AH784" i="1" s="1"/>
  <c r="K786" i="1"/>
  <c r="AJ786" i="1" s="1"/>
  <c r="AH839" i="1"/>
  <c r="AL839" i="1"/>
  <c r="AK839" i="1"/>
  <c r="AJ839" i="1"/>
  <c r="AI839" i="1"/>
  <c r="AC846" i="1"/>
  <c r="AA846" i="1"/>
  <c r="R846" i="1"/>
  <c r="AF671" i="1"/>
  <c r="AF687" i="1"/>
  <c r="AF730" i="1"/>
  <c r="AL738" i="1"/>
  <c r="AF801" i="1"/>
  <c r="AF814" i="1"/>
  <c r="AL831" i="1"/>
  <c r="AJ832" i="1"/>
  <c r="AC834" i="1"/>
  <c r="AI842" i="1"/>
  <c r="AF852" i="1"/>
  <c r="AF618" i="1"/>
  <c r="AH632" i="1"/>
  <c r="AG646" i="1"/>
  <c r="AK646" i="1"/>
  <c r="AF651" i="1"/>
  <c r="AI654" i="1"/>
  <c r="AF658" i="1"/>
  <c r="AD659" i="1"/>
  <c r="AF675" i="1"/>
  <c r="K690" i="1"/>
  <c r="AJ690" i="1" s="1"/>
  <c r="AF694" i="1"/>
  <c r="K706" i="1"/>
  <c r="AD710" i="1"/>
  <c r="K714" i="1"/>
  <c r="AF718" i="1"/>
  <c r="AF724" i="1"/>
  <c r="AF729" i="1"/>
  <c r="H750" i="1"/>
  <c r="AD750" i="1" s="1"/>
  <c r="I755" i="1"/>
  <c r="AA755" i="1" s="1"/>
  <c r="I765" i="1"/>
  <c r="AJ765" i="1"/>
  <c r="AK776" i="1"/>
  <c r="AC785" i="1"/>
  <c r="J804" i="1"/>
  <c r="AF812" i="1"/>
  <c r="AI817" i="1"/>
  <c r="AK836" i="1"/>
  <c r="AJ841" i="1"/>
  <c r="AK842" i="1"/>
  <c r="I845" i="1"/>
  <c r="AA845" i="1" s="1"/>
  <c r="AF845" i="1" s="1"/>
  <c r="AF623" i="1"/>
  <c r="AF656" i="1"/>
  <c r="AF657" i="1"/>
  <c r="L690" i="1"/>
  <c r="AE690" i="1" s="1"/>
  <c r="AF693" i="1"/>
  <c r="AF700" i="1"/>
  <c r="L706" i="1"/>
  <c r="L714" i="1"/>
  <c r="AK714" i="1" s="1"/>
  <c r="AF723" i="1"/>
  <c r="AF728" i="1"/>
  <c r="AF736" i="1"/>
  <c r="AK795" i="1"/>
  <c r="AE795" i="1"/>
  <c r="AF806" i="1"/>
  <c r="AF811" i="1"/>
  <c r="AK817" i="1"/>
  <c r="AI823" i="1"/>
  <c r="AG828" i="1"/>
  <c r="AL842" i="1"/>
  <c r="L10" i="1"/>
  <c r="AE10" i="1" s="1"/>
  <c r="K11" i="1"/>
  <c r="I12" i="1"/>
  <c r="AA12" i="1" s="1"/>
  <c r="AD13" i="1"/>
  <c r="AL13" i="1"/>
  <c r="AA15" i="1"/>
  <c r="AI15" i="1"/>
  <c r="L16" i="1"/>
  <c r="AK16" i="1" s="1"/>
  <c r="AF40" i="1"/>
  <c r="AF56" i="1"/>
  <c r="AF72" i="1"/>
  <c r="AJ95" i="1"/>
  <c r="AF97" i="1"/>
  <c r="AF111" i="1"/>
  <c r="AF127" i="1"/>
  <c r="AF143" i="1"/>
  <c r="AF145" i="1"/>
  <c r="AG158" i="1"/>
  <c r="AF167" i="1"/>
  <c r="AH179" i="1"/>
  <c r="AF187" i="1"/>
  <c r="AL227" i="1"/>
  <c r="AC227" i="1"/>
  <c r="AJ227" i="1"/>
  <c r="AA227" i="1"/>
  <c r="AH227" i="1"/>
  <c r="L227" i="1"/>
  <c r="AE227" i="1" s="1"/>
  <c r="AF244" i="1"/>
  <c r="AB253" i="1"/>
  <c r="AI253" i="1"/>
  <c r="AF254" i="1"/>
  <c r="AD274" i="1"/>
  <c r="AH344" i="1"/>
  <c r="AG344" i="1"/>
  <c r="AA344" i="1"/>
  <c r="AF344" i="1" s="1"/>
  <c r="AA362" i="1"/>
  <c r="AH362" i="1"/>
  <c r="M362" i="1"/>
  <c r="AL362" i="1" s="1"/>
  <c r="L362" i="1"/>
  <c r="K362" i="1"/>
  <c r="AC362" i="1" s="1"/>
  <c r="J362" i="1"/>
  <c r="AB362" i="1" s="1"/>
  <c r="M10" i="1"/>
  <c r="L11" i="1"/>
  <c r="AH11" i="1"/>
  <c r="J12" i="1"/>
  <c r="AB12" i="1" s="1"/>
  <c r="AE12" i="1"/>
  <c r="AE13" i="1"/>
  <c r="AB15" i="1"/>
  <c r="AJ15" i="1"/>
  <c r="M16" i="1"/>
  <c r="AL16" i="1" s="1"/>
  <c r="M217" i="1"/>
  <c r="AD217" i="1" s="1"/>
  <c r="L217" i="1"/>
  <c r="AE217" i="1" s="1"/>
  <c r="K217" i="1"/>
  <c r="AC217" i="1" s="1"/>
  <c r="J217" i="1"/>
  <c r="AI217" i="1" s="1"/>
  <c r="AC15" i="1"/>
  <c r="AK15" i="1"/>
  <c r="I217" i="1"/>
  <c r="K297" i="1"/>
  <c r="AC297" i="1" s="1"/>
  <c r="L297" i="1"/>
  <c r="AE297" i="1" s="1"/>
  <c r="M297" i="1"/>
  <c r="AL297" i="1" s="1"/>
  <c r="J297" i="1"/>
  <c r="I297" i="1"/>
  <c r="AA297" i="1" s="1"/>
  <c r="L309" i="1"/>
  <c r="AH309" i="1"/>
  <c r="M309" i="1"/>
  <c r="AD309" i="1" s="1"/>
  <c r="AA309" i="1"/>
  <c r="K309" i="1"/>
  <c r="J309" i="1"/>
  <c r="AI309" i="1" s="1"/>
  <c r="AH331" i="1"/>
  <c r="L391" i="1"/>
  <c r="K391" i="1"/>
  <c r="AC391" i="1" s="1"/>
  <c r="J391" i="1"/>
  <c r="AB391" i="1" s="1"/>
  <c r="M391" i="1"/>
  <c r="AL391" i="1" s="1"/>
  <c r="I391" i="1"/>
  <c r="AA391" i="1" s="1"/>
  <c r="J13" i="1"/>
  <c r="AG13" i="1" s="1"/>
  <c r="L36" i="1"/>
  <c r="K36" i="1"/>
  <c r="AC36" i="1" s="1"/>
  <c r="J36" i="1"/>
  <c r="AI36" i="1" s="1"/>
  <c r="AF50" i="1"/>
  <c r="AF66" i="1"/>
  <c r="AF82" i="1"/>
  <c r="AF121" i="1"/>
  <c r="AF137" i="1"/>
  <c r="AF213" i="1"/>
  <c r="AF221" i="1"/>
  <c r="AF232" i="1"/>
  <c r="AF235" i="1"/>
  <c r="AL306" i="1"/>
  <c r="AD306" i="1"/>
  <c r="AH312" i="1"/>
  <c r="AG331" i="1"/>
  <c r="AA331" i="1"/>
  <c r="AF374" i="1"/>
  <c r="AE9" i="1"/>
  <c r="AC10" i="1"/>
  <c r="K13" i="1"/>
  <c r="AJ13" i="1" s="1"/>
  <c r="AH13" i="1"/>
  <c r="AC16" i="1"/>
  <c r="I36" i="1"/>
  <c r="AH36" i="1" s="1"/>
  <c r="L198" i="1"/>
  <c r="AE198" i="1" s="1"/>
  <c r="AL198" i="1"/>
  <c r="AC275" i="1"/>
  <c r="AK275" i="1"/>
  <c r="M275" i="1"/>
  <c r="AD275" i="1" s="1"/>
  <c r="K275" i="1"/>
  <c r="AJ275" i="1" s="1"/>
  <c r="J275" i="1"/>
  <c r="AI275" i="1" s="1"/>
  <c r="I275" i="1"/>
  <c r="AB386" i="1"/>
  <c r="AI386" i="1"/>
  <c r="AG386" i="1"/>
  <c r="I9" i="1"/>
  <c r="I10" i="1"/>
  <c r="AD11" i="1"/>
  <c r="AL11" i="1"/>
  <c r="AA13" i="1"/>
  <c r="I16" i="1"/>
  <c r="M36" i="1"/>
  <c r="AL36" i="1" s="1"/>
  <c r="AF103" i="1"/>
  <c r="AF119" i="1"/>
  <c r="AF135" i="1"/>
  <c r="AF149" i="1"/>
  <c r="AA179" i="1"/>
  <c r="AF196" i="1"/>
  <c r="I198" i="1"/>
  <c r="M199" i="1"/>
  <c r="AD199" i="1" s="1"/>
  <c r="L199" i="1"/>
  <c r="AE199" i="1" s="1"/>
  <c r="K199" i="1"/>
  <c r="L205" i="1"/>
  <c r="AE205" i="1" s="1"/>
  <c r="K205" i="1"/>
  <c r="J205" i="1"/>
  <c r="AL205" i="1"/>
  <c r="AD205" i="1"/>
  <c r="I205" i="1"/>
  <c r="AA205" i="1" s="1"/>
  <c r="AF249" i="1"/>
  <c r="AF260" i="1"/>
  <c r="AE275" i="1"/>
  <c r="I295" i="1"/>
  <c r="AA295" i="1" s="1"/>
  <c r="J295" i="1"/>
  <c r="AI295" i="1" s="1"/>
  <c r="M295" i="1"/>
  <c r="AL295" i="1" s="1"/>
  <c r="L295" i="1"/>
  <c r="AK295" i="1" s="1"/>
  <c r="AI344" i="1"/>
  <c r="J9" i="1"/>
  <c r="AI9" i="1" s="1"/>
  <c r="J10" i="1"/>
  <c r="J16" i="1"/>
  <c r="AB16" i="1" s="1"/>
  <c r="AF99" i="1"/>
  <c r="AF101" i="1"/>
  <c r="AF115" i="1"/>
  <c r="AF117" i="1"/>
  <c r="AF133" i="1"/>
  <c r="AF147" i="1"/>
  <c r="AL194" i="1"/>
  <c r="AD194" i="1"/>
  <c r="AK194" i="1"/>
  <c r="AC194" i="1"/>
  <c r="AJ194" i="1"/>
  <c r="AB194" i="1"/>
  <c r="AI194" i="1"/>
  <c r="AA194" i="1"/>
  <c r="J198" i="1"/>
  <c r="AI198" i="1" s="1"/>
  <c r="I199" i="1"/>
  <c r="AH199" i="1" s="1"/>
  <c r="L236" i="1"/>
  <c r="AK236" i="1" s="1"/>
  <c r="K236" i="1"/>
  <c r="J236" i="1"/>
  <c r="AB236" i="1" s="1"/>
  <c r="I236" i="1"/>
  <c r="M248" i="1"/>
  <c r="AK248" i="1"/>
  <c r="K248" i="1"/>
  <c r="J248" i="1"/>
  <c r="AB248" i="1" s="1"/>
  <c r="AJ272" i="1"/>
  <c r="AB272" i="1"/>
  <c r="AC272" i="1"/>
  <c r="AL272" i="1"/>
  <c r="AA272" i="1"/>
  <c r="AK272" i="1"/>
  <c r="AI272" i="1"/>
  <c r="AH272" i="1"/>
  <c r="AL273" i="1"/>
  <c r="AD273" i="1"/>
  <c r="AC278" i="1"/>
  <c r="AJ278" i="1"/>
  <c r="AG285" i="1"/>
  <c r="K295" i="1"/>
  <c r="K389" i="1"/>
  <c r="AC389" i="1" s="1"/>
  <c r="AK389" i="1"/>
  <c r="AE389" i="1"/>
  <c r="AD389" i="1"/>
  <c r="J389" i="1"/>
  <c r="AL389" i="1"/>
  <c r="K9" i="1"/>
  <c r="AC9" i="1" s="1"/>
  <c r="AF42" i="1"/>
  <c r="AF58" i="1"/>
  <c r="AF74" i="1"/>
  <c r="AF88" i="1"/>
  <c r="AI95" i="1"/>
  <c r="AF113" i="1"/>
  <c r="AF129" i="1"/>
  <c r="AF131" i="1"/>
  <c r="K152" i="1"/>
  <c r="J152" i="1"/>
  <c r="AB152" i="1" s="1"/>
  <c r="I152" i="1"/>
  <c r="AH152" i="1" s="1"/>
  <c r="K153" i="1"/>
  <c r="J153" i="1"/>
  <c r="I153" i="1"/>
  <c r="K154" i="1"/>
  <c r="J154" i="1"/>
  <c r="AB154" i="1" s="1"/>
  <c r="I154" i="1"/>
  <c r="AF157" i="1"/>
  <c r="AL164" i="1"/>
  <c r="AF169" i="1"/>
  <c r="AL184" i="1"/>
  <c r="AF189" i="1"/>
  <c r="AL196" i="1"/>
  <c r="AG196" i="1"/>
  <c r="K198" i="1"/>
  <c r="AC198" i="1" s="1"/>
  <c r="J199" i="1"/>
  <c r="AB199" i="1" s="1"/>
  <c r="AH200" i="1"/>
  <c r="M200" i="1"/>
  <c r="AD200" i="1" s="1"/>
  <c r="L200" i="1"/>
  <c r="AK200" i="1" s="1"/>
  <c r="K200" i="1"/>
  <c r="J200" i="1"/>
  <c r="AF219" i="1"/>
  <c r="M236" i="1"/>
  <c r="AF246" i="1"/>
  <c r="I248" i="1"/>
  <c r="AA253" i="1"/>
  <c r="AH253" i="1"/>
  <c r="AG253" i="1"/>
  <c r="AF256" i="1"/>
  <c r="AJ281" i="1"/>
  <c r="AH285" i="1"/>
  <c r="AI307" i="1"/>
  <c r="I389" i="1"/>
  <c r="AA404" i="1"/>
  <c r="AD598" i="1"/>
  <c r="AL598" i="1"/>
  <c r="J604" i="1"/>
  <c r="AB604" i="1" s="1"/>
  <c r="M604" i="1"/>
  <c r="AL604" i="1" s="1"/>
  <c r="K604" i="1"/>
  <c r="AJ604" i="1" s="1"/>
  <c r="AE604" i="1"/>
  <c r="AK604" i="1"/>
  <c r="I604" i="1"/>
  <c r="AG436" i="1"/>
  <c r="AB436" i="1"/>
  <c r="AJ514" i="1"/>
  <c r="AI285" i="1"/>
  <c r="K300" i="1"/>
  <c r="AC300" i="1" s="1"/>
  <c r="L300" i="1"/>
  <c r="AK300" i="1" s="1"/>
  <c r="AA300" i="1"/>
  <c r="M300" i="1"/>
  <c r="AD300" i="1" s="1"/>
  <c r="J300" i="1"/>
  <c r="AF360" i="1"/>
  <c r="AI395" i="1"/>
  <c r="AA395" i="1"/>
  <c r="AH395" i="1"/>
  <c r="M395" i="1"/>
  <c r="AD395" i="1" s="1"/>
  <c r="L395" i="1"/>
  <c r="AB395" i="1"/>
  <c r="AF398" i="1"/>
  <c r="AB414" i="1"/>
  <c r="AF414" i="1" s="1"/>
  <c r="AI414" i="1"/>
  <c r="AJ436" i="1"/>
  <c r="AC436" i="1"/>
  <c r="O456" i="1"/>
  <c r="L456" i="1"/>
  <c r="AE456" i="1" s="1"/>
  <c r="J456" i="1"/>
  <c r="AG456" i="1" s="1"/>
  <c r="AH456" i="1"/>
  <c r="P456" i="1"/>
  <c r="AD456" i="1"/>
  <c r="AC456" i="1"/>
  <c r="AL456" i="1"/>
  <c r="AJ456" i="1"/>
  <c r="AA456" i="1"/>
  <c r="AJ484" i="1"/>
  <c r="AL274" i="1"/>
  <c r="J282" i="1"/>
  <c r="AI282" i="1" s="1"/>
  <c r="K282" i="1"/>
  <c r="AC282" i="1" s="1"/>
  <c r="AC285" i="1"/>
  <c r="AJ285" i="1"/>
  <c r="AJ330" i="1"/>
  <c r="AB330" i="1"/>
  <c r="AI330" i="1"/>
  <c r="AA330" i="1"/>
  <c r="AK330" i="1"/>
  <c r="AC330" i="1"/>
  <c r="AL330" i="1"/>
  <c r="AH330" i="1"/>
  <c r="AC365" i="1"/>
  <c r="AJ365" i="1"/>
  <c r="AA388" i="1"/>
  <c r="AH388" i="1"/>
  <c r="M388" i="1"/>
  <c r="AD388" i="1" s="1"/>
  <c r="L388" i="1"/>
  <c r="AJ406" i="1"/>
  <c r="AC406" i="1"/>
  <c r="AK419" i="1"/>
  <c r="M419" i="1"/>
  <c r="AD419" i="1" s="1"/>
  <c r="AE419" i="1"/>
  <c r="AA454" i="1"/>
  <c r="AH454" i="1"/>
  <c r="M454" i="1"/>
  <c r="L454" i="1"/>
  <c r="AE454" i="1" s="1"/>
  <c r="M493" i="1"/>
  <c r="K493" i="1"/>
  <c r="J493" i="1"/>
  <c r="AI493" i="1" s="1"/>
  <c r="AE493" i="1"/>
  <c r="AK493" i="1"/>
  <c r="I493" i="1"/>
  <c r="AA493" i="1" s="1"/>
  <c r="S87" i="1"/>
  <c r="P95" i="1"/>
  <c r="AC158" i="1"/>
  <c r="AK158" i="1"/>
  <c r="AC159" i="1"/>
  <c r="AK159" i="1"/>
  <c r="AK160" i="1"/>
  <c r="AK161" i="1"/>
  <c r="AA164" i="1"/>
  <c r="AI164" i="1"/>
  <c r="AK178" i="1"/>
  <c r="AK179" i="1"/>
  <c r="AC192" i="1"/>
  <c r="AC196" i="1"/>
  <c r="AK196" i="1"/>
  <c r="AK201" i="1"/>
  <c r="V202" i="1"/>
  <c r="AK207" i="1"/>
  <c r="AG220" i="1"/>
  <c r="J229" i="1"/>
  <c r="AD229" i="1"/>
  <c r="AE230" i="1"/>
  <c r="AF230" i="1" s="1"/>
  <c r="AJ234" i="1"/>
  <c r="AC250" i="1"/>
  <c r="AH257" i="1"/>
  <c r="J257" i="1"/>
  <c r="AH260" i="1"/>
  <c r="AA266" i="1"/>
  <c r="AJ266" i="1"/>
  <c r="AH269" i="1"/>
  <c r="M269" i="1"/>
  <c r="AA269" i="1"/>
  <c r="J271" i="1"/>
  <c r="I274" i="1"/>
  <c r="AH274" i="1" s="1"/>
  <c r="I282" i="1"/>
  <c r="AH282" i="1" s="1"/>
  <c r="AE284" i="1"/>
  <c r="I284" i="1"/>
  <c r="AK284" i="1"/>
  <c r="AD308" i="1"/>
  <c r="AD311" i="1"/>
  <c r="AD330" i="1"/>
  <c r="K336" i="1"/>
  <c r="AJ336" i="1" s="1"/>
  <c r="J336" i="1"/>
  <c r="AB336" i="1" s="1"/>
  <c r="AE336" i="1"/>
  <c r="I336" i="1"/>
  <c r="AH336" i="1" s="1"/>
  <c r="M336" i="1"/>
  <c r="J351" i="1"/>
  <c r="AI351" i="1" s="1"/>
  <c r="I351" i="1"/>
  <c r="AJ351" i="1"/>
  <c r="AB351" i="1"/>
  <c r="AL351" i="1"/>
  <c r="AK351" i="1"/>
  <c r="J388" i="1"/>
  <c r="AB388" i="1" s="1"/>
  <c r="M390" i="1"/>
  <c r="K390" i="1"/>
  <c r="AJ390" i="1" s="1"/>
  <c r="AE390" i="1"/>
  <c r="J390" i="1"/>
  <c r="AB390" i="1" s="1"/>
  <c r="K395" i="1"/>
  <c r="AL406" i="1"/>
  <c r="AD406" i="1"/>
  <c r="I419" i="1"/>
  <c r="AH419" i="1" s="1"/>
  <c r="J454" i="1"/>
  <c r="K494" i="1"/>
  <c r="AC494" i="1" s="1"/>
  <c r="J494" i="1"/>
  <c r="AI494" i="1" s="1"/>
  <c r="I494" i="1"/>
  <c r="AH494" i="1" s="1"/>
  <c r="AE494" i="1"/>
  <c r="AD494" i="1"/>
  <c r="Y87" i="1"/>
  <c r="S95" i="1"/>
  <c r="Y156" i="1"/>
  <c r="AH156" i="1"/>
  <c r="AD158" i="1"/>
  <c r="AL158" i="1"/>
  <c r="AD159" i="1"/>
  <c r="AL159" i="1"/>
  <c r="AD160" i="1"/>
  <c r="AL160" i="1"/>
  <c r="AD161" i="1"/>
  <c r="AL161" i="1"/>
  <c r="AB164" i="1"/>
  <c r="AJ164" i="1"/>
  <c r="I172" i="1"/>
  <c r="AK172" i="1"/>
  <c r="AK177" i="1"/>
  <c r="AD178" i="1"/>
  <c r="AL178" i="1"/>
  <c r="AD179" i="1"/>
  <c r="AL179" i="1"/>
  <c r="I192" i="1"/>
  <c r="AD196" i="1"/>
  <c r="AB197" i="1"/>
  <c r="I201" i="1"/>
  <c r="X202" i="1"/>
  <c r="AD206" i="1"/>
  <c r="AL206" i="1"/>
  <c r="AD207" i="1"/>
  <c r="AL207" i="1"/>
  <c r="AH220" i="1"/>
  <c r="AG230" i="1"/>
  <c r="AB234" i="1"/>
  <c r="AK234" i="1"/>
  <c r="AJ250" i="1"/>
  <c r="AE251" i="1"/>
  <c r="AI260" i="1"/>
  <c r="AK262" i="1"/>
  <c r="AC262" i="1"/>
  <c r="AA268" i="1"/>
  <c r="AE268" i="1"/>
  <c r="J269" i="1"/>
  <c r="AI269" i="1" s="1"/>
  <c r="K271" i="1"/>
  <c r="AJ271" i="1" s="1"/>
  <c r="AH271" i="1"/>
  <c r="J274" i="1"/>
  <c r="AI274" i="1" s="1"/>
  <c r="AK282" i="1"/>
  <c r="AD283" i="1"/>
  <c r="J284" i="1"/>
  <c r="AI284" i="1" s="1"/>
  <c r="AA319" i="1"/>
  <c r="W318" i="1"/>
  <c r="M319" i="1"/>
  <c r="AD319" i="1" s="1"/>
  <c r="L319" i="1"/>
  <c r="AE319" i="1" s="1"/>
  <c r="AH319" i="1"/>
  <c r="K319" i="1"/>
  <c r="AE330" i="1"/>
  <c r="AF332" i="1"/>
  <c r="AA336" i="1"/>
  <c r="AC351" i="1"/>
  <c r="K371" i="1"/>
  <c r="AC371" i="1" s="1"/>
  <c r="AK371" i="1"/>
  <c r="AE371" i="1"/>
  <c r="AD371" i="1"/>
  <c r="J371" i="1"/>
  <c r="AB371" i="1" s="1"/>
  <c r="I371" i="1"/>
  <c r="AH371" i="1" s="1"/>
  <c r="K388" i="1"/>
  <c r="AC388" i="1" s="1"/>
  <c r="I390" i="1"/>
  <c r="AH390" i="1" s="1"/>
  <c r="J419" i="1"/>
  <c r="AB419" i="1" s="1"/>
  <c r="K454" i="1"/>
  <c r="I87" i="1"/>
  <c r="AA87" i="1" s="1"/>
  <c r="Y95" i="1"/>
  <c r="AA156" i="1"/>
  <c r="AI156" i="1"/>
  <c r="AE160" i="1"/>
  <c r="AE161" i="1"/>
  <c r="J172" i="1"/>
  <c r="AI172" i="1" s="1"/>
  <c r="AD177" i="1"/>
  <c r="AL177" i="1"/>
  <c r="AE179" i="1"/>
  <c r="AH180" i="1"/>
  <c r="J192" i="1"/>
  <c r="Y202" i="1"/>
  <c r="AH202" i="1"/>
  <c r="AE207" i="1"/>
  <c r="AI220" i="1"/>
  <c r="K229" i="1"/>
  <c r="AC234" i="1"/>
  <c r="AL234" i="1"/>
  <c r="I250" i="1"/>
  <c r="AE250" i="1"/>
  <c r="I251" i="1"/>
  <c r="AA251" i="1" s="1"/>
  <c r="AA257" i="1"/>
  <c r="AJ257" i="1"/>
  <c r="I259" i="1"/>
  <c r="I262" i="1"/>
  <c r="J264" i="1"/>
  <c r="AB267" i="1"/>
  <c r="AE267" i="1"/>
  <c r="J268" i="1"/>
  <c r="K269" i="1"/>
  <c r="L271" i="1"/>
  <c r="AE271" i="1" s="1"/>
  <c r="K274" i="1"/>
  <c r="AL282" i="1"/>
  <c r="K284" i="1"/>
  <c r="AC284" i="1" s="1"/>
  <c r="AF303" i="1"/>
  <c r="AC318" i="1"/>
  <c r="Q318" i="1"/>
  <c r="AL318" i="1"/>
  <c r="AD318" i="1"/>
  <c r="R318" i="1"/>
  <c r="AH318" i="1"/>
  <c r="U318" i="1"/>
  <c r="S318" i="1"/>
  <c r="L318" i="1"/>
  <c r="AL325" i="1"/>
  <c r="AD325" i="1"/>
  <c r="AK325" i="1"/>
  <c r="AC325" i="1"/>
  <c r="AE325" i="1"/>
  <c r="AH325" i="1"/>
  <c r="AB325" i="1"/>
  <c r="AD351" i="1"/>
  <c r="M363" i="1"/>
  <c r="L363" i="1"/>
  <c r="K363" i="1"/>
  <c r="J363" i="1"/>
  <c r="AI363" i="1" s="1"/>
  <c r="M379" i="1"/>
  <c r="K379" i="1"/>
  <c r="J379" i="1"/>
  <c r="I379" i="1"/>
  <c r="AI384" i="1"/>
  <c r="M384" i="1"/>
  <c r="L384" i="1"/>
  <c r="AB384" i="1"/>
  <c r="K384" i="1"/>
  <c r="K411" i="1"/>
  <c r="AC411" i="1" s="1"/>
  <c r="M411" i="1"/>
  <c r="L411" i="1"/>
  <c r="AK411" i="1" s="1"/>
  <c r="J411" i="1"/>
  <c r="AB411" i="1" s="1"/>
  <c r="I411" i="1"/>
  <c r="K419" i="1"/>
  <c r="AJ419" i="1" s="1"/>
  <c r="AE444" i="1"/>
  <c r="AK444" i="1"/>
  <c r="AB445" i="1"/>
  <c r="AF445" i="1" s="1"/>
  <c r="AG445" i="1"/>
  <c r="AK494" i="1"/>
  <c r="AK575" i="1"/>
  <c r="AJ575" i="1"/>
  <c r="J575" i="1"/>
  <c r="I575" i="1"/>
  <c r="AE575" i="1"/>
  <c r="AL575" i="1"/>
  <c r="J87" i="1"/>
  <c r="AB87" i="1" s="1"/>
  <c r="I95" i="1"/>
  <c r="AG95" i="1" s="1"/>
  <c r="AD164" i="1"/>
  <c r="K172" i="1"/>
  <c r="AJ172" i="1" s="1"/>
  <c r="AA180" i="1"/>
  <c r="AD184" i="1"/>
  <c r="I197" i="1"/>
  <c r="AA197" i="1" s="1"/>
  <c r="AD197" i="1"/>
  <c r="J202" i="1"/>
  <c r="AA202" i="1"/>
  <c r="L229" i="1"/>
  <c r="AD234" i="1"/>
  <c r="J250" i="1"/>
  <c r="AI250" i="1" s="1"/>
  <c r="J251" i="1"/>
  <c r="AB251" i="1" s="1"/>
  <c r="AK257" i="1"/>
  <c r="J259" i="1"/>
  <c r="AB259" i="1" s="1"/>
  <c r="AK266" i="1"/>
  <c r="AC266" i="1"/>
  <c r="AE266" i="1"/>
  <c r="K268" i="1"/>
  <c r="L269" i="1"/>
  <c r="AE269" i="1" s="1"/>
  <c r="M271" i="1"/>
  <c r="L274" i="1"/>
  <c r="AK274" i="1" s="1"/>
  <c r="J283" i="1"/>
  <c r="AJ283" i="1"/>
  <c r="AA283" i="1"/>
  <c r="M284" i="1"/>
  <c r="AF296" i="1"/>
  <c r="I298" i="1"/>
  <c r="AA298" i="1" s="1"/>
  <c r="J298" i="1"/>
  <c r="AI298" i="1" s="1"/>
  <c r="AB298" i="1"/>
  <c r="AK298" i="1"/>
  <c r="M298" i="1"/>
  <c r="AD298" i="1" s="1"/>
  <c r="AH300" i="1"/>
  <c r="AJ307" i="1"/>
  <c r="AB307" i="1"/>
  <c r="AK307" i="1"/>
  <c r="AC307" i="1"/>
  <c r="AE307" i="1"/>
  <c r="AA307" i="1"/>
  <c r="M307" i="1"/>
  <c r="AK312" i="1"/>
  <c r="AE312" i="1"/>
  <c r="AD312" i="1"/>
  <c r="AA312" i="1"/>
  <c r="AL312" i="1"/>
  <c r="K312" i="1"/>
  <c r="AC312" i="1" s="1"/>
  <c r="AF316" i="1"/>
  <c r="J318" i="1"/>
  <c r="AI318" i="1" s="1"/>
  <c r="J319" i="1"/>
  <c r="AB319" i="1" s="1"/>
  <c r="AA325" i="1"/>
  <c r="AK336" i="1"/>
  <c r="AE351" i="1"/>
  <c r="AK359" i="1"/>
  <c r="AC359" i="1"/>
  <c r="AJ359" i="1"/>
  <c r="AL359" i="1"/>
  <c r="AD359" i="1"/>
  <c r="AE359" i="1"/>
  <c r="J359" i="1"/>
  <c r="AB359" i="1" s="1"/>
  <c r="I359" i="1"/>
  <c r="AA359" i="1" s="1"/>
  <c r="I363" i="1"/>
  <c r="AA366" i="1"/>
  <c r="AH366" i="1"/>
  <c r="AG366" i="1"/>
  <c r="AF376" i="1"/>
  <c r="AE379" i="1"/>
  <c r="AF382" i="1"/>
  <c r="I384" i="1"/>
  <c r="AK387" i="1"/>
  <c r="AL387" i="1"/>
  <c r="AD387" i="1"/>
  <c r="AE387" i="1"/>
  <c r="K387" i="1"/>
  <c r="AC387" i="1" s="1"/>
  <c r="AK390" i="1"/>
  <c r="AF396" i="1"/>
  <c r="AL397" i="1"/>
  <c r="AD397" i="1"/>
  <c r="L404" i="1"/>
  <c r="AK404" i="1" s="1"/>
  <c r="K404" i="1"/>
  <c r="AJ404" i="1" s="1"/>
  <c r="J404" i="1"/>
  <c r="AH404" i="1"/>
  <c r="M404" i="1"/>
  <c r="AL404" i="1" s="1"/>
  <c r="AG414" i="1"/>
  <c r="AL494" i="1"/>
  <c r="AF525" i="1"/>
  <c r="L570" i="1"/>
  <c r="AE570" i="1" s="1"/>
  <c r="M570" i="1"/>
  <c r="AL570" i="1" s="1"/>
  <c r="AH570" i="1"/>
  <c r="K570" i="1"/>
  <c r="AC570" i="1" s="1"/>
  <c r="J570" i="1"/>
  <c r="AA570" i="1"/>
  <c r="AC575" i="1"/>
  <c r="K601" i="1"/>
  <c r="AJ601" i="1" s="1"/>
  <c r="M601" i="1"/>
  <c r="AD601" i="1" s="1"/>
  <c r="J601" i="1"/>
  <c r="AB601" i="1" s="1"/>
  <c r="I601" i="1"/>
  <c r="AE601" i="1"/>
  <c r="AC843" i="1"/>
  <c r="AJ843" i="1"/>
  <c r="AL624" i="1"/>
  <c r="L624" i="1"/>
  <c r="K624" i="1"/>
  <c r="AJ624" i="1" s="1"/>
  <c r="J624" i="1"/>
  <c r="K674" i="1"/>
  <c r="AJ674" i="1" s="1"/>
  <c r="J674" i="1"/>
  <c r="AB674" i="1" s="1"/>
  <c r="AA674" i="1"/>
  <c r="M674" i="1"/>
  <c r="AL674" i="1" s="1"/>
  <c r="L674" i="1"/>
  <c r="AK674" i="1" s="1"/>
  <c r="AH674" i="1"/>
  <c r="M609" i="1"/>
  <c r="AD609" i="1" s="1"/>
  <c r="K609" i="1"/>
  <c r="AC609" i="1" s="1"/>
  <c r="J609" i="1"/>
  <c r="AB609" i="1" s="1"/>
  <c r="I609" i="1"/>
  <c r="AD611" i="1"/>
  <c r="AL611" i="1"/>
  <c r="I624" i="1"/>
  <c r="AC286" i="1"/>
  <c r="AL287" i="1"/>
  <c r="AD287" i="1"/>
  <c r="AC293" i="1"/>
  <c r="AL293" i="1"/>
  <c r="AF302" i="1"/>
  <c r="AJ358" i="1"/>
  <c r="J358" i="1"/>
  <c r="AB358" i="1" s="1"/>
  <c r="AK358" i="1"/>
  <c r="AC358" i="1"/>
  <c r="AL381" i="1"/>
  <c r="AD381" i="1"/>
  <c r="AD408" i="1"/>
  <c r="M410" i="1"/>
  <c r="AL410" i="1" s="1"/>
  <c r="K410" i="1"/>
  <c r="AJ410" i="1" s="1"/>
  <c r="J410" i="1"/>
  <c r="AB410" i="1" s="1"/>
  <c r="AK410" i="1"/>
  <c r="I415" i="1"/>
  <c r="AA415" i="1" s="1"/>
  <c r="AE415" i="1"/>
  <c r="AD415" i="1"/>
  <c r="AL415" i="1"/>
  <c r="AC415" i="1"/>
  <c r="K495" i="1"/>
  <c r="AC495" i="1" s="1"/>
  <c r="J495" i="1"/>
  <c r="I495" i="1"/>
  <c r="AH495" i="1" s="1"/>
  <c r="AA495" i="1"/>
  <c r="AE495" i="1"/>
  <c r="AD495" i="1"/>
  <c r="K573" i="1"/>
  <c r="AC573" i="1" s="1"/>
  <c r="J573" i="1"/>
  <c r="I573" i="1"/>
  <c r="L609" i="1"/>
  <c r="AE609" i="1" s="1"/>
  <c r="AC621" i="1"/>
  <c r="AJ621" i="1"/>
  <c r="AA624" i="1"/>
  <c r="AC253" i="1"/>
  <c r="AI276" i="1"/>
  <c r="I287" i="1"/>
  <c r="AD293" i="1"/>
  <c r="K294" i="1"/>
  <c r="L294" i="1"/>
  <c r="AH294" i="1"/>
  <c r="AI308" i="1"/>
  <c r="AA308" i="1"/>
  <c r="AJ308" i="1"/>
  <c r="AB308" i="1"/>
  <c r="J311" i="1"/>
  <c r="AB311" i="1" s="1"/>
  <c r="AH315" i="1"/>
  <c r="M315" i="1"/>
  <c r="AA315" i="1"/>
  <c r="AC320" i="1"/>
  <c r="AI321" i="1"/>
  <c r="AA321" i="1"/>
  <c r="AJ321" i="1"/>
  <c r="AB321" i="1"/>
  <c r="AK321" i="1"/>
  <c r="AF329" i="1"/>
  <c r="AF356" i="1"/>
  <c r="I358" i="1"/>
  <c r="AF367" i="1"/>
  <c r="AK397" i="1"/>
  <c r="I410" i="1"/>
  <c r="J415" i="1"/>
  <c r="AL440" i="1"/>
  <c r="AD440" i="1"/>
  <c r="AC440" i="1"/>
  <c r="AJ440" i="1"/>
  <c r="AA440" i="1"/>
  <c r="L440" i="1"/>
  <c r="AK440" i="1" s="1"/>
  <c r="J440" i="1"/>
  <c r="AB440" i="1" s="1"/>
  <c r="AG453" i="1"/>
  <c r="AF480" i="1"/>
  <c r="AJ485" i="1"/>
  <c r="L573" i="1"/>
  <c r="AK573" i="1" s="1"/>
  <c r="AD624" i="1"/>
  <c r="AF631" i="1"/>
  <c r="AL286" i="1"/>
  <c r="AD286" i="1"/>
  <c r="K287" i="1"/>
  <c r="AI294" i="1"/>
  <c r="AL305" i="1"/>
  <c r="AD305" i="1"/>
  <c r="I305" i="1"/>
  <c r="AE305" i="1"/>
  <c r="J305" i="1"/>
  <c r="K311" i="1"/>
  <c r="AC311" i="1" s="1"/>
  <c r="AH311" i="1"/>
  <c r="AF313" i="1"/>
  <c r="L327" i="1"/>
  <c r="AG327" i="1" s="1"/>
  <c r="K327" i="1"/>
  <c r="AC327" i="1" s="1"/>
  <c r="AH327" i="1"/>
  <c r="M327" i="1"/>
  <c r="AA338" i="1"/>
  <c r="AE349" i="1"/>
  <c r="AL349" i="1"/>
  <c r="AD349" i="1"/>
  <c r="AK349" i="1"/>
  <c r="AC349" i="1"/>
  <c r="AD358" i="1"/>
  <c r="AH455" i="1"/>
  <c r="M455" i="1"/>
  <c r="AL455" i="1" s="1"/>
  <c r="L455" i="1"/>
  <c r="AK455" i="1" s="1"/>
  <c r="K455" i="1"/>
  <c r="AC455" i="1" s="1"/>
  <c r="AA455" i="1"/>
  <c r="AK495" i="1"/>
  <c r="AE499" i="1"/>
  <c r="M573" i="1"/>
  <c r="AD573" i="1" s="1"/>
  <c r="J612" i="1"/>
  <c r="I612" i="1"/>
  <c r="M612" i="1"/>
  <c r="AL612" i="1" s="1"/>
  <c r="L612" i="1"/>
  <c r="AK612" i="1" s="1"/>
  <c r="K612" i="1"/>
  <c r="AK638" i="1"/>
  <c r="AL638" i="1"/>
  <c r="AD638" i="1"/>
  <c r="K638" i="1"/>
  <c r="AC638" i="1" s="1"/>
  <c r="J638" i="1"/>
  <c r="AI638" i="1" s="1"/>
  <c r="I638" i="1"/>
  <c r="AH638" i="1" s="1"/>
  <c r="AE638" i="1"/>
  <c r="S287" i="1"/>
  <c r="AI287" i="1"/>
  <c r="I293" i="1"/>
  <c r="K305" i="1"/>
  <c r="L311" i="1"/>
  <c r="L320" i="1"/>
  <c r="AH320" i="1"/>
  <c r="M320" i="1"/>
  <c r="AI322" i="1"/>
  <c r="AJ322" i="1"/>
  <c r="AB322" i="1"/>
  <c r="AK331" i="1"/>
  <c r="AC331" i="1"/>
  <c r="AJ331" i="1"/>
  <c r="AB331" i="1"/>
  <c r="AL331" i="1"/>
  <c r="AD331" i="1"/>
  <c r="AI331" i="1"/>
  <c r="AL334" i="1"/>
  <c r="AD334" i="1"/>
  <c r="AK334" i="1"/>
  <c r="AC334" i="1"/>
  <c r="AJ334" i="1"/>
  <c r="AE334" i="1"/>
  <c r="AF345" i="1"/>
  <c r="AA349" i="1"/>
  <c r="AF350" i="1"/>
  <c r="AF352" i="1"/>
  <c r="AE358" i="1"/>
  <c r="AK381" i="1"/>
  <c r="AF400" i="1"/>
  <c r="AF424" i="1"/>
  <c r="J455" i="1"/>
  <c r="AF476" i="1"/>
  <c r="AL495" i="1"/>
  <c r="AI529" i="1"/>
  <c r="AA529" i="1"/>
  <c r="AD529" i="1"/>
  <c r="AL529" i="1"/>
  <c r="AK529" i="1"/>
  <c r="AB529" i="1"/>
  <c r="AE529" i="1"/>
  <c r="AH529" i="1"/>
  <c r="AJ529" i="1"/>
  <c r="K567" i="1"/>
  <c r="J567" i="1"/>
  <c r="AB567" i="1" s="1"/>
  <c r="I567" i="1"/>
  <c r="AA567" i="1" s="1"/>
  <c r="AC704" i="1"/>
  <c r="AJ704" i="1"/>
  <c r="AC306" i="1"/>
  <c r="AK306" i="1"/>
  <c r="K337" i="1"/>
  <c r="K338" i="1"/>
  <c r="AC348" i="1"/>
  <c r="AK348" i="1"/>
  <c r="AE365" i="1"/>
  <c r="AC366" i="1"/>
  <c r="AK366" i="1"/>
  <c r="J377" i="1"/>
  <c r="L401" i="1"/>
  <c r="K402" i="1"/>
  <c r="J408" i="1"/>
  <c r="M409" i="1"/>
  <c r="AC414" i="1"/>
  <c r="AC418" i="1"/>
  <c r="AL418" i="1"/>
  <c r="L425" i="1"/>
  <c r="AF434" i="1"/>
  <c r="L442" i="1"/>
  <c r="AK442" i="1" s="1"/>
  <c r="K442" i="1"/>
  <c r="AC442" i="1" s="1"/>
  <c r="J442" i="1"/>
  <c r="AF447" i="1"/>
  <c r="AJ453" i="1"/>
  <c r="AB453" i="1"/>
  <c r="AI453" i="1"/>
  <c r="AA453" i="1"/>
  <c r="AH453" i="1"/>
  <c r="M453" i="1"/>
  <c r="AK453" i="1"/>
  <c r="AC453" i="1"/>
  <c r="AF458" i="1"/>
  <c r="AF463" i="1"/>
  <c r="L467" i="1"/>
  <c r="AF482" i="1"/>
  <c r="AF542" i="1"/>
  <c r="AF557" i="1"/>
  <c r="AB559" i="1"/>
  <c r="AF559" i="1" s="1"/>
  <c r="AI559" i="1"/>
  <c r="J589" i="1"/>
  <c r="AB589" i="1" s="1"/>
  <c r="AC589" i="1"/>
  <c r="AH589" i="1"/>
  <c r="L589" i="1"/>
  <c r="AE589" i="1" s="1"/>
  <c r="AA589" i="1"/>
  <c r="M589" i="1"/>
  <c r="AL589" i="1" s="1"/>
  <c r="AK607" i="1"/>
  <c r="AE607" i="1"/>
  <c r="AD607" i="1"/>
  <c r="AL607" i="1"/>
  <c r="AH607" i="1"/>
  <c r="J607" i="1"/>
  <c r="AA607" i="1"/>
  <c r="AG669" i="1"/>
  <c r="AH669" i="1"/>
  <c r="AD337" i="1"/>
  <c r="AL337" i="1"/>
  <c r="AH348" i="1"/>
  <c r="K405" i="1"/>
  <c r="AC405" i="1" s="1"/>
  <c r="AA409" i="1"/>
  <c r="AF441" i="1"/>
  <c r="AJ446" i="1"/>
  <c r="M446" i="1"/>
  <c r="AL451" i="1"/>
  <c r="AF487" i="1"/>
  <c r="AI539" i="1"/>
  <c r="M569" i="1"/>
  <c r="L569" i="1"/>
  <c r="AK569" i="1" s="1"/>
  <c r="K569" i="1"/>
  <c r="L588" i="1"/>
  <c r="AL588" i="1"/>
  <c r="AC588" i="1"/>
  <c r="AJ588" i="1"/>
  <c r="AA588" i="1"/>
  <c r="J588" i="1"/>
  <c r="AD588" i="1"/>
  <c r="Y588" i="1"/>
  <c r="P588" i="1"/>
  <c r="AK606" i="1"/>
  <c r="M606" i="1"/>
  <c r="I606" i="1"/>
  <c r="AH606" i="1" s="1"/>
  <c r="AE606" i="1"/>
  <c r="K606" i="1"/>
  <c r="AC606" i="1" s="1"/>
  <c r="J617" i="1"/>
  <c r="AB617" i="1" s="1"/>
  <c r="AE617" i="1"/>
  <c r="I617" i="1"/>
  <c r="AK617" i="1"/>
  <c r="M617" i="1"/>
  <c r="K617" i="1"/>
  <c r="AJ617" i="1" s="1"/>
  <c r="AL625" i="1"/>
  <c r="AB720" i="1"/>
  <c r="AF720" i="1" s="1"/>
  <c r="AI720" i="1"/>
  <c r="AA721" i="1"/>
  <c r="AH721" i="1"/>
  <c r="M721" i="1"/>
  <c r="AD721" i="1" s="1"/>
  <c r="L721" i="1"/>
  <c r="K721" i="1"/>
  <c r="AJ721" i="1" s="1"/>
  <c r="J721" i="1"/>
  <c r="AB721" i="1" s="1"/>
  <c r="I337" i="1"/>
  <c r="AE337" i="1"/>
  <c r="AA348" i="1"/>
  <c r="AI348" i="1"/>
  <c r="AE377" i="1"/>
  <c r="J401" i="1"/>
  <c r="AD402" i="1"/>
  <c r="AL402" i="1"/>
  <c r="I405" i="1"/>
  <c r="AE408" i="1"/>
  <c r="J409" i="1"/>
  <c r="AI409" i="1" s="1"/>
  <c r="AJ418" i="1"/>
  <c r="AB418" i="1"/>
  <c r="AI418" i="1"/>
  <c r="J425" i="1"/>
  <c r="I425" i="1"/>
  <c r="AF438" i="1"/>
  <c r="AL444" i="1"/>
  <c r="I446" i="1"/>
  <c r="AJ467" i="1"/>
  <c r="AA467" i="1"/>
  <c r="AH467" i="1"/>
  <c r="O467" i="1"/>
  <c r="AC467" i="1"/>
  <c r="AK522" i="1"/>
  <c r="K522" i="1"/>
  <c r="J522" i="1"/>
  <c r="AB522" i="1" s="1"/>
  <c r="AL522" i="1"/>
  <c r="K538" i="1"/>
  <c r="AJ538" i="1" s="1"/>
  <c r="J538" i="1"/>
  <c r="AI538" i="1" s="1"/>
  <c r="I538" i="1"/>
  <c r="AK538" i="1"/>
  <c r="I569" i="1"/>
  <c r="AH569" i="1" s="1"/>
  <c r="M574" i="1"/>
  <c r="AD574" i="1" s="1"/>
  <c r="K574" i="1"/>
  <c r="J574" i="1"/>
  <c r="I574" i="1"/>
  <c r="AH588" i="1"/>
  <c r="J606" i="1"/>
  <c r="AB606" i="1" s="1"/>
  <c r="M630" i="1"/>
  <c r="AD630" i="1" s="1"/>
  <c r="K630" i="1"/>
  <c r="AE630" i="1"/>
  <c r="J630" i="1"/>
  <c r="AB630" i="1" s="1"/>
  <c r="AK630" i="1"/>
  <c r="AJ644" i="1"/>
  <c r="AA644" i="1"/>
  <c r="AH644" i="1"/>
  <c r="L644" i="1"/>
  <c r="AE644" i="1" s="1"/>
  <c r="AC644" i="1"/>
  <c r="AL644" i="1"/>
  <c r="AD644" i="1"/>
  <c r="J644" i="1"/>
  <c r="K679" i="1"/>
  <c r="AJ679" i="1" s="1"/>
  <c r="J679" i="1"/>
  <c r="AI679" i="1" s="1"/>
  <c r="I679" i="1"/>
  <c r="AL679" i="1"/>
  <c r="L679" i="1"/>
  <c r="AE679" i="1" s="1"/>
  <c r="AD679" i="1"/>
  <c r="AD285" i="1"/>
  <c r="AB306" i="1"/>
  <c r="AB348" i="1"/>
  <c r="AD365" i="1"/>
  <c r="AB366" i="1"/>
  <c r="AC381" i="1"/>
  <c r="AC386" i="1"/>
  <c r="AC397" i="1"/>
  <c r="J402" i="1"/>
  <c r="J405" i="1"/>
  <c r="AB405" i="1" s="1"/>
  <c r="AE407" i="1"/>
  <c r="I408" i="1"/>
  <c r="K409" i="1"/>
  <c r="AC409" i="1" s="1"/>
  <c r="AH409" i="1"/>
  <c r="AA418" i="1"/>
  <c r="AK418" i="1"/>
  <c r="K425" i="1"/>
  <c r="AJ433" i="1"/>
  <c r="AB433" i="1"/>
  <c r="AI433" i="1"/>
  <c r="AA433" i="1"/>
  <c r="AH433" i="1"/>
  <c r="L433" i="1"/>
  <c r="AL433" i="1"/>
  <c r="AJ435" i="1"/>
  <c r="J446" i="1"/>
  <c r="AI446" i="1" s="1"/>
  <c r="AF449" i="1"/>
  <c r="AK452" i="1"/>
  <c r="AF460" i="1"/>
  <c r="AF465" i="1"/>
  <c r="J467" i="1"/>
  <c r="AI467" i="1" s="1"/>
  <c r="AF497" i="1"/>
  <c r="AF500" i="1"/>
  <c r="I522" i="1"/>
  <c r="AA522" i="1" s="1"/>
  <c r="AF544" i="1"/>
  <c r="AL560" i="1"/>
  <c r="AD560" i="1"/>
  <c r="AK560" i="1"/>
  <c r="AC560" i="1"/>
  <c r="AJ560" i="1"/>
  <c r="AE560" i="1"/>
  <c r="J560" i="1"/>
  <c r="AB560" i="1" s="1"/>
  <c r="K564" i="1"/>
  <c r="AJ564" i="1" s="1"/>
  <c r="AE564" i="1"/>
  <c r="J564" i="1"/>
  <c r="AI564" i="1" s="1"/>
  <c r="AL564" i="1"/>
  <c r="AD564" i="1"/>
  <c r="I564" i="1"/>
  <c r="AH564" i="1" s="1"/>
  <c r="J569" i="1"/>
  <c r="AI569" i="1" s="1"/>
  <c r="AF571" i="1"/>
  <c r="L574" i="1"/>
  <c r="AE574" i="1" s="1"/>
  <c r="K596" i="1"/>
  <c r="AC596" i="1" s="1"/>
  <c r="M596" i="1"/>
  <c r="J596" i="1"/>
  <c r="AI596" i="1" s="1"/>
  <c r="I596" i="1"/>
  <c r="AH596" i="1" s="1"/>
  <c r="AE596" i="1"/>
  <c r="AC599" i="1"/>
  <c r="AJ600" i="1"/>
  <c r="I630" i="1"/>
  <c r="AA630" i="1" s="1"/>
  <c r="AD499" i="1"/>
  <c r="AF506" i="1"/>
  <c r="AF546" i="1"/>
  <c r="AA572" i="1"/>
  <c r="AF584" i="1"/>
  <c r="AB594" i="1"/>
  <c r="AI594" i="1"/>
  <c r="AF595" i="1"/>
  <c r="AB678" i="1"/>
  <c r="AF678" i="1" s="1"/>
  <c r="AJ702" i="1"/>
  <c r="AL742" i="1"/>
  <c r="AD742" i="1"/>
  <c r="AK742" i="1"/>
  <c r="AC742" i="1"/>
  <c r="AE742" i="1"/>
  <c r="J742" i="1"/>
  <c r="AI742" i="1" s="1"/>
  <c r="I742" i="1"/>
  <c r="AH742" i="1" s="1"/>
  <c r="AC745" i="1"/>
  <c r="AJ745" i="1"/>
  <c r="AD443" i="1"/>
  <c r="AL443" i="1"/>
  <c r="AA452" i="1"/>
  <c r="AI452" i="1"/>
  <c r="AD461" i="1"/>
  <c r="AL461" i="1"/>
  <c r="AJ499" i="1"/>
  <c r="AK554" i="1"/>
  <c r="AC554" i="1"/>
  <c r="AJ554" i="1"/>
  <c r="AL554" i="1"/>
  <c r="AI561" i="1"/>
  <c r="AH563" i="1"/>
  <c r="S563" i="1"/>
  <c r="M563" i="1"/>
  <c r="L563" i="1"/>
  <c r="AH572" i="1"/>
  <c r="AF583" i="1"/>
  <c r="AG594" i="1"/>
  <c r="AC649" i="1"/>
  <c r="AJ649" i="1"/>
  <c r="AF661" i="1"/>
  <c r="K696" i="1"/>
  <c r="J696" i="1"/>
  <c r="AB696" i="1" s="1"/>
  <c r="I696" i="1"/>
  <c r="AA696" i="1" s="1"/>
  <c r="AL696" i="1"/>
  <c r="AD696" i="1"/>
  <c r="L696" i="1"/>
  <c r="AE696" i="1" s="1"/>
  <c r="AJ742" i="1"/>
  <c r="Y436" i="1"/>
  <c r="AH436" i="1"/>
  <c r="J443" i="1"/>
  <c r="AE443" i="1"/>
  <c r="AD444" i="1"/>
  <c r="AC445" i="1"/>
  <c r="AK445" i="1"/>
  <c r="AC451" i="1"/>
  <c r="AB452" i="1"/>
  <c r="AJ452" i="1"/>
  <c r="J461" i="1"/>
  <c r="AE461" i="1"/>
  <c r="AD484" i="1"/>
  <c r="AD485" i="1"/>
  <c r="AL485" i="1"/>
  <c r="AB499" i="1"/>
  <c r="AK499" i="1"/>
  <c r="AE502" i="1"/>
  <c r="I521" i="1"/>
  <c r="AA521" i="1" s="1"/>
  <c r="AI535" i="1"/>
  <c r="AF550" i="1"/>
  <c r="AF552" i="1"/>
  <c r="I554" i="1"/>
  <c r="AA554" i="1" s="1"/>
  <c r="AG559" i="1"/>
  <c r="J563" i="1"/>
  <c r="AI565" i="1"/>
  <c r="L592" i="1"/>
  <c r="AE592" i="1" s="1"/>
  <c r="AB592" i="1"/>
  <c r="AJ592" i="1"/>
  <c r="M592" i="1"/>
  <c r="I592" i="1"/>
  <c r="AA592" i="1" s="1"/>
  <c r="AE593" i="1"/>
  <c r="J593" i="1"/>
  <c r="AK593" i="1"/>
  <c r="AJ593" i="1"/>
  <c r="M593" i="1"/>
  <c r="I593" i="1"/>
  <c r="AG627" i="1"/>
  <c r="AF685" i="1"/>
  <c r="AC687" i="1"/>
  <c r="AJ687" i="1"/>
  <c r="AJ692" i="1"/>
  <c r="AB714" i="1"/>
  <c r="AI714" i="1"/>
  <c r="AA436" i="1"/>
  <c r="AD451" i="1"/>
  <c r="AC452" i="1"/>
  <c r="AC499" i="1"/>
  <c r="AL499" i="1"/>
  <c r="AF508" i="1"/>
  <c r="AA514" i="1"/>
  <c r="J521" i="1"/>
  <c r="AB521" i="1" s="1"/>
  <c r="AF548" i="1"/>
  <c r="J554" i="1"/>
  <c r="AB554" i="1" s="1"/>
  <c r="AH559" i="1"/>
  <c r="K563" i="1"/>
  <c r="AF566" i="1"/>
  <c r="L576" i="1"/>
  <c r="AE576" i="1" s="1"/>
  <c r="AB576" i="1"/>
  <c r="AJ576" i="1"/>
  <c r="M576" i="1"/>
  <c r="AD576" i="1" s="1"/>
  <c r="I576" i="1"/>
  <c r="AA576" i="1" s="1"/>
  <c r="AA591" i="1"/>
  <c r="AK591" i="1"/>
  <c r="K591" i="1"/>
  <c r="AC591" i="1" s="1"/>
  <c r="AH591" i="1"/>
  <c r="J591" i="1"/>
  <c r="AE591" i="1"/>
  <c r="AE625" i="1"/>
  <c r="AD625" i="1"/>
  <c r="AH625" i="1"/>
  <c r="J625" i="1"/>
  <c r="AI625" i="1" s="1"/>
  <c r="AL639" i="1"/>
  <c r="AD639" i="1"/>
  <c r="AK639" i="1"/>
  <c r="AE639" i="1"/>
  <c r="AA639" i="1"/>
  <c r="K639" i="1"/>
  <c r="AC639" i="1" s="1"/>
  <c r="J639" i="1"/>
  <c r="AB639" i="1" s="1"/>
  <c r="AH639" i="1"/>
  <c r="I605" i="1"/>
  <c r="AA605" i="1" s="1"/>
  <c r="AH610" i="1"/>
  <c r="L610" i="1"/>
  <c r="AE610" i="1" s="1"/>
  <c r="K610" i="1"/>
  <c r="M615" i="1"/>
  <c r="K615" i="1"/>
  <c r="AJ615" i="1" s="1"/>
  <c r="AC632" i="1"/>
  <c r="AJ632" i="1"/>
  <c r="AA648" i="1"/>
  <c r="AH648" i="1"/>
  <c r="M648" i="1"/>
  <c r="AL648" i="1" s="1"/>
  <c r="K648" i="1"/>
  <c r="AC648" i="1" s="1"/>
  <c r="AJ648" i="1"/>
  <c r="AF665" i="1"/>
  <c r="AF680" i="1"/>
  <c r="K684" i="1"/>
  <c r="AC684" i="1" s="1"/>
  <c r="J684" i="1"/>
  <c r="AB684" i="1" s="1"/>
  <c r="I684" i="1"/>
  <c r="L684" i="1"/>
  <c r="AE684" i="1" s="1"/>
  <c r="AF702" i="1"/>
  <c r="AF708" i="1"/>
  <c r="AE725" i="1"/>
  <c r="AH776" i="1"/>
  <c r="AA776" i="1"/>
  <c r="I799" i="1"/>
  <c r="AA799" i="1" s="1"/>
  <c r="M799" i="1"/>
  <c r="AL799" i="1" s="1"/>
  <c r="L799" i="1"/>
  <c r="AE799" i="1" s="1"/>
  <c r="K799" i="1"/>
  <c r="AC799" i="1" s="1"/>
  <c r="J799" i="1"/>
  <c r="AI799" i="1" s="1"/>
  <c r="AL725" i="1"/>
  <c r="AD725" i="1"/>
  <c r="AE762" i="1"/>
  <c r="AK762" i="1"/>
  <c r="AJ758" i="1"/>
  <c r="AC758" i="1"/>
  <c r="AI580" i="1"/>
  <c r="AF582" i="1"/>
  <c r="M600" i="1"/>
  <c r="AE600" i="1"/>
  <c r="L605" i="1"/>
  <c r="AA610" i="1"/>
  <c r="AK615" i="1"/>
  <c r="AL621" i="1"/>
  <c r="K626" i="1"/>
  <c r="AC626" i="1" s="1"/>
  <c r="AK626" i="1"/>
  <c r="L634" i="1"/>
  <c r="K634" i="1"/>
  <c r="AC634" i="1" s="1"/>
  <c r="AL634" i="1"/>
  <c r="AA646" i="1"/>
  <c r="AF652" i="1"/>
  <c r="K659" i="1"/>
  <c r="AC659" i="1" s="1"/>
  <c r="AK659" i="1"/>
  <c r="AL660" i="1"/>
  <c r="AD660" i="1"/>
  <c r="AK660" i="1"/>
  <c r="AC660" i="1"/>
  <c r="AJ660" i="1"/>
  <c r="AE660" i="1"/>
  <c r="AD684" i="1"/>
  <c r="AA803" i="1"/>
  <c r="O803" i="1"/>
  <c r="AL803" i="1"/>
  <c r="V803" i="1"/>
  <c r="AJ803" i="1"/>
  <c r="L803" i="1"/>
  <c r="AC803" i="1"/>
  <c r="AH803" i="1"/>
  <c r="AD803" i="1"/>
  <c r="AC565" i="1"/>
  <c r="AA580" i="1"/>
  <c r="AJ580" i="1"/>
  <c r="AK586" i="1"/>
  <c r="AC586" i="1"/>
  <c r="AE586" i="1"/>
  <c r="AE599" i="1"/>
  <c r="I600" i="1"/>
  <c r="M605" i="1"/>
  <c r="AL605" i="1" s="1"/>
  <c r="AI605" i="1"/>
  <c r="AK608" i="1"/>
  <c r="AL610" i="1"/>
  <c r="AG621" i="1"/>
  <c r="I626" i="1"/>
  <c r="AH626" i="1" s="1"/>
  <c r="AL626" i="1"/>
  <c r="I634" i="1"/>
  <c r="AA634" i="1" s="1"/>
  <c r="K635" i="1"/>
  <c r="J635" i="1"/>
  <c r="AI635" i="1" s="1"/>
  <c r="L636" i="1"/>
  <c r="AK636" i="1" s="1"/>
  <c r="K636" i="1"/>
  <c r="J636" i="1"/>
  <c r="M636" i="1"/>
  <c r="AD636" i="1" s="1"/>
  <c r="AI641" i="1"/>
  <c r="AA641" i="1"/>
  <c r="AH641" i="1"/>
  <c r="AJ641" i="1"/>
  <c r="AB641" i="1"/>
  <c r="AD648" i="1"/>
  <c r="AF650" i="1"/>
  <c r="I659" i="1"/>
  <c r="J660" i="1"/>
  <c r="AJ698" i="1"/>
  <c r="AH795" i="1"/>
  <c r="AG795" i="1"/>
  <c r="J803" i="1"/>
  <c r="I565" i="1"/>
  <c r="AL572" i="1"/>
  <c r="AD572" i="1"/>
  <c r="AB580" i="1"/>
  <c r="AL585" i="1"/>
  <c r="AD585" i="1"/>
  <c r="J585" i="1"/>
  <c r="AE585" i="1"/>
  <c r="I586" i="1"/>
  <c r="AJ598" i="1"/>
  <c r="AB598" i="1"/>
  <c r="AE598" i="1"/>
  <c r="I599" i="1"/>
  <c r="J600" i="1"/>
  <c r="AJ605" i="1"/>
  <c r="I608" i="1"/>
  <c r="K611" i="1"/>
  <c r="J611" i="1"/>
  <c r="K616" i="1"/>
  <c r="J616" i="1"/>
  <c r="J626" i="1"/>
  <c r="AB626" i="1" s="1"/>
  <c r="AB627" i="1"/>
  <c r="AI627" i="1"/>
  <c r="AA627" i="1"/>
  <c r="AH627" i="1"/>
  <c r="K627" i="1"/>
  <c r="AK627" i="1"/>
  <c r="AL632" i="1"/>
  <c r="J634" i="1"/>
  <c r="AB634" i="1" s="1"/>
  <c r="I635" i="1"/>
  <c r="AH635" i="1" s="1"/>
  <c r="I636" i="1"/>
  <c r="AH636" i="1" s="1"/>
  <c r="AG641" i="1"/>
  <c r="AK641" i="1"/>
  <c r="AF645" i="1"/>
  <c r="AE648" i="1"/>
  <c r="J659" i="1"/>
  <c r="AB659" i="1" s="1"/>
  <c r="AA660" i="1"/>
  <c r="AF672" i="1"/>
  <c r="AL684" i="1"/>
  <c r="AF698" i="1"/>
  <c r="AE755" i="1"/>
  <c r="AH796" i="1"/>
  <c r="M796" i="1"/>
  <c r="AL796" i="1" s="1"/>
  <c r="AA796" i="1"/>
  <c r="L796" i="1"/>
  <c r="AE796" i="1" s="1"/>
  <c r="K796" i="1"/>
  <c r="J796" i="1"/>
  <c r="AC633" i="1"/>
  <c r="AK633" i="1"/>
  <c r="AC640" i="1"/>
  <c r="AK640" i="1"/>
  <c r="AE654" i="1"/>
  <c r="AI669" i="1"/>
  <c r="AA669" i="1"/>
  <c r="AL683" i="1"/>
  <c r="AD683" i="1"/>
  <c r="AK683" i="1"/>
  <c r="K689" i="1"/>
  <c r="AC689" i="1" s="1"/>
  <c r="J689" i="1"/>
  <c r="AB689" i="1" s="1"/>
  <c r="AE689" i="1"/>
  <c r="I689" i="1"/>
  <c r="AI691" i="1"/>
  <c r="AF695" i="1"/>
  <c r="AJ708" i="1"/>
  <c r="K713" i="1"/>
  <c r="AC713" i="1" s="1"/>
  <c r="J713" i="1"/>
  <c r="AB713" i="1" s="1"/>
  <c r="I713" i="1"/>
  <c r="L713" i="1"/>
  <c r="AK713" i="1" s="1"/>
  <c r="AL713" i="1"/>
  <c r="AD715" i="1"/>
  <c r="AH720" i="1"/>
  <c r="AJ733" i="1"/>
  <c r="AB733" i="1"/>
  <c r="AI733" i="1"/>
  <c r="AA733" i="1"/>
  <c r="AH733" i="1"/>
  <c r="AK733" i="1"/>
  <c r="AC733" i="1"/>
  <c r="AF752" i="1"/>
  <c r="AF773" i="1"/>
  <c r="AH792" i="1"/>
  <c r="M792" i="1"/>
  <c r="J792" i="1"/>
  <c r="AI792" i="1" s="1"/>
  <c r="AA792" i="1"/>
  <c r="AJ792" i="1"/>
  <c r="L792" i="1"/>
  <c r="AC792" i="1"/>
  <c r="AL751" i="1"/>
  <c r="AD751" i="1"/>
  <c r="AL772" i="1"/>
  <c r="AD772" i="1"/>
  <c r="AC772" i="1"/>
  <c r="AJ772" i="1"/>
  <c r="AH772" i="1"/>
  <c r="M633" i="1"/>
  <c r="AH633" i="1"/>
  <c r="M640" i="1"/>
  <c r="AH640" i="1"/>
  <c r="AB654" i="1"/>
  <c r="AJ654" i="1"/>
  <c r="AD669" i="1"/>
  <c r="L670" i="1"/>
  <c r="AK670" i="1" s="1"/>
  <c r="AF688" i="1"/>
  <c r="AD689" i="1"/>
  <c r="AD733" i="1"/>
  <c r="AF749" i="1"/>
  <c r="AG762" i="1"/>
  <c r="AH769" i="1"/>
  <c r="M769" i="1"/>
  <c r="L769" i="1"/>
  <c r="K769" i="1"/>
  <c r="AC769" i="1" s="1"/>
  <c r="AI769" i="1"/>
  <c r="AA769" i="1"/>
  <c r="AB769" i="1"/>
  <c r="J772" i="1"/>
  <c r="AI772" i="1" s="1"/>
  <c r="AD620" i="1"/>
  <c r="AL620" i="1"/>
  <c r="AI633" i="1"/>
  <c r="AE646" i="1"/>
  <c r="AC654" i="1"/>
  <c r="AK654" i="1"/>
  <c r="AE669" i="1"/>
  <c r="I670" i="1"/>
  <c r="AH670" i="1" s="1"/>
  <c r="J673" i="1"/>
  <c r="AE683" i="1"/>
  <c r="AG691" i="1"/>
  <c r="AE733" i="1"/>
  <c r="AF744" i="1"/>
  <c r="L772" i="1"/>
  <c r="AE772" i="1" s="1"/>
  <c r="I620" i="1"/>
  <c r="AD621" i="1"/>
  <c r="AD632" i="1"/>
  <c r="AB633" i="1"/>
  <c r="AB640" i="1"/>
  <c r="AD654" i="1"/>
  <c r="J670" i="1"/>
  <c r="L673" i="1"/>
  <c r="AH673" i="1"/>
  <c r="AF705" i="1"/>
  <c r="K710" i="1"/>
  <c r="J710" i="1"/>
  <c r="AB710" i="1" s="1"/>
  <c r="I710" i="1"/>
  <c r="AH710" i="1" s="1"/>
  <c r="K711" i="1"/>
  <c r="J711" i="1"/>
  <c r="I711" i="1"/>
  <c r="AH711" i="1" s="1"/>
  <c r="L711" i="1"/>
  <c r="AK711" i="1" s="1"/>
  <c r="AL711" i="1"/>
  <c r="AF717" i="1"/>
  <c r="AG720" i="1"/>
  <c r="AK725" i="1"/>
  <c r="AI762" i="1"/>
  <c r="AG771" i="1"/>
  <c r="AA772" i="1"/>
  <c r="AF787" i="1"/>
  <c r="L825" i="1"/>
  <c r="AK825" i="1" s="1"/>
  <c r="M825" i="1"/>
  <c r="AL825" i="1" s="1"/>
  <c r="K825" i="1"/>
  <c r="J825" i="1"/>
  <c r="AI825" i="1" s="1"/>
  <c r="I825" i="1"/>
  <c r="AI830" i="1"/>
  <c r="AG830" i="1"/>
  <c r="AE716" i="1"/>
  <c r="AC719" i="1"/>
  <c r="AK719" i="1"/>
  <c r="AD726" i="1"/>
  <c r="AL726" i="1"/>
  <c r="AF757" i="1"/>
  <c r="AK771" i="1"/>
  <c r="AG775" i="1"/>
  <c r="AF789" i="1"/>
  <c r="AG804" i="1"/>
  <c r="K822" i="1"/>
  <c r="AC822" i="1" s="1"/>
  <c r="I822" i="1"/>
  <c r="AH822" i="1" s="1"/>
  <c r="M822" i="1"/>
  <c r="AI822" i="1"/>
  <c r="L822" i="1"/>
  <c r="AB822" i="1"/>
  <c r="AJ834" i="1"/>
  <c r="AA836" i="1"/>
  <c r="AF836" i="1" s="1"/>
  <c r="AG836" i="1"/>
  <c r="AD706" i="1"/>
  <c r="AL706" i="1"/>
  <c r="AD714" i="1"/>
  <c r="AL714" i="1"/>
  <c r="AB716" i="1"/>
  <c r="AJ716" i="1"/>
  <c r="M719" i="1"/>
  <c r="AA726" i="1"/>
  <c r="AF737" i="1"/>
  <c r="AC738" i="1"/>
  <c r="AF745" i="1"/>
  <c r="AE765" i="1"/>
  <c r="AG823" i="1"/>
  <c r="AJ829" i="1"/>
  <c r="AB829" i="1"/>
  <c r="AH829" i="1"/>
  <c r="AI829" i="1"/>
  <c r="AK829" i="1"/>
  <c r="AE829" i="1"/>
  <c r="AG842" i="1"/>
  <c r="AA842" i="1"/>
  <c r="AF842" i="1" s="1"/>
  <c r="AD677" i="1"/>
  <c r="AL677" i="1"/>
  <c r="AK678" i="1"/>
  <c r="AD681" i="1"/>
  <c r="I690" i="1"/>
  <c r="AD690" i="1"/>
  <c r="AL690" i="1"/>
  <c r="AC691" i="1"/>
  <c r="AB701" i="1"/>
  <c r="AJ701" i="1"/>
  <c r="I706" i="1"/>
  <c r="I712" i="1"/>
  <c r="I714" i="1"/>
  <c r="AC716" i="1"/>
  <c r="AK716" i="1"/>
  <c r="AC725" i="1"/>
  <c r="AJ726" i="1"/>
  <c r="AF735" i="1"/>
  <c r="AD738" i="1"/>
  <c r="AF779" i="1"/>
  <c r="K798" i="1"/>
  <c r="I798" i="1"/>
  <c r="AA798" i="1" s="1"/>
  <c r="M798" i="1"/>
  <c r="L798" i="1"/>
  <c r="J798" i="1"/>
  <c r="AB798" i="1" s="1"/>
  <c r="AJ817" i="1"/>
  <c r="AL829" i="1"/>
  <c r="AK832" i="1"/>
  <c r="AC832" i="1"/>
  <c r="AI832" i="1"/>
  <c r="AA832" i="1"/>
  <c r="AE832" i="1"/>
  <c r="AD832" i="1"/>
  <c r="AB832" i="1"/>
  <c r="J835" i="1"/>
  <c r="AB835" i="1" s="1"/>
  <c r="M835" i="1"/>
  <c r="L835" i="1"/>
  <c r="AE835" i="1" s="1"/>
  <c r="AH835" i="1"/>
  <c r="K835" i="1"/>
  <c r="AJ835" i="1" s="1"/>
  <c r="AA835" i="1"/>
  <c r="AG845" i="1"/>
  <c r="AD682" i="1"/>
  <c r="J690" i="1"/>
  <c r="AD691" i="1"/>
  <c r="J712" i="1"/>
  <c r="AD716" i="1"/>
  <c r="AB719" i="1"/>
  <c r="AE738" i="1"/>
  <c r="K755" i="1"/>
  <c r="J755" i="1"/>
  <c r="AG755" i="1" s="1"/>
  <c r="AI759" i="1"/>
  <c r="J778" i="1"/>
  <c r="AI778" i="1" s="1"/>
  <c r="I778" i="1"/>
  <c r="AJ778" i="1"/>
  <c r="AF791" i="1"/>
  <c r="L816" i="1"/>
  <c r="AE816" i="1" s="1"/>
  <c r="J816" i="1"/>
  <c r="AC816" i="1"/>
  <c r="AL816" i="1"/>
  <c r="AA816" i="1"/>
  <c r="AD816" i="1"/>
  <c r="I820" i="1"/>
  <c r="AB820" i="1"/>
  <c r="M820" i="1"/>
  <c r="AD820" i="1" s="1"/>
  <c r="AI820" i="1"/>
  <c r="L820" i="1"/>
  <c r="AE820" i="1" s="1"/>
  <c r="K820" i="1"/>
  <c r="AC820" i="1" s="1"/>
  <c r="AJ826" i="1"/>
  <c r="AB826" i="1"/>
  <c r="AH826" i="1"/>
  <c r="AE826" i="1"/>
  <c r="AD826" i="1"/>
  <c r="AC826" i="1"/>
  <c r="AB830" i="1"/>
  <c r="AH830" i="1"/>
  <c r="K830" i="1"/>
  <c r="AC830" i="1" s="1"/>
  <c r="AD830" i="1"/>
  <c r="AL830" i="1"/>
  <c r="AA830" i="1"/>
  <c r="AE830" i="1"/>
  <c r="AD771" i="1"/>
  <c r="AL771" i="1"/>
  <c r="L793" i="1"/>
  <c r="AK793" i="1" s="1"/>
  <c r="AE793" i="1"/>
  <c r="J793" i="1"/>
  <c r="AH793" i="1"/>
  <c r="AH804" i="1"/>
  <c r="M804" i="1"/>
  <c r="AL804" i="1" s="1"/>
  <c r="K804" i="1"/>
  <c r="AJ804" i="1" s="1"/>
  <c r="AF813" i="1"/>
  <c r="AH817" i="1"/>
  <c r="AF819" i="1"/>
  <c r="AF821" i="1"/>
  <c r="AL823" i="1"/>
  <c r="AD823" i="1"/>
  <c r="AJ823" i="1"/>
  <c r="AB823" i="1"/>
  <c r="AE823" i="1"/>
  <c r="AL834" i="1"/>
  <c r="AI840" i="1"/>
  <c r="AA841" i="1"/>
  <c r="AK845" i="1"/>
  <c r="AA771" i="1"/>
  <c r="AI771" i="1"/>
  <c r="AC793" i="1"/>
  <c r="AE794" i="1"/>
  <c r="AJ802" i="1"/>
  <c r="M802" i="1"/>
  <c r="AE802" i="1"/>
  <c r="K805" i="1"/>
  <c r="AC805" i="1" s="1"/>
  <c r="I805" i="1"/>
  <c r="AH805" i="1" s="1"/>
  <c r="AL827" i="1"/>
  <c r="AD827" i="1"/>
  <c r="AJ827" i="1"/>
  <c r="AE833" i="1"/>
  <c r="AK833" i="1"/>
  <c r="AC833" i="1"/>
  <c r="I837" i="1"/>
  <c r="AH837" i="1" s="1"/>
  <c r="AL837" i="1"/>
  <c r="AD837" i="1"/>
  <c r="AC839" i="1"/>
  <c r="AD840" i="1"/>
  <c r="AH841" i="1"/>
  <c r="AL845" i="1"/>
  <c r="AC753" i="1"/>
  <c r="AK753" i="1"/>
  <c r="AD765" i="1"/>
  <c r="AL765" i="1"/>
  <c r="AB771" i="1"/>
  <c r="AJ771" i="1"/>
  <c r="I777" i="1"/>
  <c r="AD785" i="1"/>
  <c r="AL786" i="1"/>
  <c r="AD786" i="1"/>
  <c r="I786" i="1"/>
  <c r="AB786" i="1"/>
  <c r="AH797" i="1"/>
  <c r="M797" i="1"/>
  <c r="K797" i="1"/>
  <c r="AE797" i="1"/>
  <c r="AF797" i="1" s="1"/>
  <c r="AF800" i="1"/>
  <c r="I802" i="1"/>
  <c r="AH802" i="1" s="1"/>
  <c r="J805" i="1"/>
  <c r="AB805" i="1" s="1"/>
  <c r="AJ807" i="1"/>
  <c r="AH807" i="1"/>
  <c r="M807" i="1"/>
  <c r="AA823" i="1"/>
  <c r="AK824" i="1"/>
  <c r="J827" i="1"/>
  <c r="AK827" i="1"/>
  <c r="AK831" i="1"/>
  <c r="AC831" i="1"/>
  <c r="AI831" i="1"/>
  <c r="AA831" i="1"/>
  <c r="AH831" i="1"/>
  <c r="J833" i="1"/>
  <c r="AI833" i="1" s="1"/>
  <c r="AJ833" i="1"/>
  <c r="J837" i="1"/>
  <c r="AB837" i="1" s="1"/>
  <c r="AD839" i="1"/>
  <c r="AG840" i="1"/>
  <c r="AJ846" i="1"/>
  <c r="AH846" i="1"/>
  <c r="T846" i="1"/>
  <c r="AL848" i="1"/>
  <c r="AD848" i="1"/>
  <c r="I848" i="1"/>
  <c r="AJ848" i="1"/>
  <c r="AD753" i="1"/>
  <c r="AC771" i="1"/>
  <c r="J777" i="1"/>
  <c r="AE785" i="1"/>
  <c r="AF785" i="1" s="1"/>
  <c r="J802" i="1"/>
  <c r="AI802" i="1" s="1"/>
  <c r="AE804" i="1"/>
  <c r="L805" i="1"/>
  <c r="AE805" i="1" s="1"/>
  <c r="AF815" i="1"/>
  <c r="AC823" i="1"/>
  <c r="I824" i="1"/>
  <c r="AA827" i="1"/>
  <c r="AK828" i="1"/>
  <c r="AC828" i="1"/>
  <c r="AI828" i="1"/>
  <c r="AA828" i="1"/>
  <c r="AJ831" i="1"/>
  <c r="AA833" i="1"/>
  <c r="AL833" i="1"/>
  <c r="K837" i="1"/>
  <c r="AC837" i="1" s="1"/>
  <c r="AE839" i="1"/>
  <c r="AF839" i="1" s="1"/>
  <c r="AH840" i="1"/>
  <c r="J846" i="1"/>
  <c r="AB846" i="1" s="1"/>
  <c r="AF846" i="1" s="1"/>
  <c r="J848" i="1"/>
  <c r="AI848" i="1" s="1"/>
  <c r="AK794" i="1"/>
  <c r="AA795" i="1"/>
  <c r="AF795" i="1" s="1"/>
  <c r="AI795" i="1"/>
  <c r="AD817" i="1"/>
  <c r="AL817" i="1"/>
  <c r="AD834" i="1"/>
  <c r="AD836" i="1"/>
  <c r="AI845" i="1"/>
  <c r="J794" i="1"/>
  <c r="AG794" i="1" s="1"/>
  <c r="AC795" i="1"/>
  <c r="AA843" i="1"/>
  <c r="AF843" i="1" s="1"/>
  <c r="AC845" i="1"/>
  <c r="AI659" i="1" l="1"/>
  <c r="AH799" i="1"/>
  <c r="AF594" i="1"/>
  <c r="AC824" i="1"/>
  <c r="AB596" i="1"/>
  <c r="AA560" i="1"/>
  <c r="AB397" i="1"/>
  <c r="AG229" i="1"/>
  <c r="AG309" i="1"/>
  <c r="AK682" i="1"/>
  <c r="AD565" i="1"/>
  <c r="AA822" i="1"/>
  <c r="AB825" i="1"/>
  <c r="AG591" i="1"/>
  <c r="AK592" i="1"/>
  <c r="AL309" i="1"/>
  <c r="AC625" i="1"/>
  <c r="AE206" i="1"/>
  <c r="AF206" i="1" s="1"/>
  <c r="AF253" i="1"/>
  <c r="AL275" i="1"/>
  <c r="AJ238" i="1"/>
  <c r="AJ444" i="1"/>
  <c r="AC678" i="1"/>
  <c r="AL452" i="1"/>
  <c r="AD172" i="1"/>
  <c r="AC207" i="1"/>
  <c r="AB572" i="1"/>
  <c r="AG283" i="1"/>
  <c r="AG379" i="1"/>
  <c r="AA386" i="1"/>
  <c r="AF386" i="1" s="1"/>
  <c r="AG206" i="1"/>
  <c r="AL95" i="1"/>
  <c r="AC608" i="1"/>
  <c r="AH845" i="1"/>
  <c r="AC615" i="1"/>
  <c r="AA635" i="1"/>
  <c r="AF762" i="1"/>
  <c r="AD250" i="1"/>
  <c r="AC206" i="1"/>
  <c r="AF828" i="1"/>
  <c r="AG785" i="1"/>
  <c r="AE670" i="1"/>
  <c r="AK796" i="1"/>
  <c r="AH611" i="1"/>
  <c r="AF776" i="1"/>
  <c r="AD435" i="1"/>
  <c r="AG681" i="1"/>
  <c r="AH630" i="1"/>
  <c r="AK567" i="1"/>
  <c r="AD407" i="1"/>
  <c r="AG444" i="1"/>
  <c r="AB177" i="1"/>
  <c r="AL199" i="1"/>
  <c r="AD362" i="1"/>
  <c r="AH785" i="1"/>
  <c r="AG683" i="1"/>
  <c r="AD795" i="1"/>
  <c r="AF627" i="1"/>
  <c r="AH276" i="1"/>
  <c r="AI238" i="1"/>
  <c r="AI444" i="1"/>
  <c r="AH206" i="1"/>
  <c r="AC794" i="1"/>
  <c r="AI572" i="1"/>
  <c r="AC178" i="1"/>
  <c r="AG276" i="1"/>
  <c r="AK820" i="1"/>
  <c r="AF738" i="1"/>
  <c r="AG611" i="1"/>
  <c r="AG659" i="1"/>
  <c r="AE681" i="1"/>
  <c r="AL401" i="1"/>
  <c r="AF453" i="1"/>
  <c r="AK386" i="1"/>
  <c r="AD678" i="1"/>
  <c r="AD594" i="1"/>
  <c r="AG776" i="1"/>
  <c r="AH682" i="1"/>
  <c r="AD605" i="1"/>
  <c r="AI678" i="1"/>
  <c r="AL609" i="1"/>
  <c r="AF444" i="1"/>
  <c r="AB36" i="1"/>
  <c r="AG308" i="1"/>
  <c r="AA716" i="1"/>
  <c r="AL388" i="1"/>
  <c r="AI805" i="1"/>
  <c r="AC690" i="1"/>
  <c r="AJ822" i="1"/>
  <c r="AG701" i="1"/>
  <c r="AK701" i="1"/>
  <c r="AB610" i="1"/>
  <c r="AF610" i="1" s="1"/>
  <c r="AI262" i="1"/>
  <c r="AK297" i="1"/>
  <c r="AI154" i="1"/>
  <c r="AH391" i="1"/>
  <c r="AC13" i="1"/>
  <c r="AJ201" i="1"/>
  <c r="AK696" i="1"/>
  <c r="AK565" i="1"/>
  <c r="AK450" i="1"/>
  <c r="AA379" i="1"/>
  <c r="AH95" i="1"/>
  <c r="AL266" i="1"/>
  <c r="AL201" i="1"/>
  <c r="AF272" i="1"/>
  <c r="AG177" i="1"/>
  <c r="AI12" i="1"/>
  <c r="AL450" i="1"/>
  <c r="AF251" i="1"/>
  <c r="AG784" i="1"/>
  <c r="AB615" i="1"/>
  <c r="AB784" i="1"/>
  <c r="AH521" i="1"/>
  <c r="AD445" i="1"/>
  <c r="AL567" i="1"/>
  <c r="AC674" i="1"/>
  <c r="AB312" i="1"/>
  <c r="AJ267" i="1"/>
  <c r="AA177" i="1"/>
  <c r="AF177" i="1" s="1"/>
  <c r="AA381" i="1"/>
  <c r="AJ769" i="1"/>
  <c r="AI837" i="1"/>
  <c r="AF701" i="1"/>
  <c r="AK690" i="1"/>
  <c r="AJ713" i="1"/>
  <c r="AI599" i="1"/>
  <c r="AK576" i="1"/>
  <c r="AJ311" i="1"/>
  <c r="AK197" i="1"/>
  <c r="AK164" i="1"/>
  <c r="AD604" i="1"/>
  <c r="AC251" i="1"/>
  <c r="AC535" i="1"/>
  <c r="AC87" i="1"/>
  <c r="AK807" i="1"/>
  <c r="AC679" i="1"/>
  <c r="AI710" i="1"/>
  <c r="AJ799" i="1"/>
  <c r="AI591" i="1"/>
  <c r="AB620" i="1"/>
  <c r="AJ409" i="1"/>
  <c r="AE404" i="1"/>
  <c r="AG322" i="1"/>
  <c r="AL298" i="1"/>
  <c r="AI251" i="1"/>
  <c r="AL386" i="1"/>
  <c r="AC160" i="1"/>
  <c r="AG300" i="1"/>
  <c r="AI604" i="1"/>
  <c r="AG312" i="1"/>
  <c r="AB207" i="1"/>
  <c r="AF207" i="1" s="1"/>
  <c r="AK644" i="1"/>
  <c r="AG164" i="1"/>
  <c r="AC673" i="1"/>
  <c r="AG153" i="1"/>
  <c r="AB309" i="1"/>
  <c r="AA691" i="1"/>
  <c r="AF691" i="1" s="1"/>
  <c r="AK805" i="1"/>
  <c r="AD825" i="1"/>
  <c r="AF654" i="1"/>
  <c r="AK799" i="1"/>
  <c r="AH683" i="1"/>
  <c r="AH696" i="1"/>
  <c r="AA499" i="1"/>
  <c r="AF499" i="1" s="1"/>
  <c r="AB446" i="1"/>
  <c r="AG384" i="1"/>
  <c r="AH264" i="1"/>
  <c r="AG248" i="1"/>
  <c r="AH533" i="1"/>
  <c r="AF349" i="1"/>
  <c r="AE440" i="1"/>
  <c r="AF440" i="1" s="1"/>
  <c r="AF834" i="1"/>
  <c r="AF840" i="1"/>
  <c r="AJ837" i="1"/>
  <c r="AD804" i="1"/>
  <c r="AF719" i="1"/>
  <c r="AK691" i="1"/>
  <c r="AL750" i="1"/>
  <c r="AD410" i="1"/>
  <c r="AE455" i="1"/>
  <c r="AC177" i="1"/>
  <c r="AI336" i="1"/>
  <c r="AK271" i="1"/>
  <c r="AG154" i="1"/>
  <c r="AG615" i="1"/>
  <c r="AC271" i="1"/>
  <c r="AA154" i="1"/>
  <c r="AF154" i="1" s="1"/>
  <c r="AB275" i="1"/>
  <c r="AJ36" i="1"/>
  <c r="AA494" i="1"/>
  <c r="AK454" i="1"/>
  <c r="AA390" i="1"/>
  <c r="AL419" i="1"/>
  <c r="AI388" i="1"/>
  <c r="AL442" i="1"/>
  <c r="AG184" i="1"/>
  <c r="AF807" i="1"/>
  <c r="AC681" i="1"/>
  <c r="AF426" i="1"/>
  <c r="AE711" i="1"/>
  <c r="AI696" i="1"/>
  <c r="AJ596" i="1"/>
  <c r="AB792" i="1"/>
  <c r="AJ659" i="1"/>
  <c r="AI684" i="1"/>
  <c r="AI521" i="1"/>
  <c r="AI606" i="1"/>
  <c r="AI259" i="1"/>
  <c r="AH384" i="1"/>
  <c r="AI390" i="1"/>
  <c r="AG351" i="1"/>
  <c r="AA419" i="1"/>
  <c r="AI248" i="1"/>
  <c r="AF12" i="1"/>
  <c r="AG275" i="1"/>
  <c r="AB217" i="1"/>
  <c r="AE315" i="1"/>
  <c r="AF315" i="1" s="1"/>
  <c r="AG716" i="1"/>
  <c r="AF347" i="1"/>
  <c r="AC786" i="1"/>
  <c r="AH725" i="1"/>
  <c r="AL576" i="1"/>
  <c r="AH798" i="1"/>
  <c r="AJ626" i="1"/>
  <c r="AJ684" i="1"/>
  <c r="AB564" i="1"/>
  <c r="AL574" i="1"/>
  <c r="AK786" i="1"/>
  <c r="AJ638" i="1"/>
  <c r="AJ184" i="1"/>
  <c r="AJ494" i="1"/>
  <c r="AC390" i="1"/>
  <c r="AD391" i="1"/>
  <c r="AG217" i="1"/>
  <c r="AI227" i="1"/>
  <c r="AL12" i="1"/>
  <c r="AA784" i="1"/>
  <c r="AF784" i="1" s="1"/>
  <c r="AB753" i="1"/>
  <c r="AF753" i="1" s="1"/>
  <c r="AE87" i="1"/>
  <c r="AF87" i="1" s="1"/>
  <c r="AB201" i="1"/>
  <c r="AG281" i="1"/>
  <c r="AL820" i="1"/>
  <c r="AE674" i="1"/>
  <c r="AF674" i="1" s="1"/>
  <c r="AK570" i="1"/>
  <c r="AJ830" i="1"/>
  <c r="AF832" i="1"/>
  <c r="AJ591" i="1"/>
  <c r="AC538" i="1"/>
  <c r="AE442" i="1"/>
  <c r="AL601" i="1"/>
  <c r="AD570" i="1"/>
  <c r="AK184" i="1"/>
  <c r="AI87" i="1"/>
  <c r="AB184" i="1"/>
  <c r="AF184" i="1" s="1"/>
  <c r="AG454" i="1"/>
  <c r="AB300" i="1"/>
  <c r="AG604" i="1"/>
  <c r="AF194" i="1"/>
  <c r="AA36" i="1"/>
  <c r="AJ198" i="1"/>
  <c r="AJ391" i="1"/>
  <c r="AI362" i="1"/>
  <c r="AI608" i="1"/>
  <c r="AH423" i="1"/>
  <c r="AL87" i="1"/>
  <c r="AG179" i="1"/>
  <c r="AG719" i="1"/>
  <c r="AC377" i="1"/>
  <c r="AF669" i="1"/>
  <c r="AF716" i="1"/>
  <c r="AC804" i="1"/>
  <c r="AI798" i="1"/>
  <c r="AC682" i="1"/>
  <c r="AJ634" i="1"/>
  <c r="AB591" i="1"/>
  <c r="AF591" i="1" s="1"/>
  <c r="AB679" i="1"/>
  <c r="AK574" i="1"/>
  <c r="AA282" i="1"/>
  <c r="AE452" i="1"/>
  <c r="AF452" i="1" s="1"/>
  <c r="AC336" i="1"/>
  <c r="AB456" i="1"/>
  <c r="AF456" i="1" s="1"/>
  <c r="AH154" i="1"/>
  <c r="AE236" i="1"/>
  <c r="AE16" i="1"/>
  <c r="AD16" i="1"/>
  <c r="AB281" i="1"/>
  <c r="AC594" i="1"/>
  <c r="AJ461" i="1"/>
  <c r="AK605" i="1"/>
  <c r="AE605" i="1"/>
  <c r="AF605" i="1" s="1"/>
  <c r="AL596" i="1"/>
  <c r="AD596" i="1"/>
  <c r="AD606" i="1"/>
  <c r="AL606" i="1"/>
  <c r="AB607" i="1"/>
  <c r="AF607" i="1" s="1"/>
  <c r="AG607" i="1"/>
  <c r="AI612" i="1"/>
  <c r="AB612" i="1"/>
  <c r="AG363" i="1"/>
  <c r="AA363" i="1"/>
  <c r="AB575" i="1"/>
  <c r="AI575" i="1"/>
  <c r="AG395" i="1"/>
  <c r="AK395" i="1"/>
  <c r="AI389" i="1"/>
  <c r="AB389" i="1"/>
  <c r="AK11" i="1"/>
  <c r="AG11" i="1"/>
  <c r="AI648" i="1"/>
  <c r="AG648" i="1"/>
  <c r="AA238" i="1"/>
  <c r="AF238" i="1" s="1"/>
  <c r="AH238" i="1"/>
  <c r="AB677" i="1"/>
  <c r="AI677" i="1"/>
  <c r="AK423" i="1"/>
  <c r="AE423" i="1"/>
  <c r="AF423" i="1" s="1"/>
  <c r="AD835" i="1"/>
  <c r="AL835" i="1"/>
  <c r="AH719" i="1"/>
  <c r="AE792" i="1"/>
  <c r="AK792" i="1"/>
  <c r="AA616" i="1"/>
  <c r="AC630" i="1"/>
  <c r="AJ630" i="1"/>
  <c r="AI311" i="1"/>
  <c r="AJ573" i="1"/>
  <c r="AF359" i="1"/>
  <c r="AC379" i="1"/>
  <c r="AJ379" i="1"/>
  <c r="AL363" i="1"/>
  <c r="AD363" i="1"/>
  <c r="AA248" i="1"/>
  <c r="AF248" i="1" s="1"/>
  <c r="AH234" i="1"/>
  <c r="AA234" i="1"/>
  <c r="AB715" i="1"/>
  <c r="AF715" i="1" s="1"/>
  <c r="AI715" i="1"/>
  <c r="AG715" i="1"/>
  <c r="AJ677" i="1"/>
  <c r="AC677" i="1"/>
  <c r="AG640" i="1"/>
  <c r="AA640" i="1"/>
  <c r="AF640" i="1" s="1"/>
  <c r="AG535" i="1"/>
  <c r="AA535" i="1"/>
  <c r="AF535" i="1" s="1"/>
  <c r="AH535" i="1"/>
  <c r="AG514" i="1"/>
  <c r="AI514" i="1"/>
  <c r="AB514" i="1"/>
  <c r="AF514" i="1" s="1"/>
  <c r="AG450" i="1"/>
  <c r="AB450" i="1"/>
  <c r="AF450" i="1" s="1"/>
  <c r="AI450" i="1"/>
  <c r="AK835" i="1"/>
  <c r="AD798" i="1"/>
  <c r="AL798" i="1"/>
  <c r="AK772" i="1"/>
  <c r="AE636" i="1"/>
  <c r="AF580" i="1"/>
  <c r="AB648" i="1"/>
  <c r="AF648" i="1" s="1"/>
  <c r="AA683" i="1"/>
  <c r="AA606" i="1"/>
  <c r="AF606" i="1" s="1"/>
  <c r="AD446" i="1"/>
  <c r="AL446" i="1"/>
  <c r="AB408" i="1"/>
  <c r="AI408" i="1"/>
  <c r="AJ567" i="1"/>
  <c r="AC567" i="1"/>
  <c r="AJ495" i="1"/>
  <c r="AB624" i="1"/>
  <c r="AF624" i="1" s="1"/>
  <c r="AI624" i="1"/>
  <c r="AF298" i="1"/>
  <c r="AJ284" i="1"/>
  <c r="AK269" i="1"/>
  <c r="AA95" i="1"/>
  <c r="AF95" i="1" s="1"/>
  <c r="AK384" i="1"/>
  <c r="AE384" i="1"/>
  <c r="AE318" i="1"/>
  <c r="AK318" i="1"/>
  <c r="AI319" i="1"/>
  <c r="AJ197" i="1"/>
  <c r="AL454" i="1"/>
  <c r="AD454" i="1"/>
  <c r="AJ388" i="1"/>
  <c r="AB198" i="1"/>
  <c r="AA217" i="1"/>
  <c r="AF217" i="1" s="1"/>
  <c r="AI178" i="1"/>
  <c r="AG797" i="1"/>
  <c r="AK797" i="1"/>
  <c r="AD701" i="1"/>
  <c r="AL701" i="1"/>
  <c r="AG407" i="1"/>
  <c r="AI407" i="1"/>
  <c r="AB407" i="1"/>
  <c r="AF407" i="1" s="1"/>
  <c r="AJ521" i="1"/>
  <c r="AC521" i="1"/>
  <c r="AE192" i="1"/>
  <c r="AK192" i="1"/>
  <c r="AC585" i="1"/>
  <c r="AJ585" i="1"/>
  <c r="AL336" i="1"/>
  <c r="AD336" i="1"/>
  <c r="AK10" i="1"/>
  <c r="AH306" i="1"/>
  <c r="AA306" i="1"/>
  <c r="AF306" i="1" s="1"/>
  <c r="AG306" i="1"/>
  <c r="AE451" i="1"/>
  <c r="AF451" i="1" s="1"/>
  <c r="AG451" i="1"/>
  <c r="AB613" i="1"/>
  <c r="AF613" i="1" s="1"/>
  <c r="AG613" i="1"/>
  <c r="AI613" i="1"/>
  <c r="AI485" i="1"/>
  <c r="AB485" i="1"/>
  <c r="AF485" i="1" s="1"/>
  <c r="AG485" i="1"/>
  <c r="AB381" i="1"/>
  <c r="AF381" i="1" s="1"/>
  <c r="AI381" i="1"/>
  <c r="AG381" i="1"/>
  <c r="AC407" i="1"/>
  <c r="AJ407" i="1"/>
  <c r="AB725" i="1"/>
  <c r="AF725" i="1" s="1"/>
  <c r="AG725" i="1"/>
  <c r="AG726" i="1"/>
  <c r="AI726" i="1"/>
  <c r="AB726" i="1"/>
  <c r="AF726" i="1" s="1"/>
  <c r="AJ362" i="1"/>
  <c r="AC613" i="1"/>
  <c r="AJ613" i="1"/>
  <c r="AF829" i="1"/>
  <c r="AH365" i="1"/>
  <c r="AG365" i="1"/>
  <c r="AG266" i="1"/>
  <c r="AI266" i="1"/>
  <c r="AB266" i="1"/>
  <c r="AD192" i="1"/>
  <c r="AL192" i="1"/>
  <c r="AG807" i="1"/>
  <c r="AI807" i="1"/>
  <c r="AB681" i="1"/>
  <c r="AF681" i="1" s="1"/>
  <c r="AI681" i="1"/>
  <c r="AH634" i="1"/>
  <c r="AA684" i="1"/>
  <c r="AF684" i="1" s="1"/>
  <c r="AH684" i="1"/>
  <c r="AD617" i="1"/>
  <c r="AL617" i="1"/>
  <c r="AD453" i="1"/>
  <c r="AL453" i="1"/>
  <c r="AG827" i="1"/>
  <c r="AI827" i="1"/>
  <c r="AD615" i="1"/>
  <c r="AL615" i="1"/>
  <c r="AB425" i="1"/>
  <c r="AI425" i="1"/>
  <c r="AK589" i="1"/>
  <c r="AH410" i="1"/>
  <c r="AA410" i="1"/>
  <c r="AF410" i="1" s="1"/>
  <c r="AL384" i="1"/>
  <c r="AD384" i="1"/>
  <c r="AG833" i="1"/>
  <c r="AB833" i="1"/>
  <c r="AI824" i="1"/>
  <c r="AJ319" i="1"/>
  <c r="AC319" i="1"/>
  <c r="AL721" i="1"/>
  <c r="AB363" i="1"/>
  <c r="AK308" i="1"/>
  <c r="AB178" i="1"/>
  <c r="AF178" i="1" s="1"/>
  <c r="AJ297" i="1"/>
  <c r="AK362" i="1"/>
  <c r="AE362" i="1"/>
  <c r="AF362" i="1" s="1"/>
  <c r="AJ714" i="1"/>
  <c r="AC714" i="1"/>
  <c r="AJ683" i="1"/>
  <c r="AC683" i="1"/>
  <c r="AI533" i="1"/>
  <c r="AB533" i="1"/>
  <c r="AF533" i="1" s="1"/>
  <c r="AB365" i="1"/>
  <c r="AF365" i="1" s="1"/>
  <c r="AI365" i="1"/>
  <c r="AA334" i="1"/>
  <c r="AF334" i="1" s="1"/>
  <c r="AH334" i="1"/>
  <c r="AG334" i="1"/>
  <c r="AF841" i="1"/>
  <c r="AK816" i="1"/>
  <c r="AC715" i="1"/>
  <c r="AL769" i="1"/>
  <c r="AD769" i="1"/>
  <c r="AJ796" i="1"/>
  <c r="AC796" i="1"/>
  <c r="AB742" i="1"/>
  <c r="AH522" i="1"/>
  <c r="AE569" i="1"/>
  <c r="AB638" i="1"/>
  <c r="AD612" i="1"/>
  <c r="AE573" i="1"/>
  <c r="AE411" i="1"/>
  <c r="AI359" i="1"/>
  <c r="AJ411" i="1"/>
  <c r="AI371" i="1"/>
  <c r="AC493" i="1"/>
  <c r="AJ493" i="1"/>
  <c r="AK456" i="1"/>
  <c r="AE395" i="1"/>
  <c r="AF395" i="1" s="1"/>
  <c r="AB153" i="1"/>
  <c r="AI153" i="1"/>
  <c r="AE308" i="1"/>
  <c r="AF308" i="1" s="1"/>
  <c r="AB295" i="1"/>
  <c r="AK199" i="1"/>
  <c r="AK706" i="1"/>
  <c r="AE706" i="1"/>
  <c r="AG682" i="1"/>
  <c r="AA397" i="1"/>
  <c r="AF397" i="1" s="1"/>
  <c r="AH397" i="1"/>
  <c r="AK338" i="1"/>
  <c r="AE338" i="1"/>
  <c r="AF338" i="1" s="1"/>
  <c r="AI334" i="1"/>
  <c r="AI435" i="1"/>
  <c r="AG435" i="1"/>
  <c r="AB435" i="1"/>
  <c r="AF435" i="1" s="1"/>
  <c r="AG387" i="1"/>
  <c r="AH387" i="1"/>
  <c r="AA387" i="1"/>
  <c r="AK202" i="1"/>
  <c r="AE202" i="1"/>
  <c r="AA837" i="1"/>
  <c r="AF837" i="1" s="1"/>
  <c r="AG605" i="1"/>
  <c r="AB799" i="1"/>
  <c r="AF799" i="1" s="1"/>
  <c r="AE467" i="1"/>
  <c r="AK467" i="1"/>
  <c r="AF633" i="1"/>
  <c r="AG467" i="1"/>
  <c r="AK679" i="1"/>
  <c r="AI567" i="1"/>
  <c r="AJ455" i="1"/>
  <c r="AF312" i="1"/>
  <c r="AC454" i="1"/>
  <c r="AJ454" i="1"/>
  <c r="AB284" i="1"/>
  <c r="AG389" i="1"/>
  <c r="AA236" i="1"/>
  <c r="AH236" i="1"/>
  <c r="AB777" i="1"/>
  <c r="AI777" i="1"/>
  <c r="AB827" i="1"/>
  <c r="AF827" i="1" s="1"/>
  <c r="AB683" i="1"/>
  <c r="AJ689" i="1"/>
  <c r="AJ610" i="1"/>
  <c r="AC610" i="1"/>
  <c r="AC410" i="1"/>
  <c r="AC298" i="1"/>
  <c r="AA384" i="1"/>
  <c r="AF267" i="1"/>
  <c r="AB802" i="1"/>
  <c r="AF830" i="1"/>
  <c r="AE714" i="1"/>
  <c r="AE822" i="1"/>
  <c r="AF822" i="1" s="1"/>
  <c r="AK822" i="1"/>
  <c r="AE713" i="1"/>
  <c r="AK451" i="1"/>
  <c r="AF521" i="1"/>
  <c r="AF560" i="1"/>
  <c r="AJ522" i="1"/>
  <c r="AC522" i="1"/>
  <c r="AB569" i="1"/>
  <c r="AJ442" i="1"/>
  <c r="AB573" i="1"/>
  <c r="AI573" i="1"/>
  <c r="AI601" i="1"/>
  <c r="AC404" i="1"/>
  <c r="AJ387" i="1"/>
  <c r="AH229" i="1"/>
  <c r="AJ363" i="1"/>
  <c r="AC363" i="1"/>
  <c r="AJ371" i="1"/>
  <c r="AC172" i="1"/>
  <c r="AC179" i="1"/>
  <c r="AC161" i="1"/>
  <c r="AD493" i="1"/>
  <c r="AL493" i="1"/>
  <c r="AC295" i="1"/>
  <c r="AJ295" i="1"/>
  <c r="AC248" i="1"/>
  <c r="AJ248" i="1"/>
  <c r="AK205" i="1"/>
  <c r="AG234" i="1"/>
  <c r="AI391" i="1"/>
  <c r="AG238" i="1"/>
  <c r="AI682" i="1"/>
  <c r="AB682" i="1"/>
  <c r="AF682" i="1" s="1"/>
  <c r="AA677" i="1"/>
  <c r="AH677" i="1"/>
  <c r="AG677" i="1"/>
  <c r="AJ443" i="1"/>
  <c r="AH377" i="1"/>
  <c r="AA377" i="1"/>
  <c r="AL793" i="1"/>
  <c r="AD793" i="1"/>
  <c r="AB387" i="1"/>
  <c r="AI387" i="1"/>
  <c r="AL423" i="1"/>
  <c r="AD423" i="1"/>
  <c r="AG765" i="1"/>
  <c r="AA765" i="1"/>
  <c r="AF765" i="1" s="1"/>
  <c r="AC706" i="1"/>
  <c r="AJ706" i="1"/>
  <c r="AJ315" i="1"/>
  <c r="AC315" i="1"/>
  <c r="AI161" i="1"/>
  <c r="AB161" i="1"/>
  <c r="AF161" i="1" s="1"/>
  <c r="AG161" i="1"/>
  <c r="AI293" i="1"/>
  <c r="AB502" i="1"/>
  <c r="AF502" i="1" s="1"/>
  <c r="AI160" i="1"/>
  <c r="AG160" i="1"/>
  <c r="AB160" i="1"/>
  <c r="AF160" i="1" s="1"/>
  <c r="AK726" i="1"/>
  <c r="AH681" i="1"/>
  <c r="AJ450" i="1"/>
  <c r="AA281" i="1"/>
  <c r="AA615" i="1"/>
  <c r="AD613" i="1"/>
  <c r="AL616" i="1"/>
  <c r="AC607" i="1"/>
  <c r="AG315" i="1"/>
  <c r="AF197" i="1"/>
  <c r="AB250" i="1"/>
  <c r="AB274" i="1"/>
  <c r="AC12" i="1"/>
  <c r="AE750" i="1"/>
  <c r="AJ750" i="1"/>
  <c r="AI750" i="1"/>
  <c r="AH750" i="1"/>
  <c r="AK750" i="1"/>
  <c r="AC750" i="1"/>
  <c r="AB750" i="1"/>
  <c r="AA750" i="1"/>
  <c r="AG753" i="1"/>
  <c r="AH753" i="1"/>
  <c r="AK715" i="1"/>
  <c r="AG633" i="1"/>
  <c r="AF831" i="1"/>
  <c r="AJ805" i="1"/>
  <c r="AG820" i="1"/>
  <c r="AL824" i="1"/>
  <c r="AI634" i="1"/>
  <c r="AK610" i="1"/>
  <c r="AG610" i="1"/>
  <c r="AF348" i="1"/>
  <c r="AF567" i="1"/>
  <c r="AJ609" i="1"/>
  <c r="AJ405" i="1"/>
  <c r="AI337" i="1"/>
  <c r="AH765" i="1"/>
  <c r="AG533" i="1"/>
  <c r="AB586" i="1"/>
  <c r="AG502" i="1"/>
  <c r="AH502" i="1"/>
  <c r="AG423" i="1"/>
  <c r="AI423" i="1"/>
  <c r="AD294" i="1"/>
  <c r="AG397" i="1"/>
  <c r="AG499" i="1"/>
  <c r="AB848" i="1"/>
  <c r="AF823" i="1"/>
  <c r="AF826" i="1"/>
  <c r="AH755" i="1"/>
  <c r="AG822" i="1"/>
  <c r="AG742" i="1"/>
  <c r="AK446" i="1"/>
  <c r="AA322" i="1"/>
  <c r="AF322" i="1" s="1"/>
  <c r="AI315" i="1"/>
  <c r="AC601" i="1"/>
  <c r="AF180" i="1"/>
  <c r="AI184" i="1"/>
  <c r="AI804" i="1"/>
  <c r="AB804" i="1"/>
  <c r="AF804" i="1" s="1"/>
  <c r="AH598" i="1"/>
  <c r="AA598" i="1"/>
  <c r="AF598" i="1" s="1"/>
  <c r="AG286" i="1"/>
  <c r="AB286" i="1"/>
  <c r="AF286" i="1" s="1"/>
  <c r="AI286" i="1"/>
  <c r="AC276" i="1"/>
  <c r="AJ276" i="1"/>
  <c r="AI179" i="1"/>
  <c r="AG338" i="1"/>
  <c r="AH338" i="1"/>
  <c r="AG156" i="1"/>
  <c r="AF554" i="1"/>
  <c r="AE798" i="1"/>
  <c r="AF798" i="1" s="1"/>
  <c r="AK798" i="1"/>
  <c r="AG825" i="1"/>
  <c r="AH825" i="1"/>
  <c r="AA825" i="1"/>
  <c r="AG796" i="1"/>
  <c r="AB796" i="1"/>
  <c r="AF796" i="1" s="1"/>
  <c r="AG600" i="1"/>
  <c r="AA600" i="1"/>
  <c r="AH600" i="1"/>
  <c r="AC563" i="1"/>
  <c r="AJ563" i="1"/>
  <c r="AG617" i="1"/>
  <c r="AH617" i="1"/>
  <c r="AA617" i="1"/>
  <c r="AF617" i="1" s="1"/>
  <c r="AD589" i="1"/>
  <c r="AG358" i="1"/>
  <c r="AH358" i="1"/>
  <c r="AG287" i="1"/>
  <c r="AA287" i="1"/>
  <c r="AF287" i="1" s="1"/>
  <c r="AG601" i="1"/>
  <c r="AA601" i="1"/>
  <c r="AF601" i="1" s="1"/>
  <c r="AH601" i="1"/>
  <c r="AB404" i="1"/>
  <c r="AF404" i="1" s="1"/>
  <c r="AI404" i="1"/>
  <c r="AG404" i="1"/>
  <c r="AD307" i="1"/>
  <c r="AL307" i="1"/>
  <c r="AG411" i="1"/>
  <c r="AH411" i="1"/>
  <c r="AC395" i="1"/>
  <c r="AJ395" i="1"/>
  <c r="AG271" i="1"/>
  <c r="AB271" i="1"/>
  <c r="AF271" i="1" s="1"/>
  <c r="AI271" i="1"/>
  <c r="AJ200" i="1"/>
  <c r="AC200" i="1"/>
  <c r="AG777" i="1"/>
  <c r="AA777" i="1"/>
  <c r="AG793" i="1"/>
  <c r="AB793" i="1"/>
  <c r="AF793" i="1" s="1"/>
  <c r="AI793" i="1"/>
  <c r="AH820" i="1"/>
  <c r="AG816" i="1"/>
  <c r="AI816" i="1"/>
  <c r="AH777" i="1"/>
  <c r="AF835" i="1"/>
  <c r="AG835" i="1"/>
  <c r="AI835" i="1"/>
  <c r="AK673" i="1"/>
  <c r="AE673" i="1"/>
  <c r="AG772" i="1"/>
  <c r="AB772" i="1"/>
  <c r="AF772" i="1" s="1"/>
  <c r="AC635" i="1"/>
  <c r="AJ635" i="1"/>
  <c r="AG408" i="1"/>
  <c r="AH408" i="1"/>
  <c r="AA408" i="1"/>
  <c r="AG679" i="1"/>
  <c r="AA679" i="1"/>
  <c r="AH679" i="1"/>
  <c r="AF630" i="1"/>
  <c r="AB538" i="1"/>
  <c r="AK721" i="1"/>
  <c r="AE721" i="1"/>
  <c r="AF721" i="1" s="1"/>
  <c r="AG588" i="1"/>
  <c r="AB588" i="1"/>
  <c r="AJ569" i="1"/>
  <c r="AC569" i="1"/>
  <c r="AK320" i="1"/>
  <c r="AE320" i="1"/>
  <c r="AF320" i="1" s="1"/>
  <c r="AG612" i="1"/>
  <c r="AA612" i="1"/>
  <c r="AG305" i="1"/>
  <c r="AA305" i="1"/>
  <c r="AH305" i="1"/>
  <c r="AG624" i="1"/>
  <c r="AH624" i="1"/>
  <c r="AF366" i="1"/>
  <c r="AF325" i="1"/>
  <c r="AJ384" i="1"/>
  <c r="AC384" i="1"/>
  <c r="AG9" i="1"/>
  <c r="AA9" i="1"/>
  <c r="AH9" i="1"/>
  <c r="AC309" i="1"/>
  <c r="AJ309" i="1"/>
  <c r="AG846" i="1"/>
  <c r="AI846" i="1"/>
  <c r="AG805" i="1"/>
  <c r="AA805" i="1"/>
  <c r="AF805" i="1" s="1"/>
  <c r="AI712" i="1"/>
  <c r="AB712" i="1"/>
  <c r="AL822" i="1"/>
  <c r="AD822" i="1"/>
  <c r="AE825" i="1"/>
  <c r="AI670" i="1"/>
  <c r="AB670" i="1"/>
  <c r="AI616" i="1"/>
  <c r="AB616" i="1"/>
  <c r="AG616" i="1"/>
  <c r="AH565" i="1"/>
  <c r="AG565" i="1"/>
  <c r="AA565" i="1"/>
  <c r="AF565" i="1" s="1"/>
  <c r="AG563" i="1"/>
  <c r="AB563" i="1"/>
  <c r="AC696" i="1"/>
  <c r="AJ696" i="1"/>
  <c r="AI630" i="1"/>
  <c r="AG425" i="1"/>
  <c r="AA425" i="1"/>
  <c r="AH425" i="1"/>
  <c r="AG405" i="1"/>
  <c r="AC721" i="1"/>
  <c r="AJ606" i="1"/>
  <c r="AG638" i="1"/>
  <c r="AA638" i="1"/>
  <c r="AI410" i="1"/>
  <c r="AC274" i="1"/>
  <c r="AJ274" i="1"/>
  <c r="AB494" i="1"/>
  <c r="AH201" i="1"/>
  <c r="AG201" i="1"/>
  <c r="AA201" i="1"/>
  <c r="AF201" i="1" s="1"/>
  <c r="AG802" i="1"/>
  <c r="AA802" i="1"/>
  <c r="AJ710" i="1"/>
  <c r="AC710" i="1"/>
  <c r="AC627" i="1"/>
  <c r="AJ627" i="1"/>
  <c r="AJ616" i="1"/>
  <c r="AC616" i="1"/>
  <c r="AB585" i="1"/>
  <c r="AF585" i="1" s="1"/>
  <c r="AG585" i="1"/>
  <c r="AI585" i="1"/>
  <c r="AG803" i="1"/>
  <c r="AB803" i="1"/>
  <c r="AI636" i="1"/>
  <c r="AB636" i="1"/>
  <c r="AI803" i="1"/>
  <c r="AK684" i="1"/>
  <c r="AH593" i="1"/>
  <c r="AG593" i="1"/>
  <c r="AA593" i="1"/>
  <c r="AI563" i="1"/>
  <c r="AI554" i="1"/>
  <c r="AI405" i="1"/>
  <c r="AG538" i="1"/>
  <c r="AA538" i="1"/>
  <c r="AL569" i="1"/>
  <c r="AD569" i="1"/>
  <c r="AK425" i="1"/>
  <c r="AE425" i="1"/>
  <c r="AA405" i="1"/>
  <c r="AF405" i="1" s="1"/>
  <c r="AE311" i="1"/>
  <c r="AF311" i="1" s="1"/>
  <c r="AK311" i="1"/>
  <c r="AD455" i="1"/>
  <c r="AK327" i="1"/>
  <c r="AE327" i="1"/>
  <c r="AF327" i="1" s="1"/>
  <c r="AG573" i="1"/>
  <c r="AH573" i="1"/>
  <c r="AA573" i="1"/>
  <c r="AI570" i="1"/>
  <c r="AB570" i="1"/>
  <c r="AF570" i="1" s="1"/>
  <c r="AG570" i="1"/>
  <c r="AK229" i="1"/>
  <c r="AE229" i="1"/>
  <c r="AG575" i="1"/>
  <c r="AA575" i="1"/>
  <c r="AB379" i="1"/>
  <c r="AF379" i="1" s="1"/>
  <c r="AI379" i="1"/>
  <c r="AG493" i="1"/>
  <c r="AH493" i="1"/>
  <c r="AL236" i="1"/>
  <c r="AD236" i="1"/>
  <c r="AE295" i="1"/>
  <c r="AF295" i="1" s="1"/>
  <c r="AI297" i="1"/>
  <c r="AB297" i="1"/>
  <c r="AF297" i="1" s="1"/>
  <c r="AG848" i="1"/>
  <c r="AH848" i="1"/>
  <c r="AA848" i="1"/>
  <c r="AD807" i="1"/>
  <c r="AL807" i="1"/>
  <c r="AI755" i="1"/>
  <c r="AB755" i="1"/>
  <c r="AF755" i="1" s="1"/>
  <c r="AG712" i="1"/>
  <c r="AA712" i="1"/>
  <c r="AH712" i="1"/>
  <c r="AG711" i="1"/>
  <c r="AA711" i="1"/>
  <c r="AB600" i="1"/>
  <c r="AI600" i="1"/>
  <c r="AH554" i="1"/>
  <c r="AG554" i="1"/>
  <c r="AE563" i="1"/>
  <c r="AK563" i="1"/>
  <c r="AC425" i="1"/>
  <c r="AJ425" i="1"/>
  <c r="AG567" i="1"/>
  <c r="AH567" i="1"/>
  <c r="AI609" i="1"/>
  <c r="AE624" i="1"/>
  <c r="AK624" i="1"/>
  <c r="AD271" i="1"/>
  <c r="AL271" i="1"/>
  <c r="AH575" i="1"/>
  <c r="AL411" i="1"/>
  <c r="AD411" i="1"/>
  <c r="AG262" i="1"/>
  <c r="AA262" i="1"/>
  <c r="AF262" i="1" s="1"/>
  <c r="AH262" i="1"/>
  <c r="AE391" i="1"/>
  <c r="AF391" i="1" s="1"/>
  <c r="AK391" i="1"/>
  <c r="AB778" i="1"/>
  <c r="AC755" i="1"/>
  <c r="AJ755" i="1"/>
  <c r="AB690" i="1"/>
  <c r="AI690" i="1"/>
  <c r="AC798" i="1"/>
  <c r="AJ798" i="1"/>
  <c r="AA690" i="1"/>
  <c r="AH690" i="1"/>
  <c r="AG690" i="1"/>
  <c r="AJ825" i="1"/>
  <c r="AC825" i="1"/>
  <c r="AG670" i="1"/>
  <c r="AA670" i="1"/>
  <c r="AI713" i="1"/>
  <c r="AL636" i="1"/>
  <c r="AE803" i="1"/>
  <c r="AK803" i="1"/>
  <c r="AI639" i="1"/>
  <c r="AG639" i="1"/>
  <c r="AG625" i="1"/>
  <c r="AB625" i="1"/>
  <c r="AF625" i="1" s="1"/>
  <c r="AF696" i="1"/>
  <c r="AC564" i="1"/>
  <c r="AK433" i="1"/>
  <c r="AG433" i="1"/>
  <c r="AE433" i="1"/>
  <c r="AF433" i="1" s="1"/>
  <c r="AB402" i="1"/>
  <c r="AF402" i="1" s="1"/>
  <c r="AG402" i="1"/>
  <c r="AI402" i="1"/>
  <c r="AB574" i="1"/>
  <c r="AI574" i="1"/>
  <c r="AH538" i="1"/>
  <c r="AI617" i="1"/>
  <c r="AH405" i="1"/>
  <c r="AK401" i="1"/>
  <c r="AE401" i="1"/>
  <c r="AC337" i="1"/>
  <c r="AJ337" i="1"/>
  <c r="AJ612" i="1"/>
  <c r="AC612" i="1"/>
  <c r="AE612" i="1"/>
  <c r="AE294" i="1"/>
  <c r="AF294" i="1" s="1"/>
  <c r="AK294" i="1"/>
  <c r="AG294" i="1"/>
  <c r="AA358" i="1"/>
  <c r="AF358" i="1" s="1"/>
  <c r="AK609" i="1"/>
  <c r="AD284" i="1"/>
  <c r="AL284" i="1"/>
  <c r="AG202" i="1"/>
  <c r="AB202" i="1"/>
  <c r="AI202" i="1"/>
  <c r="AI411" i="1"/>
  <c r="AC269" i="1"/>
  <c r="AJ269" i="1"/>
  <c r="AG259" i="1"/>
  <c r="AA259" i="1"/>
  <c r="AF259" i="1" s="1"/>
  <c r="AH259" i="1"/>
  <c r="AC229" i="1"/>
  <c r="AJ229" i="1"/>
  <c r="AK388" i="1"/>
  <c r="AE388" i="1"/>
  <c r="AF388" i="1" s="1"/>
  <c r="AD10" i="1"/>
  <c r="AL10" i="1"/>
  <c r="AJ217" i="1"/>
  <c r="AB816" i="1"/>
  <c r="AF816" i="1" s="1"/>
  <c r="AG706" i="1"/>
  <c r="AA706" i="1"/>
  <c r="AH706" i="1"/>
  <c r="AD792" i="1"/>
  <c r="AL792" i="1"/>
  <c r="AF733" i="1"/>
  <c r="AI796" i="1"/>
  <c r="AD796" i="1"/>
  <c r="AI626" i="1"/>
  <c r="AH605" i="1"/>
  <c r="AC617" i="1"/>
  <c r="AG564" i="1"/>
  <c r="AA564" i="1"/>
  <c r="AC574" i="1"/>
  <c r="AJ574" i="1"/>
  <c r="AK588" i="1"/>
  <c r="AE588" i="1"/>
  <c r="AG442" i="1"/>
  <c r="AB442" i="1"/>
  <c r="AI442" i="1"/>
  <c r="AB377" i="1"/>
  <c r="AI377" i="1"/>
  <c r="AG377" i="1"/>
  <c r="AH612" i="1"/>
  <c r="AH287" i="1"/>
  <c r="AB495" i="1"/>
  <c r="AF495" i="1" s="1"/>
  <c r="AI495" i="1"/>
  <c r="AI358" i="1"/>
  <c r="AD674" i="1"/>
  <c r="AG674" i="1"/>
  <c r="AI674" i="1"/>
  <c r="AC624" i="1"/>
  <c r="AJ570" i="1"/>
  <c r="AJ312" i="1"/>
  <c r="AA411" i="1"/>
  <c r="AL379" i="1"/>
  <c r="AD379" i="1"/>
  <c r="AL390" i="1"/>
  <c r="AD390" i="1"/>
  <c r="AA820" i="1"/>
  <c r="AF820" i="1" s="1"/>
  <c r="AJ820" i="1"/>
  <c r="AG778" i="1"/>
  <c r="AA778" i="1"/>
  <c r="AH778" i="1"/>
  <c r="AC835" i="1"/>
  <c r="AK769" i="1"/>
  <c r="AG769" i="1"/>
  <c r="AE769" i="1"/>
  <c r="AF769" i="1" s="1"/>
  <c r="AG713" i="1"/>
  <c r="AA713" i="1"/>
  <c r="AH713" i="1"/>
  <c r="AG689" i="1"/>
  <c r="AA689" i="1"/>
  <c r="AF689" i="1" s="1"/>
  <c r="AH689" i="1"/>
  <c r="AI660" i="1"/>
  <c r="AG660" i="1"/>
  <c r="AB660" i="1"/>
  <c r="AF660" i="1" s="1"/>
  <c r="AB635" i="1"/>
  <c r="AE634" i="1"/>
  <c r="AF634" i="1" s="1"/>
  <c r="AK634" i="1"/>
  <c r="AF639" i="1"/>
  <c r="AI593" i="1"/>
  <c r="AB593" i="1"/>
  <c r="AI588" i="1"/>
  <c r="AI522" i="1"/>
  <c r="AG446" i="1"/>
  <c r="AH446" i="1"/>
  <c r="AA446" i="1"/>
  <c r="AI607" i="1"/>
  <c r="AD409" i="1"/>
  <c r="AL409" i="1"/>
  <c r="AL320" i="1"/>
  <c r="AD320" i="1"/>
  <c r="AJ327" i="1"/>
  <c r="AI305" i="1"/>
  <c r="AB305" i="1"/>
  <c r="AF321" i="1"/>
  <c r="AH379" i="1"/>
  <c r="AG320" i="1"/>
  <c r="AI205" i="1"/>
  <c r="AB205" i="1"/>
  <c r="AF205" i="1" s="1"/>
  <c r="AE36" i="1"/>
  <c r="AK36" i="1"/>
  <c r="AE309" i="1"/>
  <c r="AF309" i="1" s="1"/>
  <c r="AK309" i="1"/>
  <c r="AG710" i="1"/>
  <c r="AH620" i="1"/>
  <c r="AG620" i="1"/>
  <c r="AA620" i="1"/>
  <c r="AL633" i="1"/>
  <c r="AD633" i="1"/>
  <c r="AG608" i="1"/>
  <c r="AA608" i="1"/>
  <c r="AF608" i="1" s="1"/>
  <c r="AH608" i="1"/>
  <c r="AH586" i="1"/>
  <c r="AG586" i="1"/>
  <c r="AA586" i="1"/>
  <c r="AG626" i="1"/>
  <c r="AA626" i="1"/>
  <c r="AF626" i="1" s="1"/>
  <c r="AF576" i="1"/>
  <c r="AF592" i="1"/>
  <c r="AB443" i="1"/>
  <c r="AF443" i="1" s="1"/>
  <c r="AG443" i="1"/>
  <c r="AI443" i="1"/>
  <c r="AG630" i="1"/>
  <c r="AI560" i="1"/>
  <c r="AG560" i="1"/>
  <c r="AG574" i="1"/>
  <c r="AA574" i="1"/>
  <c r="AF522" i="1"/>
  <c r="AB467" i="1"/>
  <c r="AG721" i="1"/>
  <c r="AI721" i="1"/>
  <c r="AC402" i="1"/>
  <c r="AJ402" i="1"/>
  <c r="AJ338" i="1"/>
  <c r="AC338" i="1"/>
  <c r="AF529" i="1"/>
  <c r="AL327" i="1"/>
  <c r="AD327" i="1"/>
  <c r="AJ287" i="1"/>
  <c r="AC287" i="1"/>
  <c r="AG311" i="1"/>
  <c r="AJ294" i="1"/>
  <c r="AC294" i="1"/>
  <c r="AG609" i="1"/>
  <c r="AB282" i="1"/>
  <c r="AG268" i="1"/>
  <c r="AB268" i="1"/>
  <c r="AF268" i="1" s="1"/>
  <c r="AI268" i="1"/>
  <c r="AG172" i="1"/>
  <c r="AA172" i="1"/>
  <c r="AH172" i="1"/>
  <c r="AF266" i="1"/>
  <c r="AB493" i="1"/>
  <c r="AF493" i="1" s="1"/>
  <c r="AI454" i="1"/>
  <c r="AC419" i="1"/>
  <c r="AF330" i="1"/>
  <c r="AL300" i="1"/>
  <c r="AG152" i="1"/>
  <c r="AJ389" i="1"/>
  <c r="AG199" i="1"/>
  <c r="AG295" i="1"/>
  <c r="AA199" i="1"/>
  <c r="AF199" i="1" s="1"/>
  <c r="AL217" i="1"/>
  <c r="AJ9" i="1"/>
  <c r="AF156" i="1"/>
  <c r="AF390" i="1"/>
  <c r="AI229" i="1"/>
  <c r="AB229" i="1"/>
  <c r="AB172" i="1"/>
  <c r="AH604" i="1"/>
  <c r="AJ236" i="1"/>
  <c r="AC236" i="1"/>
  <c r="AD295" i="1"/>
  <c r="AJ205" i="1"/>
  <c r="AC205" i="1"/>
  <c r="AI199" i="1"/>
  <c r="AB9" i="1"/>
  <c r="AK227" i="1"/>
  <c r="AB192" i="1"/>
  <c r="AI192" i="1"/>
  <c r="AF319" i="1"/>
  <c r="AG284" i="1"/>
  <c r="AA284" i="1"/>
  <c r="AB257" i="1"/>
  <c r="AF257" i="1" s="1"/>
  <c r="AI257" i="1"/>
  <c r="AB454" i="1"/>
  <c r="AF454" i="1" s="1"/>
  <c r="AF419" i="1"/>
  <c r="AI300" i="1"/>
  <c r="AJ152" i="1"/>
  <c r="AC152" i="1"/>
  <c r="AB10" i="1"/>
  <c r="AI10" i="1"/>
  <c r="AG198" i="1"/>
  <c r="AK198" i="1"/>
  <c r="AF331" i="1"/>
  <c r="AD36" i="1"/>
  <c r="AD297" i="1"/>
  <c r="AH217" i="1"/>
  <c r="AH12" i="1"/>
  <c r="AG12" i="1"/>
  <c r="AF336" i="1"/>
  <c r="AK319" i="1"/>
  <c r="AG388" i="1"/>
  <c r="AF164" i="1"/>
  <c r="AI419" i="1"/>
  <c r="AF227" i="1"/>
  <c r="AC11" i="1"/>
  <c r="AJ11" i="1"/>
  <c r="AG786" i="1"/>
  <c r="AH786" i="1"/>
  <c r="AA786" i="1"/>
  <c r="AF786" i="1" s="1"/>
  <c r="AL719" i="1"/>
  <c r="AD719" i="1"/>
  <c r="AB711" i="1"/>
  <c r="AI711" i="1"/>
  <c r="AG636" i="1"/>
  <c r="AA636" i="1"/>
  <c r="AG599" i="1"/>
  <c r="AH599" i="1"/>
  <c r="AA599" i="1"/>
  <c r="AF599" i="1" s="1"/>
  <c r="AF646" i="1"/>
  <c r="AD600" i="1"/>
  <c r="AL600" i="1"/>
  <c r="AG799" i="1"/>
  <c r="AG684" i="1"/>
  <c r="AJ639" i="1"/>
  <c r="AG576" i="1"/>
  <c r="AH576" i="1"/>
  <c r="AL593" i="1"/>
  <c r="AD593" i="1"/>
  <c r="AG592" i="1"/>
  <c r="AH592" i="1"/>
  <c r="AL563" i="1"/>
  <c r="AD563" i="1"/>
  <c r="AG522" i="1"/>
  <c r="AF418" i="1"/>
  <c r="AG644" i="1"/>
  <c r="AL630" i="1"/>
  <c r="AG337" i="1"/>
  <c r="AA337" i="1"/>
  <c r="AF337" i="1" s="1"/>
  <c r="AH337" i="1"/>
  <c r="AF589" i="1"/>
  <c r="AG589" i="1"/>
  <c r="AI589" i="1"/>
  <c r="AG455" i="1"/>
  <c r="AB455" i="1"/>
  <c r="AF455" i="1" s="1"/>
  <c r="AI455" i="1"/>
  <c r="AG440" i="1"/>
  <c r="AI440" i="1"/>
  <c r="AL573" i="1"/>
  <c r="AK363" i="1"/>
  <c r="AE363" i="1"/>
  <c r="AE300" i="1"/>
  <c r="AF300" i="1" s="1"/>
  <c r="AI264" i="1"/>
  <c r="AB264" i="1"/>
  <c r="AF264" i="1" s="1"/>
  <c r="AG251" i="1"/>
  <c r="AH251" i="1"/>
  <c r="AG390" i="1"/>
  <c r="AG419" i="1"/>
  <c r="AJ282" i="1"/>
  <c r="AD269" i="1"/>
  <c r="AL269" i="1"/>
  <c r="AE274" i="1"/>
  <c r="AJ300" i="1"/>
  <c r="AA604" i="1"/>
  <c r="AF604" i="1" s="1"/>
  <c r="AL200" i="1"/>
  <c r="AJ153" i="1"/>
  <c r="AC153" i="1"/>
  <c r="AA152" i="1"/>
  <c r="AF152" i="1" s="1"/>
  <c r="AH389" i="1"/>
  <c r="AL248" i="1"/>
  <c r="AD248" i="1"/>
  <c r="AG205" i="1"/>
  <c r="AH205" i="1"/>
  <c r="AJ199" i="1"/>
  <c r="AC199" i="1"/>
  <c r="AF179" i="1"/>
  <c r="AH198" i="1"/>
  <c r="AG257" i="1"/>
  <c r="AK217" i="1"/>
  <c r="AI794" i="1"/>
  <c r="AB794" i="1"/>
  <c r="AF794" i="1" s="1"/>
  <c r="AG824" i="1"/>
  <c r="AH824" i="1"/>
  <c r="AJ797" i="1"/>
  <c r="AC797" i="1"/>
  <c r="AF771" i="1"/>
  <c r="AG798" i="1"/>
  <c r="AJ711" i="1"/>
  <c r="AC711" i="1"/>
  <c r="AG635" i="1"/>
  <c r="AI611" i="1"/>
  <c r="AB611" i="1"/>
  <c r="AF611" i="1" s="1"/>
  <c r="AJ636" i="1"/>
  <c r="AC636" i="1"/>
  <c r="AH659" i="1"/>
  <c r="AD799" i="1"/>
  <c r="AF436" i="1"/>
  <c r="AF683" i="1"/>
  <c r="AF572" i="1"/>
  <c r="AG596" i="1"/>
  <c r="AA596" i="1"/>
  <c r="AF596" i="1" s="1"/>
  <c r="AI644" i="1"/>
  <c r="AH574" i="1"/>
  <c r="AG606" i="1"/>
  <c r="AC305" i="1"/>
  <c r="AJ305" i="1"/>
  <c r="AB415" i="1"/>
  <c r="AF415" i="1" s="1"/>
  <c r="AI415" i="1"/>
  <c r="AH609" i="1"/>
  <c r="AD404" i="1"/>
  <c r="AH359" i="1"/>
  <c r="AG359" i="1"/>
  <c r="AG319" i="1"/>
  <c r="AF307" i="1"/>
  <c r="AH298" i="1"/>
  <c r="AG298" i="1"/>
  <c r="AB283" i="1"/>
  <c r="AF283" i="1" s="1"/>
  <c r="AI283" i="1"/>
  <c r="AC268" i="1"/>
  <c r="AJ268" i="1"/>
  <c r="AH197" i="1"/>
  <c r="AG197" i="1"/>
  <c r="AL319" i="1"/>
  <c r="AH284" i="1"/>
  <c r="AG269" i="1"/>
  <c r="AB269" i="1"/>
  <c r="AF269" i="1" s="1"/>
  <c r="AH192" i="1"/>
  <c r="AG192" i="1"/>
  <c r="AA192" i="1"/>
  <c r="AH351" i="1"/>
  <c r="AG282" i="1"/>
  <c r="AC604" i="1"/>
  <c r="AG200" i="1"/>
  <c r="AI200" i="1"/>
  <c r="AB200" i="1"/>
  <c r="AH153" i="1"/>
  <c r="AI152" i="1"/>
  <c r="AA389" i="1"/>
  <c r="AH248" i="1"/>
  <c r="AI236" i="1"/>
  <c r="AG264" i="1"/>
  <c r="AG16" i="1"/>
  <c r="AH275" i="1"/>
  <c r="AA198" i="1"/>
  <c r="AG391" i="1"/>
  <c r="AG297" i="1"/>
  <c r="AI16" i="1"/>
  <c r="AH16" i="1"/>
  <c r="AG362" i="1"/>
  <c r="AF15" i="1"/>
  <c r="AG227" i="1"/>
  <c r="AF833" i="1"/>
  <c r="AA824" i="1"/>
  <c r="AF824" i="1" s="1"/>
  <c r="AD797" i="1"/>
  <c r="AL797" i="1"/>
  <c r="AG837" i="1"/>
  <c r="AD802" i="1"/>
  <c r="AL802" i="1"/>
  <c r="AG714" i="1"/>
  <c r="AH714" i="1"/>
  <c r="AA714" i="1"/>
  <c r="AA710" i="1"/>
  <c r="AF710" i="1" s="1"/>
  <c r="AI689" i="1"/>
  <c r="AG673" i="1"/>
  <c r="AI673" i="1"/>
  <c r="AB673" i="1"/>
  <c r="AL640" i="1"/>
  <c r="AD640" i="1"/>
  <c r="AG792" i="1"/>
  <c r="AC611" i="1"/>
  <c r="AJ611" i="1"/>
  <c r="AF641" i="1"/>
  <c r="AG634" i="1"/>
  <c r="AA659" i="1"/>
  <c r="AF659" i="1" s="1"/>
  <c r="AL592" i="1"/>
  <c r="AD592" i="1"/>
  <c r="AG521" i="1"/>
  <c r="AG461" i="1"/>
  <c r="AB461" i="1"/>
  <c r="AF461" i="1" s="1"/>
  <c r="AI461" i="1"/>
  <c r="AG696" i="1"/>
  <c r="AA742" i="1"/>
  <c r="AF742" i="1" s="1"/>
  <c r="AB644" i="1"/>
  <c r="AF644" i="1" s="1"/>
  <c r="AG569" i="1"/>
  <c r="AA569" i="1"/>
  <c r="AG409" i="1"/>
  <c r="AB409" i="1"/>
  <c r="AF409" i="1" s="1"/>
  <c r="AG401" i="1"/>
  <c r="AB401" i="1"/>
  <c r="AF401" i="1" s="1"/>
  <c r="AI401" i="1"/>
  <c r="AG293" i="1"/>
  <c r="AH293" i="1"/>
  <c r="AA293" i="1"/>
  <c r="AF293" i="1" s="1"/>
  <c r="AG410" i="1"/>
  <c r="AL315" i="1"/>
  <c r="AD315" i="1"/>
  <c r="AG495" i="1"/>
  <c r="AG415" i="1"/>
  <c r="AH415" i="1"/>
  <c r="AA609" i="1"/>
  <c r="AF609" i="1" s="1"/>
  <c r="AG318" i="1"/>
  <c r="AB318" i="1"/>
  <c r="AL395" i="1"/>
  <c r="AH363" i="1"/>
  <c r="AH250" i="1"/>
  <c r="AG250" i="1"/>
  <c r="AA250" i="1"/>
  <c r="AG87" i="1"/>
  <c r="AG371" i="1"/>
  <c r="AA371" i="1"/>
  <c r="AF371" i="1" s="1"/>
  <c r="AH87" i="1"/>
  <c r="AG494" i="1"/>
  <c r="AA351" i="1"/>
  <c r="AF351" i="1" s="1"/>
  <c r="AG336" i="1"/>
  <c r="AG274" i="1"/>
  <c r="AA274" i="1"/>
  <c r="AF234" i="1"/>
  <c r="AI456" i="1"/>
  <c r="AE200" i="1"/>
  <c r="AJ154" i="1"/>
  <c r="AC154" i="1"/>
  <c r="AA153" i="1"/>
  <c r="AG236" i="1"/>
  <c r="AB13" i="1"/>
  <c r="AF13" i="1" s="1"/>
  <c r="AH295" i="1"/>
  <c r="AI13" i="1"/>
  <c r="AA10" i="1"/>
  <c r="AG10" i="1"/>
  <c r="AA275" i="1"/>
  <c r="AF275" i="1" s="1"/>
  <c r="AG36" i="1"/>
  <c r="AH297" i="1"/>
  <c r="AA16" i="1"/>
  <c r="AF16" i="1" s="1"/>
  <c r="AH10" i="1"/>
  <c r="AE11" i="1"/>
  <c r="AF11" i="1" s="1"/>
  <c r="AF679" i="1" l="1"/>
  <c r="AF777" i="1"/>
  <c r="AF713" i="1"/>
  <c r="AF411" i="1"/>
  <c r="AF714" i="1"/>
  <c r="AF635" i="1"/>
  <c r="AF198" i="1"/>
  <c r="AF563" i="1"/>
  <c r="AF615" i="1"/>
  <c r="AF236" i="1"/>
  <c r="AF202" i="1"/>
  <c r="AF803" i="1"/>
  <c r="AF389" i="1"/>
  <c r="AF564" i="1"/>
  <c r="AF690" i="1"/>
  <c r="AF442" i="1"/>
  <c r="AF318" i="1"/>
  <c r="AF363" i="1"/>
  <c r="AF446" i="1"/>
  <c r="AF494" i="1"/>
  <c r="AF677" i="1"/>
  <c r="AF36" i="1"/>
  <c r="AF229" i="1"/>
  <c r="AF467" i="1"/>
  <c r="AF620" i="1"/>
  <c r="AF792" i="1"/>
  <c r="AF670" i="1"/>
  <c r="AF638" i="1"/>
  <c r="AF153" i="1"/>
  <c r="AF616" i="1"/>
  <c r="AF282" i="1"/>
  <c r="AF281" i="1"/>
  <c r="AF586" i="1"/>
  <c r="AF848" i="1"/>
  <c r="AF384" i="1"/>
  <c r="AF250" i="1"/>
  <c r="AF284" i="1"/>
  <c r="AF573" i="1"/>
  <c r="AF377" i="1"/>
  <c r="AF712" i="1"/>
  <c r="AF538" i="1"/>
  <c r="AF612" i="1"/>
  <c r="AF172" i="1"/>
  <c r="AF802" i="1"/>
  <c r="AF425" i="1"/>
  <c r="AF636" i="1"/>
  <c r="AF706" i="1"/>
  <c r="AF750" i="1"/>
  <c r="AF588" i="1"/>
  <c r="AF387" i="1"/>
  <c r="AF575" i="1"/>
  <c r="AF711" i="1"/>
  <c r="AF274" i="1"/>
  <c r="AF569" i="1"/>
  <c r="AF408" i="1"/>
  <c r="AF10" i="1"/>
  <c r="AF305" i="1"/>
  <c r="AF825" i="1"/>
  <c r="AF673" i="1"/>
  <c r="AF200" i="1"/>
  <c r="AF192" i="1"/>
  <c r="AF778" i="1"/>
  <c r="AF600" i="1"/>
  <c r="AF574" i="1"/>
  <c r="AF593" i="1"/>
  <c r="AF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5" authorId="0" shapeId="0" xr:uid="{30A2C7E4-36F4-E14A-A03B-2F1B49524695}">
      <text>
        <r>
          <rPr>
            <sz val="10"/>
            <color rgb="FF000000"/>
            <rFont val="Calibri"/>
            <family val="2"/>
            <scheme val="minor"/>
          </rPr>
          <t>======
ID#AAABBDvrTmQ
Gavin Mudd    (2023-11-22 00:03:27)
- data taken from website 2016-05-01</t>
        </r>
      </text>
    </comment>
    <comment ref="I15" authorId="0" shapeId="0" xr:uid="{26876C81-60DD-4741-B96B-F88BF9E92AFE}">
      <text>
        <r>
          <rPr>
            <sz val="10"/>
            <color rgb="FF000000"/>
            <rFont val="Calibri"/>
            <family val="2"/>
            <scheme val="minor"/>
          </rPr>
          <t>======
ID#AAABBDvrTrY
Gavin Mudd    (2023-11-22 00:03:27)
- data taken from website 2016-05-01</t>
        </r>
      </text>
    </comment>
    <comment ref="J15" authorId="0" shapeId="0" xr:uid="{839155BF-530D-1440-9708-DE51898B443B}">
      <text>
        <r>
          <rPr>
            <sz val="10"/>
            <color rgb="FF000000"/>
            <rFont val="Calibri"/>
            <family val="2"/>
            <scheme val="minor"/>
          </rPr>
          <t>======
ID#AAABBDvrTkU
Gavin Mudd    (2023-11-22 00:03:26)
- data taken from website 2016-05-01</t>
        </r>
      </text>
    </comment>
    <comment ref="K15" authorId="0" shapeId="0" xr:uid="{E2711FAF-7DCA-D34D-8993-E82E1AE93414}">
      <text>
        <r>
          <rPr>
            <sz val="10"/>
            <color rgb="FF000000"/>
            <rFont val="Arial"/>
            <family val="2"/>
          </rPr>
          <t xml:space="preserve">======
</t>
        </r>
        <r>
          <rPr>
            <sz val="10"/>
            <color rgb="FF000000"/>
            <rFont val="Arial"/>
            <family val="2"/>
          </rPr>
          <t xml:space="preserve">ID#AAABBDvrTug
</t>
        </r>
        <r>
          <rPr>
            <sz val="10"/>
            <color rgb="FF000000"/>
            <rFont val="Arial"/>
            <family val="2"/>
          </rPr>
          <t xml:space="preserve">Gavin Mudd    (2023-11-22 00:03:27)
</t>
        </r>
        <r>
          <rPr>
            <sz val="10"/>
            <color rgb="FF000000"/>
            <rFont val="Arial"/>
            <family val="2"/>
          </rPr>
          <t>- data taken from website 2016-05-01</t>
        </r>
      </text>
    </comment>
    <comment ref="L15" authorId="0" shapeId="0" xr:uid="{E5D282B4-8AF6-D948-B233-85B112DA35BE}">
      <text>
        <r>
          <rPr>
            <sz val="10"/>
            <color rgb="FF000000"/>
            <rFont val="Calibri"/>
            <family val="2"/>
            <scheme val="minor"/>
          </rPr>
          <t>======
ID#AAABBDvrTn4
Gavin Mudd    (2023-11-22 00:03:27)
- data taken from website 2016-05-01</t>
        </r>
      </text>
    </comment>
    <comment ref="M15" authorId="0" shapeId="0" xr:uid="{969387F9-2DD6-1F43-9261-CB988839592E}">
      <text>
        <r>
          <rPr>
            <sz val="10"/>
            <color rgb="FF000000"/>
            <rFont val="Calibri"/>
            <family val="2"/>
            <scheme val="minor"/>
          </rPr>
          <t>======
ID#AAABBDvrTpQ
Gavin Mudd    (2023-11-22 00:03:27)
- data taken from website 2016-05-01</t>
        </r>
      </text>
    </comment>
    <comment ref="K23" authorId="0" shapeId="0" xr:uid="{9A05B8D2-BEA1-9F4E-8987-16622C6EBD70}">
      <text>
        <r>
          <rPr>
            <sz val="10"/>
            <color rgb="FF000000"/>
            <rFont val="Arial"/>
            <family val="2"/>
          </rPr>
          <t xml:space="preserve">======
</t>
        </r>
        <r>
          <rPr>
            <sz val="10"/>
            <color rgb="FF000000"/>
            <rFont val="Arial"/>
            <family val="2"/>
          </rPr>
          <t xml:space="preserve">ID#AAABBDvrTpc
</t>
        </r>
        <r>
          <rPr>
            <sz val="10"/>
            <color rgb="FF000000"/>
            <rFont val="Arial"/>
            <family val="2"/>
          </rPr>
          <t xml:space="preserve">Gavin Mudd    (2023-11-22 00:03:27)
</t>
        </r>
        <r>
          <rPr>
            <sz val="10"/>
            <color rgb="FF000000"/>
            <rFont val="Arial"/>
            <family val="2"/>
          </rPr>
          <t>Based on as-milled ore.</t>
        </r>
      </text>
    </comment>
    <comment ref="L23" authorId="0" shapeId="0" xr:uid="{B5007C7B-7D1D-7440-99B4-14527D23BB60}">
      <text>
        <r>
          <rPr>
            <sz val="10"/>
            <color rgb="FF000000"/>
            <rFont val="Calibri"/>
            <family val="2"/>
            <scheme val="minor"/>
          </rPr>
          <t>======
ID#AAABBDvrTl8
Gavin Mudd    (2023-11-22 00:03:27)
Based on as-milled ore and assuming 50% recovery.</t>
        </r>
      </text>
    </comment>
    <comment ref="M23" authorId="0" shapeId="0" xr:uid="{1AAC88E6-837C-6545-ABE0-1693054E580F}">
      <text>
        <r>
          <rPr>
            <sz val="10"/>
            <color rgb="FF000000"/>
            <rFont val="Calibri"/>
            <family val="2"/>
            <scheme val="minor"/>
          </rPr>
          <t>======
ID#AAABBDvrTi8
Gavin Mudd    (2023-11-22 00:03:26)
Based on as-milled ore and assuming 50% recovery.</t>
        </r>
      </text>
    </comment>
    <comment ref="F24" authorId="0" shapeId="0" xr:uid="{5636D2CB-033A-3B42-BCE3-30D0A81DB514}">
      <text>
        <r>
          <rPr>
            <sz val="10"/>
            <color rgb="FF000000"/>
            <rFont val="Calibri"/>
            <family val="2"/>
            <scheme val="minor"/>
          </rPr>
          <t>======
ID#AAABBDvrTkk
Gavin Mudd    (2023-11-22 00:03:26)
formerly Compass Resources</t>
        </r>
      </text>
    </comment>
    <comment ref="G52" authorId="0" shapeId="0" xr:uid="{CFDEF10A-AE49-E24F-9C2D-285A72A93ABD}">
      <text>
        <r>
          <rPr>
            <sz val="10"/>
            <color rgb="FF000000"/>
            <rFont val="Calibri"/>
            <family val="2"/>
            <scheme val="minor"/>
          </rPr>
          <t>======
ID#AAABBDvrTlA
Gavin Mudd    (2023-11-22 00:03:26)
%Cu 2009 CBH data; Mt ore &amp; g/t Ag from Couer Mining Tech Rep 2013-04</t>
        </r>
      </text>
    </comment>
    <comment ref="F55" authorId="0" shapeId="0" xr:uid="{68361B1B-3B28-3441-836A-0915CAA2787C}">
      <text>
        <r>
          <rPr>
            <sz val="10"/>
            <color rgb="FF000000"/>
            <rFont val="Calibri"/>
            <family val="2"/>
            <scheme val="minor"/>
          </rPr>
          <t>======
ID#AAABBDvrTrM
Gavin Mudd    (2023-11-22 00:03:27)
formerly Stonehenge Metals</t>
        </r>
      </text>
    </comment>
    <comment ref="F63" authorId="0" shapeId="0" xr:uid="{DB3E65D9-BF1B-A641-908F-7A4F8765BA01}">
      <text>
        <r>
          <rPr>
            <sz val="10"/>
            <color rgb="FF000000"/>
            <rFont val="Calibri"/>
            <family val="2"/>
            <scheme val="minor"/>
          </rPr>
          <t>======
ID#AAABBDvrTmk
Gavin Mudd    (2023-11-22 00:03:27)
formerly Bass Metals</t>
        </r>
      </text>
    </comment>
    <comment ref="F66" authorId="0" shapeId="0" xr:uid="{42A8F636-C67B-AB47-BE34-9BF86D95AAA2}">
      <text>
        <r>
          <rPr>
            <sz val="10"/>
            <color rgb="FF000000"/>
            <rFont val="Calibri"/>
            <family val="2"/>
            <scheme val="minor"/>
          </rPr>
          <t>======
ID#AAABBDvrTs0
Gavin Mudd    (2023-11-22 00:03:27)
formerly Copper Strike</t>
        </r>
      </text>
    </comment>
    <comment ref="G66" authorId="0" shapeId="0" xr:uid="{680200C3-3CB6-1843-8B7B-7B7CE73CA393}">
      <text>
        <r>
          <rPr>
            <sz val="10"/>
            <color rgb="FF000000"/>
            <rFont val="Calibri"/>
            <family val="2"/>
            <scheme val="minor"/>
          </rPr>
          <t>======
ID#AAABBDvrTuQ
Gavin Mudd    (2023-11-22 00:03:27)
(2011 CuStrike data</t>
        </r>
      </text>
    </comment>
    <comment ref="G68" authorId="0" shapeId="0" xr:uid="{A5095789-5455-3C4C-A51A-C2E000DD85E1}">
      <text>
        <r>
          <rPr>
            <sz val="10"/>
            <color rgb="FF000000"/>
            <rFont val="Calibri"/>
            <family val="2"/>
            <scheme val="minor"/>
          </rPr>
          <t>======
ID#AAABBDvrTpI
Gavin Mudd    (2023-11-22 00:03:27)
some data NT DME Fact Sheet (2013-09)</t>
        </r>
      </text>
    </comment>
    <comment ref="F104" authorId="0" shapeId="0" xr:uid="{2818FEC0-F024-CE47-95BF-50A7AE97E3E2}">
      <text>
        <r>
          <rPr>
            <sz val="10"/>
            <color rgb="FF000000"/>
            <rFont val="Calibri"/>
            <family val="2"/>
            <scheme val="minor"/>
          </rPr>
          <t>======
ID#AAABBDvrTm4
Gavin Mudd    (2023-11-22 00:03:27)
formerly Abra Mining</t>
        </r>
      </text>
    </comment>
    <comment ref="G108" authorId="0" shapeId="0" xr:uid="{7E37BE52-A28B-554A-B7CA-7E815386D10C}">
      <text>
        <r>
          <rPr>
            <sz val="10"/>
            <color rgb="FF000000"/>
            <rFont val="Calibri"/>
            <family val="2"/>
            <scheme val="minor"/>
          </rPr>
          <t>======
ID#AAABBDvrTfc
Gavin Mudd    (2023-11-22 00:03:26)
also media release July 2013</t>
        </r>
      </text>
    </comment>
    <comment ref="I108" authorId="0" shapeId="0" xr:uid="{76F0EF6C-47E4-BC4D-AEFF-9BFFFD850932}">
      <text>
        <r>
          <rPr>
            <sz val="10"/>
            <color rgb="FF000000"/>
            <rFont val="Calibri"/>
            <family val="2"/>
            <scheme val="minor"/>
          </rPr>
          <t>======
ID#AAABBDvrTiU
Gavin Mudd    (2023-11-22 00:03:26)
- older 2012 data since 2013 resource excluded Cu, Pb</t>
        </r>
      </text>
    </comment>
    <comment ref="L108" authorId="0" shapeId="0" xr:uid="{97E661E8-60BE-7D4A-AF5A-35A84660DFF9}">
      <text>
        <r>
          <rPr>
            <sz val="10"/>
            <color rgb="FF000000"/>
            <rFont val="Calibri"/>
            <family val="2"/>
            <scheme val="minor"/>
          </rPr>
          <t>======
ID#AAABBDvrTgw
Gavin Mudd    (2023-11-22 00:03:26)
- older 2012 data since 2013 resource excluded Cu, Pb</t>
        </r>
      </text>
    </comment>
    <comment ref="F122" authorId="0" shapeId="0" xr:uid="{8B383AA0-79CC-A444-ACEF-8B4E7156CFA9}">
      <text>
        <r>
          <rPr>
            <sz val="10"/>
            <color rgb="FF000000"/>
            <rFont val="Calibri"/>
            <family val="2"/>
            <scheme val="minor"/>
          </rPr>
          <t>======
ID#AAABBDvrTlg
Gavin Mudd    (2023-11-22 00:03:26)
formerly Copper Strike</t>
        </r>
      </text>
    </comment>
    <comment ref="G122" authorId="0" shapeId="0" xr:uid="{A4327E56-C9EA-D44A-AE19-FF3EB699E8EE}">
      <text>
        <r>
          <rPr>
            <sz val="10"/>
            <color rgb="FF000000"/>
            <rFont val="Calibri"/>
            <family val="2"/>
            <scheme val="minor"/>
          </rPr>
          <t>======
ID#AAABBDvrTms
Gavin Mudd    (2023-11-22 00:03:27)
(2011 CuStrike data</t>
        </r>
      </text>
    </comment>
    <comment ref="I131" authorId="0" shapeId="0" xr:uid="{D9C3C86A-078E-024A-B4D9-3D8D0749E7EA}">
      <text>
        <r>
          <rPr>
            <sz val="10"/>
            <color rgb="FF000000"/>
            <rFont val="Calibri"/>
            <family val="2"/>
            <scheme val="minor"/>
          </rPr>
          <t>======
ID#AAABBDvrTns
Gavin Mudd    (2023-11-22 00:03:27)
0,7% Pb in 2012, not reported in 2013 so approximated by ratio from Cu &amp; Zn grades in 2012 and 2013 ...</t>
        </r>
      </text>
    </comment>
    <comment ref="A231" authorId="0" shapeId="0" xr:uid="{8AD84FF2-FA66-7E4F-B59D-612ECC9EA8FB}">
      <text>
        <r>
          <rPr>
            <sz val="10"/>
            <color rgb="FF000000"/>
            <rFont val="Calibri"/>
            <family val="2"/>
            <scheme val="minor"/>
          </rPr>
          <t>======
ID#AAABBDvrTqE
Gavin Mudd    (2023-11-22 00:03:27)
- Estimated remaining resource based on data from Trettin (1991), Geology Innuitian Arctic Greenland</t>
        </r>
      </text>
    </comment>
    <comment ref="H231" authorId="0" shapeId="0" xr:uid="{4FF84A7B-2001-324D-9B9D-C3C82CB29934}">
      <text>
        <r>
          <rPr>
            <sz val="10"/>
            <color rgb="FF000000"/>
            <rFont val="Calibri"/>
            <family val="2"/>
            <scheme val="minor"/>
          </rPr>
          <t>======
ID#AAABBDvrTgY
Gavin Mudd    (2023-11-22 00:03:26)
- Estimated remaining resource based on data from Trettin (1991), Geology Innuitian Arctic Greenland</t>
        </r>
      </text>
    </comment>
    <comment ref="J231" authorId="0" shapeId="0" xr:uid="{C4FE050C-0254-8C41-A765-94A34D54DF09}">
      <text>
        <r>
          <rPr>
            <sz val="10"/>
            <color rgb="FF000000"/>
            <rFont val="Calibri"/>
            <family val="2"/>
            <scheme val="minor"/>
          </rPr>
          <t>======
ID#AAABBDvrTiw
Gavin Mudd    (2023-11-22 00:03:26)
- Estimated remaining resource based on data from Trettin (1991), Geology Innuitian Arctic Greenland</t>
        </r>
      </text>
    </comment>
    <comment ref="A238" authorId="0" shapeId="0" xr:uid="{60AB3C16-38E2-A643-977B-16C9256A49AE}">
      <text>
        <r>
          <rPr>
            <sz val="10"/>
            <color rgb="FF000000"/>
            <rFont val="Calibri"/>
            <family val="2"/>
            <scheme val="minor"/>
          </rPr>
          <t>======
ID#AAABBDvrTs4
Gavin Mudd    (2023-11-22 00:03:27)
- Estimated remaining resource based on data from Goodfellow &amp; Lydon (2007), Min Deps Canada.</t>
        </r>
      </text>
    </comment>
    <comment ref="H238" authorId="0" shapeId="0" xr:uid="{3E175216-B9F3-7F45-BFEB-30B132CC16A2}">
      <text>
        <r>
          <rPr>
            <sz val="10"/>
            <color rgb="FF000000"/>
            <rFont val="Calibri"/>
            <family val="2"/>
            <scheme val="minor"/>
          </rPr>
          <t>======
ID#AAABBDvrThc
Gavin Mudd    (2023-11-22 00:03:26)
- Estimated remaining resource based on data from Goodfellow &amp; Lydon (2007), Min Deps Canada.</t>
        </r>
      </text>
    </comment>
    <comment ref="I238" authorId="0" shapeId="0" xr:uid="{46334DB3-CCC5-B649-B7D1-06F2095F4B63}">
      <text>
        <r>
          <rPr>
            <sz val="10"/>
            <color rgb="FF000000"/>
            <rFont val="Calibri"/>
            <family val="2"/>
            <scheme val="minor"/>
          </rPr>
          <t>======
ID#AAABBDvrTj8
Gavin Mudd    (2023-11-22 00:03:26)
- Estimated remaining resource based on data from Goodfellow &amp; Lydon (2007), Min Deps Canada.</t>
        </r>
      </text>
    </comment>
    <comment ref="J238" authorId="0" shapeId="0" xr:uid="{CE265298-1490-EE47-93C1-9480CE498CB7}">
      <text>
        <r>
          <rPr>
            <sz val="10"/>
            <color rgb="FF000000"/>
            <rFont val="Calibri"/>
            <family val="2"/>
            <scheme val="minor"/>
          </rPr>
          <t>======
ID#AAABBDvrTjI
Gavin Mudd    (2023-11-22 00:03:26)
- Estimated remaining resource based on data from Goodfellow &amp; Lydon (2007), Min Deps Canada.</t>
        </r>
      </text>
    </comment>
    <comment ref="K238" authorId="0" shapeId="0" xr:uid="{2E4DDBDB-650F-CA41-88AE-62D794601FA7}">
      <text>
        <r>
          <rPr>
            <sz val="10"/>
            <color rgb="FF000000"/>
            <rFont val="Calibri"/>
            <family val="2"/>
            <scheme val="minor"/>
          </rPr>
          <t>======
ID#AAABBDvrTpk
Gavin Mudd    (2023-11-22 00:03:27)
- Estimated remaining resource based on data from Goodfellow &amp; Lydon (2007), Min Deps Canada.</t>
        </r>
      </text>
    </comment>
    <comment ref="K293" authorId="0" shapeId="0" xr:uid="{600AA8D3-B6F4-CE4B-9466-5DE30443B566}">
      <text>
        <r>
          <rPr>
            <sz val="10"/>
            <color rgb="FF000000"/>
            <rFont val="Calibri"/>
            <family val="2"/>
            <scheme val="minor"/>
          </rPr>
          <t>======
ID#AAABBDvrTgI
Gavin Mudd    (2023-11-22 00:03:26)
- silver grade from Yukon Zinc profile.</t>
        </r>
      </text>
    </comment>
    <comment ref="A296" authorId="0" shapeId="0" xr:uid="{40BBF65D-52E3-DF45-AECA-8F45A0BFE338}">
      <text>
        <r>
          <rPr>
            <sz val="10"/>
            <color rgb="FF000000"/>
            <rFont val="Calibri"/>
            <family val="2"/>
            <scheme val="minor"/>
          </rPr>
          <t>======
ID#AAABBDvrTj0
Gavin Mudd    (2023-11-22 00:03:26)
- Estimated remaining resource based on data from Goodfellow &amp; Lydon (2007), Min Deps Canada.</t>
        </r>
      </text>
    </comment>
    <comment ref="H296" authorId="0" shapeId="0" xr:uid="{8939FECA-7BB5-B54E-A751-881E4E4ACFA4}">
      <text>
        <r>
          <rPr>
            <sz val="10"/>
            <color rgb="FF000000"/>
            <rFont val="Calibri"/>
            <family val="2"/>
            <scheme val="minor"/>
          </rPr>
          <t>======
ID#AAABBDvrTsc
Gavin Mudd    (2023-11-22 00:03:27)
- Estimated remaining resource based on data from Goodfellow &amp; Lydon (2007), Min Deps Canada.</t>
        </r>
      </text>
    </comment>
    <comment ref="J296" authorId="0" shapeId="0" xr:uid="{4CFD83B4-98B7-C54C-8022-40BD526451CA}">
      <text>
        <r>
          <rPr>
            <sz val="10"/>
            <color rgb="FF000000"/>
            <rFont val="Calibri"/>
            <family val="2"/>
            <scheme val="minor"/>
          </rPr>
          <t>======
ID#AAABBDvrTqo
Gavin Mudd    (2023-11-22 00:03:27)
- Estimated remaining resource based on data from Goodfellow &amp; Lydon (2007), Min Deps Canada.</t>
        </r>
      </text>
    </comment>
    <comment ref="A313" authorId="0" shapeId="0" xr:uid="{3BE16D18-05AF-0B40-A115-14FF49B9A8EA}">
      <text>
        <r>
          <rPr>
            <sz val="10"/>
            <color rgb="FF000000"/>
            <rFont val="Calibri"/>
            <family val="2"/>
            <scheme val="minor"/>
          </rPr>
          <t>======
ID#AAABBDvrTgo
Gavin Mudd    (2023-11-22 00:03:26)
- Estimated remaining resource based on data from Goodfellow &amp; Lydon (2007), Min Deps Canada.</t>
        </r>
      </text>
    </comment>
    <comment ref="A321" authorId="0" shapeId="0" xr:uid="{94D63E14-C9D6-F549-B369-0D6B787A4FE2}">
      <text>
        <r>
          <rPr>
            <sz val="10"/>
            <color rgb="FF000000"/>
            <rFont val="Calibri"/>
            <family val="2"/>
            <scheme val="minor"/>
          </rPr>
          <t>======
ID#AAABBDvrTjo
Gavin Mudd    (2023-11-22 00:03:26)
- Estimated remaining resource based on data from Paradis et al (2007), Min Deps Canada.</t>
        </r>
      </text>
    </comment>
    <comment ref="H321" authorId="0" shapeId="0" xr:uid="{413D2058-F291-464B-9F39-549CC718B442}">
      <text>
        <r>
          <rPr>
            <sz val="10"/>
            <color rgb="FF000000"/>
            <rFont val="Calibri"/>
            <family val="2"/>
            <scheme val="minor"/>
          </rPr>
          <t>======
ID#AAABBDvrTqI
Gavin Mudd    (2023-11-22 00:03:27)
- Estimated remaining resource based on data from Paradis et al (2007), Min Deps Canada.</t>
        </r>
      </text>
    </comment>
    <comment ref="I321" authorId="0" shapeId="0" xr:uid="{0F4A2C39-FAA7-8D43-9239-A99255298ACB}">
      <text>
        <r>
          <rPr>
            <sz val="10"/>
            <color rgb="FF000000"/>
            <rFont val="Calibri"/>
            <family val="2"/>
            <scheme val="minor"/>
          </rPr>
          <t>======
ID#AAABBDvrTss
Gavin Mudd    (2023-11-22 00:03:27)
- Estimated remaining resource based on data from Paradis et al (2007), Min Deps Canada.
- %Pb assumed ...</t>
        </r>
      </text>
    </comment>
    <comment ref="J321" authorId="0" shapeId="0" xr:uid="{2D9B3F17-28A0-CD4C-B086-42EBE4B10A7B}">
      <text>
        <r>
          <rPr>
            <sz val="10"/>
            <color rgb="FF000000"/>
            <rFont val="Calibri"/>
            <family val="2"/>
            <scheme val="minor"/>
          </rPr>
          <t>======
ID#AAABBDvrTqQ
Gavin Mudd    (2023-11-22 00:03:27)
- Estimated remaining resource based on data from Paradis et al (2007), Min Deps Canada.</t>
        </r>
      </text>
    </comment>
    <comment ref="K321" authorId="0" shapeId="0" xr:uid="{D06B7F1F-2F80-7642-8E9E-A63CB96078C9}">
      <text>
        <r>
          <rPr>
            <sz val="10"/>
            <color rgb="FF000000"/>
            <rFont val="Calibri"/>
            <family val="2"/>
            <scheme val="minor"/>
          </rPr>
          <t>======
ID#AAABBDvrTfw
Gavin Mudd    (2023-11-22 00:03:26)
- Estimated remaining resource based on data from Paradis et al (2007), Min Deps Canada.
- g/t Ag assumed ...</t>
        </r>
      </text>
    </comment>
    <comment ref="H330" authorId="0" shapeId="0" xr:uid="{7E9A9747-F5F1-9549-8877-AE64E666C613}">
      <text>
        <r>
          <rPr>
            <sz val="10"/>
            <color rgb="FF000000"/>
            <rFont val="Calibri"/>
            <family val="2"/>
            <scheme val="minor"/>
          </rPr>
          <t>======
ID#AAABBDvrTiI
Gavin Mudd    (2023-11-22 00:03:26)
adjusted for 173 kt mining.</t>
        </r>
      </text>
    </comment>
    <comment ref="I332" authorId="0" shapeId="0" xr:uid="{25DD35E3-9ED5-6E4E-A5CA-646FFBA137ED}">
      <text>
        <r>
          <rPr>
            <sz val="10"/>
            <color rgb="FF000000"/>
            <rFont val="Calibri"/>
            <family val="2"/>
            <scheme val="minor"/>
          </rPr>
          <t>======
ID#AAABBDvrTjM
Gavin Mudd    (2023-11-22 00:03:26)
- 10% Pb+Zn - grades split 50-50% ...</t>
        </r>
      </text>
    </comment>
    <comment ref="J332" authorId="0" shapeId="0" xr:uid="{2399DA30-1EE0-0742-8392-63B7EA84390D}">
      <text>
        <r>
          <rPr>
            <sz val="10"/>
            <color rgb="FF000000"/>
            <rFont val="Calibri"/>
            <family val="2"/>
            <scheme val="minor"/>
          </rPr>
          <t>======
ID#AAABBDvrTmw
Gavin Mudd    (2023-11-22 00:03:27)
- 10% Pb+Zn - grades split 50-50% ...</t>
        </r>
      </text>
    </comment>
    <comment ref="A334" authorId="0" shapeId="0" xr:uid="{5EDF61A6-4B14-8D48-84B7-450CF13BB911}">
      <text>
        <r>
          <rPr>
            <sz val="10"/>
            <color rgb="FF000000"/>
            <rFont val="Calibri"/>
            <family val="2"/>
            <scheme val="minor"/>
          </rPr>
          <t>======
ID#AAABBDvrTf4
Gavin Mudd    (2023-11-22 00:03:26)
- Estimated remaining resource based on data from Paradis et al (2007), Min Deps Canada.</t>
        </r>
      </text>
    </comment>
    <comment ref="H334" authorId="0" shapeId="0" xr:uid="{344AA3EC-A191-5B4D-BA9F-8934CC32A356}">
      <text>
        <r>
          <rPr>
            <sz val="10"/>
            <color rgb="FF000000"/>
            <rFont val="Calibri"/>
            <family val="2"/>
            <scheme val="minor"/>
          </rPr>
          <t>======
ID#AAABBDvrTmo
Gavin Mudd    (2023-11-22 00:03:27)
- Estimated remaining resource based on data from Paradis et al (2007), Min Deps Canada.</t>
        </r>
      </text>
    </comment>
    <comment ref="I334" authorId="0" shapeId="0" xr:uid="{73952006-D1D7-4648-8094-0F3913C5ED12}">
      <text>
        <r>
          <rPr>
            <sz val="10"/>
            <color rgb="FF000000"/>
            <rFont val="Calibri"/>
            <family val="2"/>
            <scheme val="minor"/>
          </rPr>
          <t>======
ID#AAABBDvrTtU
Gavin Mudd    (2023-11-22 00:03:27)
- Estimated remaining resource based on data from Paradis et al (2007), Min Deps Canada.</t>
        </r>
      </text>
    </comment>
    <comment ref="J334" authorId="0" shapeId="0" xr:uid="{8DE4C1DD-E4DA-ED47-BD2A-585C44245A5F}">
      <text>
        <r>
          <rPr>
            <sz val="10"/>
            <color rgb="FF000000"/>
            <rFont val="Calibri"/>
            <family val="2"/>
            <scheme val="minor"/>
          </rPr>
          <t>======
ID#AAABBDvrTnw
Gavin Mudd    (2023-11-22 00:03:27)
- Estimated remaining resource based on data from Paradis et al (2007), Min Deps Canada.</t>
        </r>
      </text>
    </comment>
    <comment ref="I344" authorId="0" shapeId="0" xr:uid="{B6C64C38-2E63-F34E-BACB-72C3A3673427}">
      <text>
        <r>
          <rPr>
            <sz val="10"/>
            <color rgb="FF000000"/>
            <rFont val="Calibri"/>
            <family val="2"/>
            <scheme val="minor"/>
          </rPr>
          <t>======
ID#AAABBDvrTmA
Gavin Mudd    (2023-11-22 00:03:27)
- 5% Pb+Zn
- %Pb grade assumed as 1/3 of combined grade.</t>
        </r>
      </text>
    </comment>
    <comment ref="J344" authorId="0" shapeId="0" xr:uid="{C3044E78-2663-AE42-A6A6-4643099BCE6E}">
      <text>
        <r>
          <rPr>
            <sz val="10"/>
            <color rgb="FF000000"/>
            <rFont val="Calibri"/>
            <family val="2"/>
            <scheme val="minor"/>
          </rPr>
          <t>======
ID#AAABBDvrTsU
Gavin Mudd    (2023-11-22 00:03:27)
- 5% Pb+Zn
- %Pb grade assumed as 1/3 of combined grade.</t>
        </r>
      </text>
    </comment>
    <comment ref="A377" authorId="0" shapeId="0" xr:uid="{1B21315B-AB28-8448-99FE-52E8A21733D1}">
      <text>
        <r>
          <rPr>
            <sz val="10"/>
            <color rgb="FF000000"/>
            <rFont val="Calibri"/>
            <family val="2"/>
            <scheme val="minor"/>
          </rPr>
          <t>======
ID#AAABBDvrTp8
Gavin Mudd    (2023-11-22 00:03:27)
- Estimated remaining resource based on data from Goodfellow &amp; Lydon (2007), Min Deps Canada.</t>
        </r>
      </text>
    </comment>
    <comment ref="H377" authorId="0" shapeId="0" xr:uid="{5F81906F-5AA5-7440-859B-7C7C9729D77E}">
      <text>
        <r>
          <rPr>
            <sz val="10"/>
            <color rgb="FF000000"/>
            <rFont val="Calibri"/>
            <family val="2"/>
            <scheme val="minor"/>
          </rPr>
          <t>======
ID#AAABBDvrTio
Gavin Mudd    (2023-11-22 00:03:26)
- Estimated remaining resource based on data from Goodfellow &amp; Lydon (2007), Min Deps Canada.</t>
        </r>
      </text>
    </comment>
    <comment ref="I377" authorId="0" shapeId="0" xr:uid="{78D633D4-BF92-B74F-BC99-BB4FBADF557D}">
      <text>
        <r>
          <rPr>
            <sz val="10"/>
            <color rgb="FF000000"/>
            <rFont val="Calibri"/>
            <family val="2"/>
            <scheme val="minor"/>
          </rPr>
          <t>======
ID#AAABBDvrTqU
Gavin Mudd    (2023-11-22 00:03:27)
- Estimated remaining resource based on data from Goodfellow &amp; Lydon (2007), Min Deps Canada.</t>
        </r>
      </text>
    </comment>
    <comment ref="J377" authorId="0" shapeId="0" xr:uid="{F417C158-D1C0-D249-9255-34C286275B8B}">
      <text>
        <r>
          <rPr>
            <sz val="10"/>
            <color rgb="FF000000"/>
            <rFont val="Calibri"/>
            <family val="2"/>
            <scheme val="minor"/>
          </rPr>
          <t>======
ID#AAABBDvrTv0
Gavin Mudd    (2023-11-22 00:03:27)
- Estimated remaining resource based on data from Goodfellow &amp; Lydon (2007), Min Deps Canada.</t>
        </r>
      </text>
    </comment>
    <comment ref="K377" authorId="0" shapeId="0" xr:uid="{DBF89445-2F02-044C-A0BF-14EF9BB91A85}">
      <text>
        <r>
          <rPr>
            <sz val="10"/>
            <color rgb="FF000000"/>
            <rFont val="Calibri"/>
            <family val="2"/>
            <scheme val="minor"/>
          </rPr>
          <t>======
ID#AAABBDvrTuM
Gavin Mudd    (2023-11-22 00:03:27)
- Estimated remaining resource based on data from Goodfellow &amp; Lydon (2007), Min Deps Canada.</t>
        </r>
      </text>
    </comment>
    <comment ref="H404" authorId="0" shapeId="0" xr:uid="{F1812851-7473-4140-AA5A-37340AB271B0}">
      <text>
        <r>
          <rPr>
            <sz val="10"/>
            <color rgb="FF000000"/>
            <rFont val="Calibri"/>
            <family val="2"/>
            <scheme val="minor"/>
          </rPr>
          <t>======
ID#AAABBDvrTgQ
Gavin Mudd    (2023-11-22 00:03:26)
- older 2007 data only, mining began in 2012.</t>
        </r>
      </text>
    </comment>
    <comment ref="I404" authorId="0" shapeId="0" xr:uid="{00C4C40D-B070-3241-9958-431566DBE71E}">
      <text>
        <r>
          <rPr>
            <sz val="10"/>
            <color rgb="FF000000"/>
            <rFont val="Calibri"/>
            <family val="2"/>
            <scheme val="minor"/>
          </rPr>
          <t>======
ID#AAABBDvrTik
Gavin Mudd    (2023-11-22 00:03:26)
- older 2007 data only, mining began in 2012.</t>
        </r>
      </text>
    </comment>
    <comment ref="J404" authorId="0" shapeId="0" xr:uid="{CA6FAC1B-9243-0F4A-94ED-BF1902A53C43}">
      <text>
        <r>
          <rPr>
            <sz val="10"/>
            <color rgb="FF000000"/>
            <rFont val="Calibri"/>
            <family val="2"/>
            <scheme val="minor"/>
          </rPr>
          <t>======
ID#AAABBDvrTrs
Gavin Mudd    (2023-11-22 00:03:27)
- older 2007 data only, mining began in 2012.</t>
        </r>
      </text>
    </comment>
    <comment ref="K404" authorId="0" shapeId="0" xr:uid="{0E22E1BB-828D-FE4F-9F97-E1A61FBF62B1}">
      <text>
        <r>
          <rPr>
            <sz val="10"/>
            <color rgb="FF000000"/>
            <rFont val="Calibri"/>
            <family val="2"/>
            <scheme val="minor"/>
          </rPr>
          <t>======
ID#AAABBDvrTqg
Gavin Mudd    (2023-11-22 00:03:27)
- older 2007 data only, mining began in 2012.</t>
        </r>
      </text>
    </comment>
    <comment ref="L404" authorId="0" shapeId="0" xr:uid="{E1218BE5-53D5-9040-B01D-7F88117877A1}">
      <text>
        <r>
          <rPr>
            <sz val="10"/>
            <color rgb="FF000000"/>
            <rFont val="Calibri"/>
            <family val="2"/>
            <scheme val="minor"/>
          </rPr>
          <t>======
ID#AAABBDvrTng
Gavin Mudd    (2023-11-22 00:03:27)
- older 2007 data only, mining began in 2012.</t>
        </r>
      </text>
    </comment>
    <comment ref="M404" authorId="0" shapeId="0" xr:uid="{B353EE32-6734-1448-BB23-650C2AC2094C}">
      <text>
        <r>
          <rPr>
            <sz val="10"/>
            <color rgb="FF000000"/>
            <rFont val="Calibri"/>
            <family val="2"/>
            <scheme val="minor"/>
          </rPr>
          <t>======
ID#AAABBDvrTpg
Gavin Mudd    (2023-11-22 00:03:27)
- older 2007 data only, mining began in 2012.</t>
        </r>
      </text>
    </comment>
    <comment ref="I438" authorId="0" shapeId="0" xr:uid="{0B1EFBDE-E221-884E-A734-ED0465B22215}">
      <text>
        <r>
          <rPr>
            <sz val="10"/>
            <color rgb="FF000000"/>
            <rFont val="Calibri"/>
            <family val="2"/>
            <scheme val="minor"/>
          </rPr>
          <t>======
ID#AAABBDvrTlw
Gavin Mudd    (2023-11-22 00:03:27)
- assume 1/3 of 0.39% Pb+Zn is Pb ...</t>
        </r>
      </text>
    </comment>
    <comment ref="J438" authorId="0" shapeId="0" xr:uid="{6614FC85-DFAC-C24B-BB33-75179FA8F5D2}">
      <text>
        <r>
          <rPr>
            <sz val="10"/>
            <color rgb="FF000000"/>
            <rFont val="Calibri"/>
            <family val="2"/>
            <scheme val="minor"/>
          </rPr>
          <t>======
ID#AAABBDvrToU
Gavin Mudd    (2023-11-22 00:03:27)
- assume 2/3 of 0.39% Pb+Zn is Zn ...</t>
        </r>
      </text>
    </comment>
    <comment ref="G458" authorId="0" shapeId="0" xr:uid="{41228598-5582-AC4A-AA0E-F904408730BC}">
      <text>
        <r>
          <rPr>
            <sz val="10"/>
            <color rgb="FF000000"/>
            <rFont val="Calibri"/>
            <family val="2"/>
            <scheme val="minor"/>
          </rPr>
          <t>======
ID#AAABBDvrToQ
Gavin Mudd    (2023-11-22 00:03:27)
Source: http://en.gtk.fi/ExplorationFinland/Commodities/Copper/Deposits_prospects.html</t>
        </r>
      </text>
    </comment>
    <comment ref="G460" authorId="0" shapeId="0" xr:uid="{8BABDD7E-9A57-AD43-AC6B-1BA1936F9ABE}">
      <text>
        <r>
          <rPr>
            <sz val="10"/>
            <color rgb="FF000000"/>
            <rFont val="Calibri"/>
            <family val="2"/>
            <scheme val="minor"/>
          </rPr>
          <t>======
ID#AAABBDvrTvA
Gavin Mudd    (2023-11-22 00:03:27)
Source: http://en.gtk.fi/ExplorationFinland/Commodities/Copper/Deposits_prospects.html</t>
        </r>
      </text>
    </comment>
    <comment ref="G464" authorId="0" shapeId="0" xr:uid="{02FE3F52-B07D-3345-B052-3A3E2B221E4A}">
      <text>
        <r>
          <rPr>
            <sz val="10"/>
            <color rgb="FF000000"/>
            <rFont val="Calibri"/>
            <family val="2"/>
            <scheme val="minor"/>
          </rPr>
          <t>======
ID#AAABBDvrTi0
Gavin Mudd    (2023-11-22 00:03:26)
Source: http://en.gtk.fi/ExplorationFinland/Commodities/Copper/Deposits_prospects.html</t>
        </r>
      </text>
    </comment>
    <comment ref="G466" authorId="0" shapeId="0" xr:uid="{13A3A533-6B22-A942-914E-89E211AC1FE4}">
      <text>
        <r>
          <rPr>
            <sz val="10"/>
            <color rgb="FF000000"/>
            <rFont val="Calibri"/>
            <family val="2"/>
            <scheme val="minor"/>
          </rPr>
          <t>======
ID#AAABBDvrTgc
Gavin Mudd    (2023-11-22 00:03:26)
Source: http://en.gtk.fi/ExplorationFinland/Commodities/Copper/Deposits_prospects.html</t>
        </r>
      </text>
    </comment>
    <comment ref="J483" authorId="0" shapeId="0" xr:uid="{84FB201D-534E-5C47-B1F8-FEC95471ECAD}">
      <text>
        <r>
          <rPr>
            <sz val="10"/>
            <color rgb="FF000000"/>
            <rFont val="Calibri"/>
            <family val="2"/>
            <scheme val="minor"/>
          </rPr>
          <t>======
ID#AAABBDvrTwM
Gavin Mudd    (2023-11-22 00:03:27)
- value adjusted after reduction in %Sn between JORC data and factsheet.</t>
        </r>
      </text>
    </comment>
    <comment ref="R483" authorId="0" shapeId="0" xr:uid="{40672A1F-6EF0-B941-A758-E06BD2D8681A}">
      <text>
        <r>
          <rPr>
            <sz val="10"/>
            <color rgb="FF000000"/>
            <rFont val="Calibri"/>
            <family val="2"/>
            <scheme val="minor"/>
          </rPr>
          <t>======
ID#AAABBDvrTkA
Gavin Mudd    (2023-11-22 00:03:26)
- value adjusted after reduction in %Sn between JORC data and factsheet.</t>
        </r>
      </text>
    </comment>
    <comment ref="Y483" authorId="0" shapeId="0" xr:uid="{3D562EAE-E5A8-C340-8936-3F4EF7FDDBA0}">
      <text>
        <r>
          <rPr>
            <sz val="10"/>
            <color rgb="FF000000"/>
            <rFont val="Calibri"/>
            <family val="2"/>
            <scheme val="minor"/>
          </rPr>
          <t>======
ID#AAABBDvrTlk
Gavin Mudd    (2023-11-22 00:03:26)
- value adjusted after reduction in %Sn between JORC data and factsheet.</t>
        </r>
      </text>
    </comment>
    <comment ref="L521" authorId="0" shapeId="0" xr:uid="{E328BDDA-D0F8-AB4A-84AF-AF34B8AB37F1}">
      <text>
        <r>
          <rPr>
            <sz val="10"/>
            <color rgb="FF000000"/>
            <rFont val="Calibri"/>
            <family val="2"/>
            <scheme val="minor"/>
          </rPr>
          <t>======
ID#AAABBDvrTl4
Gavin Mudd    (2023-11-22 00:03:27)
- data from Goodfellow-Lynton (2007)</t>
        </r>
      </text>
    </comment>
    <comment ref="M521" authorId="0" shapeId="0" xr:uid="{7DE010F2-C88C-894E-BDAA-B207159738E6}">
      <text>
        <r>
          <rPr>
            <sz val="10"/>
            <color rgb="FF000000"/>
            <rFont val="Calibri"/>
            <family val="2"/>
            <scheme val="minor"/>
          </rPr>
          <t>======
ID#AAABBDvrTtk
Gavin Mudd    (2023-11-22 00:03:27)
- data from Goodfellow-Lynton (2007)</t>
        </r>
      </text>
    </comment>
    <comment ref="F545" authorId="0" shapeId="0" xr:uid="{A4E38BD2-6D8C-5742-B8FC-86F954B579BE}">
      <text>
        <r>
          <rPr>
            <sz val="10"/>
            <color rgb="FF000000"/>
            <rFont val="Calibri"/>
            <family val="2"/>
            <scheme val="minor"/>
          </rPr>
          <t>======
ID#AAABBDvrTf8
Gavin Mudd    (2023-11-22 00:03:26)
formerly UCL Resources JV</t>
        </r>
      </text>
    </comment>
    <comment ref="H549" authorId="0" shapeId="0" xr:uid="{11E1BE2B-B864-954C-8162-48CE59FAFAB4}">
      <text>
        <r>
          <rPr>
            <sz val="10"/>
            <color rgb="FF000000"/>
            <rFont val="Calibri"/>
            <family val="2"/>
            <scheme val="minor"/>
          </rPr>
          <t>======
ID#AAABBDvrTlE
Gavin Mudd    (2023-11-22 00:03:26)
- data from Ireland gov't brochure.</t>
        </r>
      </text>
    </comment>
    <comment ref="I549" authorId="0" shapeId="0" xr:uid="{D0947557-8CC1-BF40-8CE0-FC4B2A7A3D36}">
      <text>
        <r>
          <rPr>
            <sz val="10"/>
            <color rgb="FF000000"/>
            <rFont val="Calibri"/>
            <family val="2"/>
            <scheme val="minor"/>
          </rPr>
          <t>======
ID#AAABBDvrTt4
Gavin Mudd    (2023-11-22 00:03:27)
- data from Ireland Gov't Top 55 brochure &amp;
Rathdowney Res. Tech Rep 2010 Ireland</t>
        </r>
      </text>
    </comment>
    <comment ref="J549" authorId="0" shapeId="0" xr:uid="{B4DA353D-D7FA-4046-87D1-7318FB877A33}">
      <text>
        <r>
          <rPr>
            <sz val="10"/>
            <color rgb="FF000000"/>
            <rFont val="Calibri"/>
            <family val="2"/>
            <scheme val="minor"/>
          </rPr>
          <t>======
ID#AAABBDvrTq4
Gavin Mudd    (2023-11-22 00:03:27)
- data from Ireland Gov't Top 55 brochure &amp;
Rathdowney Res. Tech Rep 2010 Ireland</t>
        </r>
      </text>
    </comment>
    <comment ref="K549" authorId="0" shapeId="0" xr:uid="{B9C02813-B609-C041-B776-B3B08DF880D5}">
      <text>
        <r>
          <rPr>
            <sz val="10"/>
            <color rgb="FF000000"/>
            <rFont val="Calibri"/>
            <family val="2"/>
            <scheme val="minor"/>
          </rPr>
          <t>======
ID#AAABBDvrTfQ
Gavin Mudd    (2023-11-22 00:03:26)
- data from Ireland Gov't Top 55 brochure &amp;
Rathdowney Res. Tech Rep 2010 Ireland</t>
        </r>
      </text>
    </comment>
    <comment ref="H550" authorId="0" shapeId="0" xr:uid="{F62CDADB-14D0-3748-8808-5A45DE2D071A}">
      <text>
        <r>
          <rPr>
            <sz val="10"/>
            <color rgb="FF000000"/>
            <rFont val="Calibri"/>
            <family val="2"/>
            <scheme val="minor"/>
          </rPr>
          <t>======
ID#AAABBDvrToI
Gavin Mudd    (2023-11-22 00:03:27)
- data from Ireland Gov't Top 55 brochure &amp;
Rathdowney Res. Tech Rep 2010 Ireland</t>
        </r>
      </text>
    </comment>
    <comment ref="I550" authorId="0" shapeId="0" xr:uid="{D8869213-BC24-1F49-A6D9-2AF9B63A0D9A}">
      <text>
        <r>
          <rPr>
            <sz val="10"/>
            <color rgb="FF000000"/>
            <rFont val="Calibri"/>
            <family val="2"/>
            <scheme val="minor"/>
          </rPr>
          <t>======
ID#AAABBDvrTvE
Gavin Mudd    (2023-11-22 00:03:27)
- data from Ireland Gov't Top 55 brochure &amp;
Rathdowney Res. Tech Rep 2010 Ireland</t>
        </r>
      </text>
    </comment>
    <comment ref="J550" authorId="0" shapeId="0" xr:uid="{9E73051D-FE59-634F-9EFD-75989D887F53}">
      <text>
        <r>
          <rPr>
            <sz val="10"/>
            <color rgb="FF000000"/>
            <rFont val="Calibri"/>
            <family val="2"/>
            <scheme val="minor"/>
          </rPr>
          <t>======
ID#AAABBDvrTvo
Gavin Mudd    (2023-11-22 00:03:27)
- data from Ireland Gov't Top 55 brochure &amp;
Rathdowney Res. Tech Rep 2010 Ireland</t>
        </r>
      </text>
    </comment>
    <comment ref="K550" authorId="0" shapeId="0" xr:uid="{2BB57779-2788-5942-BA9B-CBC6596062F6}">
      <text>
        <r>
          <rPr>
            <sz val="10"/>
            <color rgb="FF000000"/>
            <rFont val="Calibri"/>
            <family val="2"/>
            <scheme val="minor"/>
          </rPr>
          <t>======
ID#AAABBDvrTwA
Gavin Mudd    (2023-11-22 00:03:27)
- data from Ireland Gov't Top 55 brochure &amp;
Rathdowney Res. Tech Rep 2010 Ireland</t>
        </r>
      </text>
    </comment>
    <comment ref="H551" authorId="0" shapeId="0" xr:uid="{936D920D-BDC0-9345-A654-8101081FF02D}">
      <text>
        <r>
          <rPr>
            <sz val="10"/>
            <color rgb="FF000000"/>
            <rFont val="Calibri"/>
            <family val="2"/>
            <scheme val="minor"/>
          </rPr>
          <t>======
ID#AAABBDvrTv4
Gavin Mudd    (2023-11-22 00:03:27)
- data from Ireland gov't brochure.</t>
        </r>
      </text>
    </comment>
    <comment ref="I551" authorId="0" shapeId="0" xr:uid="{5C0A8603-6F58-144D-A3F7-42E8802B8FDF}">
      <text>
        <r>
          <rPr>
            <sz val="10"/>
            <color rgb="FF000000"/>
            <rFont val="Calibri"/>
            <family val="2"/>
            <scheme val="minor"/>
          </rPr>
          <t>======
ID#AAABBDvrTqM
Gavin Mudd    (2023-11-22 00:03:27)
- data from Ireland gov't brochure.</t>
        </r>
      </text>
    </comment>
    <comment ref="J551" authorId="0" shapeId="0" xr:uid="{E267F2C8-890A-A143-A152-E1D16D7091DC}">
      <text>
        <r>
          <rPr>
            <sz val="10"/>
            <color rgb="FF000000"/>
            <rFont val="Calibri"/>
            <family val="2"/>
            <scheme val="minor"/>
          </rPr>
          <t>======
ID#AAABBDvrToA
Gavin Mudd    (2023-11-22 00:03:27)
- data from Ireland gov't brochure.</t>
        </r>
      </text>
    </comment>
    <comment ref="H552" authorId="0" shapeId="0" xr:uid="{14FB8C27-6BD8-CC49-A9FD-50863B1EEF65}">
      <text>
        <r>
          <rPr>
            <sz val="10"/>
            <color rgb="FF000000"/>
            <rFont val="Calibri"/>
            <family val="2"/>
            <scheme val="minor"/>
          </rPr>
          <t>======
ID#AAABBDvrTk0
Gavin Mudd    (2023-11-22 00:03:26)
- data from Ireland gov't brochure.</t>
        </r>
      </text>
    </comment>
    <comment ref="I552" authorId="0" shapeId="0" xr:uid="{72459806-5F96-0F4B-809F-076FEDAA3553}">
      <text>
        <r>
          <rPr>
            <sz val="10"/>
            <color rgb="FF000000"/>
            <rFont val="Calibri"/>
            <family val="2"/>
            <scheme val="minor"/>
          </rPr>
          <t>======
ID#AAABBDvrTlI
Gavin Mudd    (2023-11-22 00:03:26)
- data from Ireland gov't brochure.</t>
        </r>
      </text>
    </comment>
    <comment ref="J552" authorId="0" shapeId="0" xr:uid="{D4B4066E-8CEF-984A-8C2B-54E86AB5CE29}">
      <text>
        <r>
          <rPr>
            <sz val="10"/>
            <color rgb="FF000000"/>
            <rFont val="Calibri"/>
            <family val="2"/>
            <scheme val="minor"/>
          </rPr>
          <t>======
ID#AAABBDvrTfI
Gavin Mudd    (2023-11-22 00:03:26)
- data from Ireland gov't brochure.</t>
        </r>
      </text>
    </comment>
    <comment ref="K552" authorId="0" shapeId="0" xr:uid="{8994F447-1CBE-F34E-BCDF-61785F072DBC}">
      <text>
        <r>
          <rPr>
            <sz val="10"/>
            <color rgb="FF000000"/>
            <rFont val="Calibri"/>
            <family val="2"/>
            <scheme val="minor"/>
          </rPr>
          <t>======
ID#AAABBDvrTrA
Gavin Mudd    (2023-11-22 00:03:27)
- data from Ireland Gov't Top 55 brochure &amp;
Rathdowney Res. Tech Rep 2010 Ireland</t>
        </r>
      </text>
    </comment>
    <comment ref="H553" authorId="0" shapeId="0" xr:uid="{69C2A32C-30AE-4745-BD92-5EF7679BEF8B}">
      <text>
        <r>
          <rPr>
            <sz val="10"/>
            <color rgb="FF000000"/>
            <rFont val="Calibri"/>
            <family val="2"/>
            <scheme val="minor"/>
          </rPr>
          <t>======
ID#AAABBDvrTgk
Gavin Mudd    (2023-11-22 00:03:26)
- data from Ireland gov't brochure.</t>
        </r>
      </text>
    </comment>
    <comment ref="I553" authorId="0" shapeId="0" xr:uid="{B1B41B08-5C15-FD45-BC61-D626D2908D88}">
      <text>
        <r>
          <rPr>
            <sz val="10"/>
            <color rgb="FF000000"/>
            <rFont val="Calibri"/>
            <family val="2"/>
            <scheme val="minor"/>
          </rPr>
          <t>======
ID#AAABBDvrTvQ
Gavin Mudd    (2023-11-22 00:03:27)
- data from Ireland gov't brochure.</t>
        </r>
      </text>
    </comment>
    <comment ref="J553" authorId="0" shapeId="0" xr:uid="{BCC831E4-D0E5-9347-A272-584603C0BAAE}">
      <text>
        <r>
          <rPr>
            <sz val="10"/>
            <color rgb="FF000000"/>
            <rFont val="Calibri"/>
            <family val="2"/>
            <scheme val="minor"/>
          </rPr>
          <t>======
ID#AAABBDvrTk4
Gavin Mudd    (2023-11-22 00:03:26)
- data from Ireland gov't brochure.</t>
        </r>
      </text>
    </comment>
    <comment ref="K553" authorId="0" shapeId="0" xr:uid="{71AE656B-A4A4-0848-B9EF-9A364A603790}">
      <text>
        <r>
          <rPr>
            <sz val="10"/>
            <color rgb="FF000000"/>
            <rFont val="Calibri"/>
            <family val="2"/>
            <scheme val="minor"/>
          </rPr>
          <t>======
ID#AAABBDvrTow
Gavin Mudd    (2023-11-22 00:03:27)
- data from Ireland gov't brochure.</t>
        </r>
      </text>
    </comment>
    <comment ref="H555" authorId="0" shapeId="0" xr:uid="{1BA867A9-23BC-E64C-AC5B-E9DC83384B1A}">
      <text>
        <r>
          <rPr>
            <sz val="10"/>
            <color rgb="FF000000"/>
            <rFont val="Calibri"/>
            <family val="2"/>
            <scheme val="minor"/>
          </rPr>
          <t>======
ID#AAABBDvrTnI
Gavin Mudd    (2023-11-22 00:03:27)
- data from Ireland gov't brochure.</t>
        </r>
      </text>
    </comment>
    <comment ref="I555" authorId="0" shapeId="0" xr:uid="{479CF5C3-26AA-EA4F-A3C6-D0005975662D}">
      <text>
        <r>
          <rPr>
            <sz val="10"/>
            <color rgb="FF000000"/>
            <rFont val="Calibri"/>
            <family val="2"/>
            <scheme val="minor"/>
          </rPr>
          <t>======
ID#AAABBDvrTjw
Gavin Mudd    (2023-11-22 00:03:26)
- data from Ireland gov't brochure.
- assume 2/3 of 0.39% Pb+Zn is Zn ...</t>
        </r>
      </text>
    </comment>
    <comment ref="J555" authorId="0" shapeId="0" xr:uid="{0A1070DF-F496-5F4F-BB41-BF5D802153AC}">
      <text>
        <r>
          <rPr>
            <sz val="10"/>
            <color rgb="FF000000"/>
            <rFont val="Calibri"/>
            <family val="2"/>
            <scheme val="minor"/>
          </rPr>
          <t>======
ID#AAABBDvrThY
Gavin Mudd    (2023-11-22 00:03:26)
- data from Ireland gov't brochure.
- assume 2/3 of 0.39% Pb+Zn is Zn ...</t>
        </r>
      </text>
    </comment>
    <comment ref="H558" authorId="0" shapeId="0" xr:uid="{9AF15221-677F-A84F-98EE-F1D2EE02F916}">
      <text>
        <r>
          <rPr>
            <sz val="10"/>
            <color rgb="FF000000"/>
            <rFont val="Calibri"/>
            <family val="2"/>
            <scheme val="minor"/>
          </rPr>
          <t>======
ID#AAABBDvrTlo
Gavin Mudd    (2023-11-22 00:03:26)
- data from Ireland Gov't Top 55 brochure &amp;
Rathdowney Res. Tech Rep 2010 Ireland</t>
        </r>
      </text>
    </comment>
    <comment ref="I558" authorId="0" shapeId="0" xr:uid="{0FAB3169-9779-4E4C-B71D-B679E4F94E1E}">
      <text>
        <r>
          <rPr>
            <sz val="10"/>
            <color rgb="FF000000"/>
            <rFont val="Calibri"/>
            <family val="2"/>
            <scheme val="minor"/>
          </rPr>
          <t>======
ID#AAABBDvrTfE
Gavin Mudd    (2023-11-22 00:03:26)
- data from Ireland Gov't Top 55 brochure &amp;
Rathdowney Res. Tech Rep 2010 Ireland</t>
        </r>
      </text>
    </comment>
    <comment ref="J558" authorId="0" shapeId="0" xr:uid="{DB2C1CFE-2742-B140-A3DE-7CB21BA7530B}">
      <text>
        <r>
          <rPr>
            <sz val="10"/>
            <color rgb="FF000000"/>
            <rFont val="Calibri"/>
            <family val="2"/>
            <scheme val="minor"/>
          </rPr>
          <t>======
ID#AAABBDvrTnM
Gavin Mudd    (2023-11-22 00:03:27)
- data from Ireland Gov't Top 55 brochure &amp;
Rathdowney Res. Tech Rep 2010 Ireland</t>
        </r>
      </text>
    </comment>
    <comment ref="H559" authorId="0" shapeId="0" xr:uid="{DE77FBDB-30AA-1541-9496-DBE707EA5057}">
      <text>
        <r>
          <rPr>
            <sz val="10"/>
            <color rgb="FF000000"/>
            <rFont val="Calibri"/>
            <family val="2"/>
            <scheme val="minor"/>
          </rPr>
          <t>======
ID#AAABBDvrTpE
Gavin Mudd    (2023-11-22 00:03:27)
- data from Ireland gov't brochure.</t>
        </r>
      </text>
    </comment>
    <comment ref="I559" authorId="0" shapeId="0" xr:uid="{3E15A5DB-FFCD-5F4D-B830-989D81B690F8}">
      <text>
        <r>
          <rPr>
            <sz val="10"/>
            <color rgb="FF000000"/>
            <rFont val="Calibri"/>
            <family val="2"/>
            <scheme val="minor"/>
          </rPr>
          <t>======
ID#AAABBDvrTh8
Gavin Mudd    (2023-11-22 00:03:26)
- data from Ireland gov't brochure.
- assume 2/3 of 0.39% Pb+Zn is Zn ...</t>
        </r>
      </text>
    </comment>
    <comment ref="J559" authorId="0" shapeId="0" xr:uid="{ECA58770-451A-F94E-864C-3EDEB9ECD879}">
      <text>
        <r>
          <rPr>
            <sz val="10"/>
            <color rgb="FF000000"/>
            <rFont val="Calibri"/>
            <family val="2"/>
            <scheme val="minor"/>
          </rPr>
          <t>======
ID#AAABBDvrTgU
Gavin Mudd    (2023-11-22 00:03:26)
- data from Ireland gov't brochure.
- assume 2/3 of 0.39% Pb+Zn is Zn ...</t>
        </r>
      </text>
    </comment>
    <comment ref="K559" authorId="0" shapeId="0" xr:uid="{C62F114E-E85E-8145-A263-154F60C55FDF}">
      <text>
        <r>
          <rPr>
            <sz val="10"/>
            <color rgb="FF000000"/>
            <rFont val="Calibri"/>
            <family val="2"/>
            <scheme val="minor"/>
          </rPr>
          <t>======
ID#AAABBDvrTjY
Gavin Mudd    (2023-11-22 00:03:26)
- data from Ireland gov't brochure.</t>
        </r>
      </text>
    </comment>
    <comment ref="L559" authorId="0" shapeId="0" xr:uid="{14C73300-2D4D-B94A-8348-A0EDF92089E0}">
      <text>
        <r>
          <rPr>
            <sz val="10"/>
            <color rgb="FF000000"/>
            <rFont val="Calibri"/>
            <family val="2"/>
            <scheme val="minor"/>
          </rPr>
          <t>======
ID#AAABBDvrTlc
Gavin Mudd    (2023-11-22 00:03:26)
- data from Ireland gov't brochure.</t>
        </r>
      </text>
    </comment>
    <comment ref="H561" authorId="0" shapeId="0" xr:uid="{7DC687D5-7694-3F4D-92B8-3C9B3A9127CB}">
      <text>
        <r>
          <rPr>
            <sz val="10"/>
            <color rgb="FF000000"/>
            <rFont val="Calibri"/>
            <family val="2"/>
            <scheme val="minor"/>
          </rPr>
          <t>======
ID#AAABBDvrTgE
Gavin Mudd    (2023-11-22 00:03:26)
- data from Ireland gov't brochure.</t>
        </r>
      </text>
    </comment>
    <comment ref="I561" authorId="0" shapeId="0" xr:uid="{D0934139-864C-7C4C-9D0A-402FDD27399E}">
      <text>
        <r>
          <rPr>
            <sz val="10"/>
            <color rgb="FF000000"/>
            <rFont val="Calibri"/>
            <family val="2"/>
            <scheme val="minor"/>
          </rPr>
          <t>======
ID#AAABBDvrTo8
Gavin Mudd    (2023-11-22 00:03:27)
- data from Ireland gov't brochure.
- assume 2/3 of 0.39% Pb+Zn is Zn ...</t>
        </r>
      </text>
    </comment>
    <comment ref="J561" authorId="0" shapeId="0" xr:uid="{C1971320-EF3B-ED4C-A90B-F378A709280E}">
      <text>
        <r>
          <rPr>
            <sz val="10"/>
            <color rgb="FF000000"/>
            <rFont val="Calibri"/>
            <family val="2"/>
            <scheme val="minor"/>
          </rPr>
          <t>======
ID#AAABBDvrTt0
Gavin Mudd    (2023-11-22 00:03:27)
- data from Ireland gov't brochure.
- assume 2/3 of 0.39% Pb+Zn is Zn ...</t>
        </r>
      </text>
    </comment>
    <comment ref="R657" authorId="0" shapeId="0" xr:uid="{40C6F3B2-E3E2-2141-A0DD-6C08377C79E0}">
      <text>
        <r>
          <rPr>
            <sz val="10"/>
            <color rgb="FF000000"/>
            <rFont val="Calibri"/>
            <family val="2"/>
            <scheme val="minor"/>
          </rPr>
          <t>======
ID#AAABBDvrTnc
Gavin Mudd    (2023-11-22 00:03:27)
- adjusted from previous resources relative to %Zn</t>
        </r>
      </text>
    </comment>
    <comment ref="G671" authorId="0" shapeId="0" xr:uid="{2C4D58E7-E44E-8A40-B76F-0AA3ABC9C91A}">
      <text>
        <r>
          <rPr>
            <sz val="10"/>
            <color rgb="FF000000"/>
            <rFont val="Calibri"/>
            <family val="2"/>
            <scheme val="minor"/>
          </rPr>
          <t>======
ID#AAABBDvrTlM
Gavin Mudd    (2023-11-22 00:03:26)
- no data reported in 2012 or 2013, nor an explanation of why Anamaray was removed from reserve-resource reporting.</t>
        </r>
      </text>
    </comment>
    <comment ref="H671" authorId="0" shapeId="0" xr:uid="{13D7515C-F0DC-2145-9252-7AA4995E7153}">
      <text>
        <r>
          <rPr>
            <sz val="10"/>
            <color rgb="FF000000"/>
            <rFont val="Calibri"/>
            <family val="2"/>
            <scheme val="minor"/>
          </rPr>
          <t>======
ID#AAABBDvrTrc
Gavin Mudd    (2023-11-22 00:03:27)
- no data reported in 2012 or 2013, nor an explanation of why Anamaray was removed from reserve-resource reporting.</t>
        </r>
      </text>
    </comment>
    <comment ref="I671" authorId="0" shapeId="0" xr:uid="{1A56CE94-45A0-7B4B-B60D-EB011E86B7C7}">
      <text>
        <r>
          <rPr>
            <sz val="10"/>
            <color rgb="FF000000"/>
            <rFont val="Calibri"/>
            <family val="2"/>
            <scheme val="minor"/>
          </rPr>
          <t>======
ID#AAABBDvrToM
Gavin Mudd    (2023-11-22 00:03:27)
- no data reported in 2012 or 2013, nor an explanation of why Anamaray was removed from reserve-resource reporting.</t>
        </r>
      </text>
    </comment>
    <comment ref="J671" authorId="0" shapeId="0" xr:uid="{45E9C1FF-B360-AF44-8BF3-914C836F378A}">
      <text>
        <r>
          <rPr>
            <sz val="10"/>
            <color rgb="FF000000"/>
            <rFont val="Calibri"/>
            <family val="2"/>
            <scheme val="minor"/>
          </rPr>
          <t>======
ID#AAABBDvrThE
Gavin Mudd    (2023-11-22 00:03:26)
- no data reported in 2012 or 2013, nor an explanation of why Anamaray was removed from reserve-resource reporting.</t>
        </r>
      </text>
    </comment>
    <comment ref="K671" authorId="0" shapeId="0" xr:uid="{133AF453-0157-DC46-939A-09A9725AE108}">
      <text>
        <r>
          <rPr>
            <sz val="10"/>
            <color rgb="FF000000"/>
            <rFont val="Calibri"/>
            <family val="2"/>
            <scheme val="minor"/>
          </rPr>
          <t>======
ID#AAABBDvrTvc
Gavin Mudd    (2023-11-22 00:03:27)
- no data reported in 2012 or 2013, nor an explanation of why Anamaray was removed from reserve-resource reporting.</t>
        </r>
      </text>
    </comment>
    <comment ref="J694" authorId="0" shapeId="0" xr:uid="{E19AEB3A-632B-AF47-A112-4506C583A1A4}">
      <text>
        <r>
          <rPr>
            <sz val="10"/>
            <color rgb="FF000000"/>
            <rFont val="Calibri"/>
            <family val="2"/>
            <scheme val="minor"/>
          </rPr>
          <t>======
ID#AAABBDvrTfg
Gavin Mudd    (2023-11-22 00:03:26)
- after re-evaluation of processing options, Zinc was not reported after 2010. Given 2010 data was 3 Gt at 0.51 %Cu + 0.09% Zn, while 2013 data was 3.6 Gt at 0.51 %Cu, a value of 0.09% Zn has been assumed.</t>
        </r>
      </text>
    </comment>
    <comment ref="H719" authorId="0" shapeId="0" xr:uid="{C7DF154E-852E-AF48-B86F-338C1D880E08}">
      <text>
        <r>
          <rPr>
            <sz val="10"/>
            <color rgb="FF000000"/>
            <rFont val="Calibri"/>
            <family val="2"/>
            <scheme val="minor"/>
          </rPr>
          <t>======
ID#AAABBDvrThk
Gavin Mudd    (2023-11-22 00:03:26)
- since going bankrupt in early 2008, Lafayette no longer control Rapu Rapu - data shown from 2007, with no recent data since ...</t>
        </r>
      </text>
    </comment>
    <comment ref="I719" authorId="0" shapeId="0" xr:uid="{5BBAD9AE-B765-7546-B5F2-58843FA34AAE}">
      <text>
        <r>
          <rPr>
            <sz val="10"/>
            <color rgb="FF000000"/>
            <rFont val="Calibri"/>
            <family val="2"/>
            <scheme val="minor"/>
          </rPr>
          <t>======
ID#AAABBDvrTkY
Gavin Mudd    (2023-11-22 00:03:26)
- since going bankrupt in early 2008, Lafayette no longer control Rapu Rapu - data shown from 2007, with no recent data since ...</t>
        </r>
      </text>
    </comment>
    <comment ref="J719" authorId="0" shapeId="0" xr:uid="{E5D5A8BB-2EFB-B548-AA14-45789A93F7A8}">
      <text>
        <r>
          <rPr>
            <sz val="10"/>
            <color rgb="FF000000"/>
            <rFont val="Calibri"/>
            <family val="2"/>
            <scheme val="minor"/>
          </rPr>
          <t>======
ID#AAABBDvrTis
Gavin Mudd    (2023-11-22 00:03:26)
- since going bankrupt in early 2008, Lafayette no longer control Rapu Rapu - data shown from 2007, with no recent data since ...</t>
        </r>
      </text>
    </comment>
    <comment ref="K719" authorId="0" shapeId="0" xr:uid="{CE4A1022-4948-C14E-ACDE-F9C3C172A936}">
      <text>
        <r>
          <rPr>
            <sz val="10"/>
            <color rgb="FF000000"/>
            <rFont val="Calibri"/>
            <family val="2"/>
            <scheme val="minor"/>
          </rPr>
          <t>======
ID#AAABBDvrTiM
Gavin Mudd    (2023-11-22 00:03:26)
- since going bankrupt in early 2008, Lafayette no longer control Rapu Rapu - data shown from 2007, with no recent data since ...</t>
        </r>
      </text>
    </comment>
    <comment ref="L719" authorId="0" shapeId="0" xr:uid="{C33A6992-6199-0043-B7F7-E251BD8CF7AA}">
      <text>
        <r>
          <rPr>
            <sz val="10"/>
            <color rgb="FF000000"/>
            <rFont val="Calibri"/>
            <family val="2"/>
            <scheme val="minor"/>
          </rPr>
          <t>======
ID#AAABBDvrTig
Gavin Mudd    (2023-11-22 00:03:26)
- since going bankrupt in early 2008, Lafayette no longer control Rapu Rapu - data shown from 2007, with no recent data since ...</t>
        </r>
      </text>
    </comment>
    <comment ref="M719" authorId="0" shapeId="0" xr:uid="{81C15056-E6F2-C34F-8308-48EAC279A95D}">
      <text>
        <r>
          <rPr>
            <sz val="10"/>
            <color rgb="FF000000"/>
            <rFont val="Calibri"/>
            <family val="2"/>
            <scheme val="minor"/>
          </rPr>
          <t>======
ID#AAABBDvrTnU
Gavin Mudd    (2023-11-22 00:03:27)
- since going bankrupt in early 2008, Lafayette no longer control Rapu Rapu - data shown from 2007, with no recent data since ...</t>
        </r>
      </text>
    </comment>
    <comment ref="H727" authorId="0" shapeId="0" xr:uid="{C770EB80-3484-774C-B7F8-DC9B9BF391A7}">
      <text>
        <r>
          <rPr>
            <sz val="10"/>
            <color rgb="FF000000"/>
            <rFont val="Calibri"/>
            <family val="2"/>
            <scheme val="minor"/>
          </rPr>
          <t>======
ID#AAABBDvrTu0
Gavin Mudd    (2023-11-22 00:03:27)
- data from Cristea-Stan et al 2012.</t>
        </r>
      </text>
    </comment>
    <comment ref="I727" authorId="0" shapeId="0" xr:uid="{BAEC2E65-3D8F-1046-BCF9-CBA6C0155741}">
      <text>
        <r>
          <rPr>
            <sz val="10"/>
            <color rgb="FF000000"/>
            <rFont val="Calibri"/>
            <family val="2"/>
            <scheme val="minor"/>
          </rPr>
          <t>======
ID#AAABBDvrTqw
Gavin Mudd    (2023-11-22 00:03:27)
- data from Cristea-Stan et al 2012.</t>
        </r>
      </text>
    </comment>
    <comment ref="H728" authorId="0" shapeId="0" xr:uid="{E93365C8-1F67-024D-9AD0-C816C6E12F2D}">
      <text>
        <r>
          <rPr>
            <sz val="10"/>
            <color rgb="FF000000"/>
            <rFont val="Calibri"/>
            <family val="2"/>
            <scheme val="minor"/>
          </rPr>
          <t>======
ID#AAABBDvrTsM
Gavin Mudd    (2023-11-22 00:03:27)
Kouzmanov et al (2005), Ore Geol Revs</t>
        </r>
      </text>
    </comment>
    <comment ref="I728" authorId="0" shapeId="0" xr:uid="{9FA62782-FD98-2B43-9632-6E75BB364E47}">
      <text>
        <r>
          <rPr>
            <sz val="10"/>
            <color rgb="FF000000"/>
            <rFont val="Calibri"/>
            <family val="2"/>
            <scheme val="minor"/>
          </rPr>
          <t>======
ID#AAABBDvrTsA
Gavin Mudd    (2023-11-22 00:03:27)
Kouzmanov et al (2005), Ore Geol Revs</t>
        </r>
      </text>
    </comment>
    <comment ref="J728" authorId="0" shapeId="0" xr:uid="{3AD6593D-94B2-7342-AE4D-0B41FF9C039E}">
      <text>
        <r>
          <rPr>
            <sz val="10"/>
            <color rgb="FF000000"/>
            <rFont val="Calibri"/>
            <family val="2"/>
            <scheme val="minor"/>
          </rPr>
          <t>======
ID#AAABBDvrTsw
Gavin Mudd    (2023-11-22 00:03:27)
Kouzmanov et al (2005), Ore Geol Revs</t>
        </r>
      </text>
    </comment>
    <comment ref="K728" authorId="0" shapeId="0" xr:uid="{A92FC774-CD01-6A43-B9F0-7D624EE9A01F}">
      <text>
        <r>
          <rPr>
            <sz val="10"/>
            <color rgb="FF000000"/>
            <rFont val="Calibri"/>
            <family val="2"/>
            <scheme val="minor"/>
          </rPr>
          <t>======
ID#AAABBDvrTso
Gavin Mudd    (2023-11-22 00:03:27)
Kouzmanov et al (2005), Ore Geol Revs</t>
        </r>
      </text>
    </comment>
    <comment ref="M728" authorId="0" shapeId="0" xr:uid="{9E21C5F3-04C3-374A-ADD4-04F9504FA5A4}">
      <text>
        <r>
          <rPr>
            <sz val="10"/>
            <color rgb="FF000000"/>
            <rFont val="Calibri"/>
            <family val="2"/>
            <scheme val="minor"/>
          </rPr>
          <t>======
ID#AAABBDvrTho
Gavin Mudd    (2023-11-22 00:03:26)
Kouzmanov et al (2005), Ore Geol Revs</t>
        </r>
      </text>
    </comment>
    <comment ref="H729" authorId="0" shapeId="0" xr:uid="{6CFF519E-4362-BB4C-AD81-5B56859F3377}">
      <text>
        <r>
          <rPr>
            <sz val="10"/>
            <color rgb="FF000000"/>
            <rFont val="Calibri"/>
            <family val="2"/>
            <scheme val="minor"/>
          </rPr>
          <t>======
ID#AAABBDvrTtc
Gavin Mudd    (2023-11-22 00:03:27)
- data from Herrington et al 2005.</t>
        </r>
      </text>
    </comment>
    <comment ref="J729" authorId="0" shapeId="0" xr:uid="{4FF7AA76-CA4A-1243-A422-29E47B6A2E3A}">
      <text>
        <r>
          <rPr>
            <sz val="10"/>
            <color rgb="FF000000"/>
            <rFont val="Calibri"/>
            <family val="2"/>
            <scheme val="minor"/>
          </rPr>
          <t>======
ID#AAABBDvrTjk
Gavin Mudd    (2023-11-22 00:03:26)
- data from Herrington et al 2005.</t>
        </r>
      </text>
    </comment>
    <comment ref="L729" authorId="0" shapeId="0" xr:uid="{6927A571-56E6-404F-B20A-6EAB4EC9FF84}">
      <text>
        <r>
          <rPr>
            <sz val="10"/>
            <color rgb="FF000000"/>
            <rFont val="Calibri"/>
            <family val="2"/>
            <scheme val="minor"/>
          </rPr>
          <t>======
ID#AAABBDvrTqA
Gavin Mudd    (2023-11-22 00:03:27)
- data from Herrington et al 2005.</t>
        </r>
      </text>
    </comment>
    <comment ref="H730" authorId="0" shapeId="0" xr:uid="{6F254DCB-8164-8440-A58F-313455BD5184}">
      <text>
        <r>
          <rPr>
            <sz val="10"/>
            <color rgb="FF000000"/>
            <rFont val="Calibri"/>
            <family val="2"/>
            <scheme val="minor"/>
          </rPr>
          <t>======
ID#AAABBDvrTu8
Gavin Mudd    (2023-11-22 00:03:27)
- data from Herrington et al 2005.</t>
        </r>
      </text>
    </comment>
    <comment ref="J730" authorId="0" shapeId="0" xr:uid="{E2C84D75-1AD0-E04E-B60E-DB92907E214A}">
      <text>
        <r>
          <rPr>
            <sz val="10"/>
            <color rgb="FF000000"/>
            <rFont val="Calibri"/>
            <family val="2"/>
            <scheme val="minor"/>
          </rPr>
          <t>======
ID#AAABBDvrTtI
Gavin Mudd    (2023-11-22 00:03:27)
- data from Herrington et al 2005.</t>
        </r>
      </text>
    </comment>
    <comment ref="L730" authorId="0" shapeId="0" xr:uid="{81776B20-67A7-744A-B869-E5FBFD05C1CC}">
      <text>
        <r>
          <rPr>
            <sz val="10"/>
            <color rgb="FF000000"/>
            <rFont val="Calibri"/>
            <family val="2"/>
            <scheme val="minor"/>
          </rPr>
          <t>======
ID#AAABBDvrTmM
Gavin Mudd    (2023-11-22 00:03:27)
- data from Herrington et al 2005.</t>
        </r>
      </text>
    </comment>
    <comment ref="M730" authorId="0" shapeId="0" xr:uid="{7BDB964B-D4E7-0047-A8C2-E0D0A13EA43F}">
      <text>
        <r>
          <rPr>
            <sz val="10"/>
            <color rgb="FF000000"/>
            <rFont val="Calibri"/>
            <family val="2"/>
            <scheme val="minor"/>
          </rPr>
          <t>======
ID#AAABBDvrTg8
Gavin Mudd    (2023-11-22 00:03:26)
- data from Herrington et al 2005.</t>
        </r>
      </text>
    </comment>
    <comment ref="H731" authorId="0" shapeId="0" xr:uid="{BAE21C23-92B0-BF46-9221-9CD493649EA0}">
      <text>
        <r>
          <rPr>
            <sz val="10"/>
            <color rgb="FF000000"/>
            <rFont val="Calibri"/>
            <family val="2"/>
            <scheme val="minor"/>
          </rPr>
          <t>======
ID#AAABBDvrTvk
Gavin Mudd    (2023-11-22 00:03:27)
- data from Herrington et al 2005.</t>
        </r>
      </text>
    </comment>
    <comment ref="I731" authorId="0" shapeId="0" xr:uid="{56C0A440-CE95-AD49-B6E7-E34BF40A0E39}">
      <text>
        <r>
          <rPr>
            <sz val="10"/>
            <color rgb="FF000000"/>
            <rFont val="Calibri"/>
            <family val="2"/>
            <scheme val="minor"/>
          </rPr>
          <t>======
ID#AAABBDvrTgA
Gavin Mudd    (2023-11-22 00:03:26)
- data from Herrington et al 2005.</t>
        </r>
      </text>
    </comment>
    <comment ref="J731" authorId="0" shapeId="0" xr:uid="{138230D7-E0DA-E446-BE0B-E7476CF627EB}">
      <text>
        <r>
          <rPr>
            <sz val="10"/>
            <color rgb="FF000000"/>
            <rFont val="Calibri"/>
            <family val="2"/>
            <scheme val="minor"/>
          </rPr>
          <t>======
ID#AAABBDvrTkM
Gavin Mudd    (2023-11-22 00:03:26)
- data from Herrington et al 2005.</t>
        </r>
      </text>
    </comment>
    <comment ref="L731" authorId="0" shapeId="0" xr:uid="{EDF01C4D-B89A-D046-B683-9D87894D3358}">
      <text>
        <r>
          <rPr>
            <sz val="10"/>
            <color rgb="FF000000"/>
            <rFont val="Calibri"/>
            <family val="2"/>
            <scheme val="minor"/>
          </rPr>
          <t>======
ID#AAABBDvrTgM
Gavin Mudd    (2023-11-22 00:03:26)
- data from Herrington et al 2005.</t>
        </r>
      </text>
    </comment>
    <comment ref="M731" authorId="0" shapeId="0" xr:uid="{C41E30EF-672C-7242-B7AB-68BD8D9D5DC4}">
      <text>
        <r>
          <rPr>
            <sz val="10"/>
            <color rgb="FF000000"/>
            <rFont val="Calibri"/>
            <family val="2"/>
            <scheme val="minor"/>
          </rPr>
          <t>======
ID#AAABBDvrTkg
Gavin Mudd    (2023-11-22 00:03:26)
- data from Herrington et al 2005.</t>
        </r>
      </text>
    </comment>
    <comment ref="H732" authorId="0" shapeId="0" xr:uid="{FAAB8C8C-D4B6-F64E-A433-D85B9E88B234}">
      <text>
        <r>
          <rPr>
            <sz val="10"/>
            <color rgb="FF000000"/>
            <rFont val="Calibri"/>
            <family val="2"/>
            <scheme val="minor"/>
          </rPr>
          <t>======
ID#AAABBDvrTfU
Gavin Mudd    (2023-11-22 00:03:26)
- data from Herrington et al 2005.</t>
        </r>
      </text>
    </comment>
    <comment ref="J732" authorId="0" shapeId="0" xr:uid="{4EE3C5F6-F975-F24E-A9BC-F06A8EF66DCF}">
      <text>
        <r>
          <rPr>
            <sz val="10"/>
            <color rgb="FF000000"/>
            <rFont val="Calibri"/>
            <family val="2"/>
            <scheme val="minor"/>
          </rPr>
          <t>======
ID#AAABBDvrTpA
Gavin Mudd    (2023-11-22 00:03:27)
- data from Herrington et al 2005.</t>
        </r>
      </text>
    </comment>
    <comment ref="L732" authorId="0" shapeId="0" xr:uid="{DEE84194-77E5-BB47-A739-3E847C7EDA93}">
      <text>
        <r>
          <rPr>
            <sz val="10"/>
            <color rgb="FF000000"/>
            <rFont val="Calibri"/>
            <family val="2"/>
            <scheme val="minor"/>
          </rPr>
          <t>======
ID#AAABBDvrTls
Gavin Mudd    (2023-11-22 00:03:26)
- data from Herrington et al 2005.</t>
        </r>
      </text>
    </comment>
    <comment ref="M732" authorId="0" shapeId="0" xr:uid="{14D48A5B-3E8B-0849-94F4-3D9C9D38DF0C}">
      <text>
        <r>
          <rPr>
            <sz val="10"/>
            <color rgb="FF000000"/>
            <rFont val="Calibri"/>
            <family val="2"/>
            <scheme val="minor"/>
          </rPr>
          <t>======
ID#AAABBDvrTvw
Gavin Mudd    (2023-11-22 00:03:27)
- data from Herrington et al 2005.</t>
        </r>
      </text>
    </comment>
    <comment ref="F733" authorId="0" shapeId="0" xr:uid="{17E432F2-A753-AE40-A7F6-3A8C103172B6}">
      <text>
        <r>
          <rPr>
            <sz val="10"/>
            <color rgb="FF000000"/>
            <rFont val="Calibri"/>
            <family val="2"/>
            <scheme val="minor"/>
          </rPr>
          <t>======
ID#AAABBDvrTmY
Gavin Mudd    (2023-11-22 00:03:27)
formerly High River Gold</t>
        </r>
      </text>
    </comment>
    <comment ref="I733" authorId="0" shapeId="0" xr:uid="{EDEDC7B7-6BAD-0843-9180-B846F24589F6}">
      <text>
        <r>
          <rPr>
            <sz val="10"/>
            <color rgb="FF000000"/>
            <rFont val="Calibri"/>
            <family val="2"/>
            <scheme val="minor"/>
          </rPr>
          <t>======
ID#AAABBDvrTrg
Gavin Mudd    (2023-11-22 00:03:27)
scaled from ILZSG reserves grades to gold resources from Nordgold</t>
        </r>
      </text>
    </comment>
    <comment ref="J733" authorId="0" shapeId="0" xr:uid="{0D569F94-ADDA-5940-97AC-AA7E0756D136}">
      <text>
        <r>
          <rPr>
            <sz val="10"/>
            <color rgb="FF000000"/>
            <rFont val="Calibri"/>
            <family val="2"/>
            <scheme val="minor"/>
          </rPr>
          <t>======
ID#AAABBDvrTfo
Gavin Mudd    (2023-11-22 00:03:26)
scaled from ILZSG reserves grades to gold resources from Nordgold</t>
        </r>
      </text>
    </comment>
    <comment ref="K733" authorId="0" shapeId="0" xr:uid="{E4069E78-DE14-4446-A438-13912B900802}">
      <text>
        <r>
          <rPr>
            <sz val="10"/>
            <color rgb="FF000000"/>
            <rFont val="Calibri"/>
            <family val="2"/>
            <scheme val="minor"/>
          </rPr>
          <t>======
ID#AAABBDvrTto
Gavin Mudd    (2023-11-22 00:03:27)
scaled from ILZSG reserves grades to gold resources from Nordgold</t>
        </r>
      </text>
    </comment>
    <comment ref="M733" authorId="0" shapeId="0" xr:uid="{CC15D2D9-EA2A-C344-91FB-97BDB77FCCA2}">
      <text>
        <r>
          <rPr>
            <sz val="10"/>
            <color rgb="FF000000"/>
            <rFont val="Calibri"/>
            <family val="2"/>
            <scheme val="minor"/>
          </rPr>
          <t>======
ID#AAABBDvrTq8
Gavin Mudd    (2023-11-22 00:03:27)
scaled from ILZSG reserves grades to gold resources from Nordgold</t>
        </r>
      </text>
    </comment>
    <comment ref="H734" authorId="0" shapeId="0" xr:uid="{133214AD-730F-524E-90CE-33BC1E1BD643}">
      <text>
        <r>
          <rPr>
            <sz val="10"/>
            <color rgb="FF000000"/>
            <rFont val="Calibri"/>
            <family val="2"/>
            <scheme val="minor"/>
          </rPr>
          <t>======
ID#AAABBDvrTnE
Gavin Mudd    (2023-11-22 00:03:27)
- data from Herrington et al 2005.</t>
        </r>
      </text>
    </comment>
    <comment ref="J734" authorId="0" shapeId="0" xr:uid="{7C713074-8479-AE46-9194-C43186D50128}">
      <text>
        <r>
          <rPr>
            <sz val="10"/>
            <color rgb="FF000000"/>
            <rFont val="Calibri"/>
            <family val="2"/>
            <scheme val="minor"/>
          </rPr>
          <t>======
ID#AAABBDvrTiQ
Gavin Mudd    (2023-11-22 00:03:26)
- data from Herrington et al 2005.</t>
        </r>
      </text>
    </comment>
    <comment ref="L734" authorId="0" shapeId="0" xr:uid="{B0DCD607-7EA1-2B48-BE5B-4F84A846F950}">
      <text>
        <r>
          <rPr>
            <sz val="10"/>
            <color rgb="FF000000"/>
            <rFont val="Calibri"/>
            <family val="2"/>
            <scheme val="minor"/>
          </rPr>
          <t>======
ID#AAABBDvrThA
Gavin Mudd    (2023-11-22 00:03:26)
- data from Herrington et al 2005.</t>
        </r>
      </text>
    </comment>
    <comment ref="H735" authorId="0" shapeId="0" xr:uid="{582C3A91-9418-F34B-8181-FA40F728452A}">
      <text>
        <r>
          <rPr>
            <sz val="10"/>
            <color rgb="FF000000"/>
            <rFont val="Calibri"/>
            <family val="2"/>
            <scheme val="minor"/>
          </rPr>
          <t>======
ID#AAABBDvrTp0
Gavin Mudd    (2023-11-22 00:03:27)
- data from Herrington et al 2005.</t>
        </r>
      </text>
    </comment>
    <comment ref="I735" authorId="0" shapeId="0" xr:uid="{CBBA84F7-B98B-7349-B5D7-852227AE6DFB}">
      <text>
        <r>
          <rPr>
            <sz val="10"/>
            <color rgb="FF000000"/>
            <rFont val="Calibri"/>
            <family val="2"/>
            <scheme val="minor"/>
          </rPr>
          <t>======
ID#AAABBDvrTn8
Gavin Mudd    (2023-11-22 00:03:27)
- data from Herrington et al 2005.</t>
        </r>
      </text>
    </comment>
    <comment ref="J735" authorId="0" shapeId="0" xr:uid="{FBB38A93-3D54-8C45-84B9-41475340A957}">
      <text>
        <r>
          <rPr>
            <sz val="10"/>
            <color rgb="FF000000"/>
            <rFont val="Calibri"/>
            <family val="2"/>
            <scheme val="minor"/>
          </rPr>
          <t>======
ID#AAABBDvrTnY
Gavin Mudd    (2023-11-22 00:03:27)
- data from Herrington et al 2005.</t>
        </r>
      </text>
    </comment>
    <comment ref="L735" authorId="0" shapeId="0" xr:uid="{5F013D70-4466-B542-A798-25E96BE73581}">
      <text>
        <r>
          <rPr>
            <sz val="10"/>
            <color rgb="FF000000"/>
            <rFont val="Calibri"/>
            <family val="2"/>
            <scheme val="minor"/>
          </rPr>
          <t>======
ID#AAABBDvrToc
Gavin Mudd    (2023-11-22 00:03:27)
- data from Herrington et al 2005.</t>
        </r>
      </text>
    </comment>
    <comment ref="H736" authorId="0" shapeId="0" xr:uid="{C5B55131-3D63-8A48-AC91-781592ADE759}">
      <text>
        <r>
          <rPr>
            <sz val="10"/>
            <color rgb="FF000000"/>
            <rFont val="Calibri"/>
            <family val="2"/>
            <scheme val="minor"/>
          </rPr>
          <t>======
ID#AAABBDvrTs8
Gavin Mudd    (2023-11-22 00:03:27)
- data from Herrington et al 2005.</t>
        </r>
      </text>
    </comment>
    <comment ref="I736" authorId="0" shapeId="0" xr:uid="{65970CA5-620C-1442-A650-1B00B87EB700}">
      <text>
        <r>
          <rPr>
            <sz val="10"/>
            <color rgb="FF000000"/>
            <rFont val="Calibri"/>
            <family val="2"/>
            <scheme val="minor"/>
          </rPr>
          <t>======
ID#AAABBDvrTr0
Gavin Mudd    (2023-11-22 00:03:27)
- data from Herrington et al 2005.</t>
        </r>
      </text>
    </comment>
    <comment ref="J736" authorId="0" shapeId="0" xr:uid="{510DE9B7-35D2-AF45-B77C-24CB8D150FFB}">
      <text>
        <r>
          <rPr>
            <sz val="10"/>
            <color rgb="FF000000"/>
            <rFont val="Calibri"/>
            <family val="2"/>
            <scheme val="minor"/>
          </rPr>
          <t>======
ID#AAABBDvrTmE
Gavin Mudd    (2023-11-22 00:03:27)
- data from Herrington et al 2005.</t>
        </r>
      </text>
    </comment>
    <comment ref="L736" authorId="0" shapeId="0" xr:uid="{CA3CCD24-BBBC-9243-AEED-5FDFF438A50E}">
      <text>
        <r>
          <rPr>
            <sz val="10"/>
            <color rgb="FF000000"/>
            <rFont val="Calibri"/>
            <family val="2"/>
            <scheme val="minor"/>
          </rPr>
          <t>======
ID#AAABBDvrTks
Gavin Mudd    (2023-11-22 00:03:26)
- data from Herrington et al 2005.</t>
        </r>
      </text>
    </comment>
    <comment ref="W736" authorId="0" shapeId="0" xr:uid="{9922CD05-D696-4D42-A648-F08A0C104E15}">
      <text>
        <r>
          <rPr>
            <sz val="10"/>
            <color rgb="FF000000"/>
            <rFont val="Calibri"/>
            <family val="2"/>
            <scheme val="minor"/>
          </rPr>
          <t>======
ID#AAABBDvrTuY
Gavin Mudd    (2023-11-22 00:03:27)
- data from Herrington et al 2005.</t>
        </r>
      </text>
    </comment>
    <comment ref="H737" authorId="0" shapeId="0" xr:uid="{05A7E127-5006-B04C-AFCE-521C7421592B}">
      <text>
        <r>
          <rPr>
            <sz val="10"/>
            <color rgb="FF000000"/>
            <rFont val="Calibri"/>
            <family val="2"/>
            <scheme val="minor"/>
          </rPr>
          <t>======
ID#AAABBDvrTrk
Gavin Mudd    (2023-11-22 00:03:27)
- data from Herrington et al 2005.</t>
        </r>
      </text>
    </comment>
    <comment ref="I737" authorId="0" shapeId="0" xr:uid="{8D662521-2498-314B-961F-E57C613DDEA5}">
      <text>
        <r>
          <rPr>
            <sz val="10"/>
            <color rgb="FF000000"/>
            <rFont val="Calibri"/>
            <family val="2"/>
            <scheme val="minor"/>
          </rPr>
          <t>======
ID#AAABBDvrTn0
Gavin Mudd    (2023-11-22 00:03:27)
- data from Herrington et al 2005.</t>
        </r>
      </text>
    </comment>
    <comment ref="J737" authorId="0" shapeId="0" xr:uid="{0DE7DE68-0D5B-CF43-894F-EFC96D3E073F}">
      <text>
        <r>
          <rPr>
            <sz val="10"/>
            <color rgb="FF000000"/>
            <rFont val="Calibri"/>
            <family val="2"/>
            <scheme val="minor"/>
          </rPr>
          <t>======
ID#AAABBDvrTtM
Gavin Mudd    (2023-11-22 00:03:27)
- data from Herrington et al 2005.</t>
        </r>
      </text>
    </comment>
    <comment ref="K737" authorId="0" shapeId="0" xr:uid="{2E32A989-A2E8-8A44-9C4A-E0FE2816F324}">
      <text>
        <r>
          <rPr>
            <sz val="10"/>
            <color rgb="FF000000"/>
            <rFont val="Calibri"/>
            <family val="2"/>
            <scheme val="minor"/>
          </rPr>
          <t>======
ID#AAABBDvrTrw
Gavin Mudd    (2023-11-22 00:03:27)
- data from Herrington et al 2005.</t>
        </r>
      </text>
    </comment>
    <comment ref="L737" authorId="0" shapeId="0" xr:uid="{F40658B8-7912-F348-B57D-A4717B589A53}">
      <text>
        <r>
          <rPr>
            <sz val="10"/>
            <color rgb="FF000000"/>
            <rFont val="Calibri"/>
            <family val="2"/>
            <scheme val="minor"/>
          </rPr>
          <t>======
ID#AAABBDvrTjA
Gavin Mudd    (2023-11-22 00:03:26)
- data from Herrington et al 2005.</t>
        </r>
      </text>
    </comment>
    <comment ref="M737" authorId="0" shapeId="0" xr:uid="{B7ADBAFE-0D7E-F941-96F1-6AE4AE5CD728}">
      <text>
        <r>
          <rPr>
            <sz val="10"/>
            <color rgb="FF000000"/>
            <rFont val="Calibri"/>
            <family val="2"/>
            <scheme val="minor"/>
          </rPr>
          <t>======
ID#AAABBDvrTfY
Gavin Mudd    (2023-11-22 00:03:26)
- data from Herrington et al 2005.</t>
        </r>
      </text>
    </comment>
    <comment ref="G738" authorId="0" shapeId="0" xr:uid="{176E7594-5191-BE4E-B0E0-61A294862F36}">
      <text>
        <r>
          <rPr>
            <sz val="10"/>
            <color rgb="FF000000"/>
            <rFont val="Calibri"/>
            <family val="2"/>
            <scheme val="minor"/>
          </rPr>
          <t>======
ID#AAABBDvrTjs
Gavin Mudd    (2023-11-22 00:03:26)
Note: lead-zinc not reported in 2013 reporting, grades used from 2012 data.</t>
        </r>
      </text>
    </comment>
    <comment ref="I738" authorId="0" shapeId="0" xr:uid="{FD627C56-3CB2-4145-9D34-72FEDD54CCA2}">
      <text>
        <r>
          <rPr>
            <sz val="10"/>
            <color rgb="FF000000"/>
            <rFont val="Calibri"/>
            <family val="2"/>
            <scheme val="minor"/>
          </rPr>
          <t>======
ID#AAABBDvrTtg
Gavin Mudd    (2023-11-22 00:03:27)
Note: lead-zinc not reported in 2013 reporting, grades used from 2012 data.</t>
        </r>
      </text>
    </comment>
    <comment ref="K738" authorId="0" shapeId="0" xr:uid="{5D4B12E3-ECA7-BB49-A989-643652274B7E}">
      <text>
        <r>
          <rPr>
            <sz val="10"/>
            <color rgb="FF000000"/>
            <rFont val="Calibri"/>
            <family val="2"/>
            <scheme val="minor"/>
          </rPr>
          <t>======
ID#AAABBDvrTkc
Gavin Mudd    (2023-11-22 00:03:26)
Note: lead-zinc not reported in 2013 reporting, grades used from 2012 data.</t>
        </r>
      </text>
    </comment>
    <comment ref="H740" authorId="0" shapeId="0" xr:uid="{482BA351-882E-9D49-9B70-367546A39B23}">
      <text>
        <r>
          <rPr>
            <sz val="10"/>
            <color rgb="FF000000"/>
            <rFont val="Calibri"/>
            <family val="2"/>
            <scheme val="minor"/>
          </rPr>
          <t>======
ID#AAABBDvrTsE
Gavin Mudd    (2023-11-22 00:03:27)
- data from Herrington et al 2005.</t>
        </r>
      </text>
    </comment>
    <comment ref="J740" authorId="0" shapeId="0" xr:uid="{1D5385BD-BAC9-E84B-8A09-5F7573720CC9}">
      <text>
        <r>
          <rPr>
            <sz val="10"/>
            <color rgb="FF000000"/>
            <rFont val="Calibri"/>
            <family val="2"/>
            <scheme val="minor"/>
          </rPr>
          <t>======
ID#AAABBDvrTvg
Gavin Mudd    (2023-11-22 00:03:27)
- data from Herrington et al 2005.</t>
        </r>
      </text>
    </comment>
    <comment ref="L740" authorId="0" shapeId="0" xr:uid="{8658B4B5-DA8C-374E-B48F-A13B48A27492}">
      <text>
        <r>
          <rPr>
            <sz val="10"/>
            <color rgb="FF000000"/>
            <rFont val="Calibri"/>
            <family val="2"/>
            <scheme val="minor"/>
          </rPr>
          <t>======
ID#AAABBDvrTpY
Gavin Mudd    (2023-11-22 00:03:27)
- data from Herrington et al 2005.</t>
        </r>
      </text>
    </comment>
    <comment ref="T740" authorId="0" shapeId="0" xr:uid="{33AB15D9-25D0-8343-9566-50C82FAE5D02}">
      <text>
        <r>
          <rPr>
            <sz val="10"/>
            <color rgb="FF000000"/>
            <rFont val="Calibri"/>
            <family val="2"/>
            <scheme val="minor"/>
          </rPr>
          <t>======
ID#AAABBDvrTkI
Gavin Mudd    (2023-11-22 00:03:26)
- data from Herrington et al 2005.</t>
        </r>
      </text>
    </comment>
    <comment ref="Y740" authorId="0" shapeId="0" xr:uid="{B382704E-8B2C-8146-8083-1D76E60DA99C}">
      <text>
        <r>
          <rPr>
            <sz val="10"/>
            <color rgb="FF000000"/>
            <rFont val="Calibri"/>
            <family val="2"/>
            <scheme val="minor"/>
          </rPr>
          <t>======
ID#AAABBDvrTr8
Gavin Mudd    (2023-11-22 00:03:27)
- data from Herrington et al 2005.</t>
        </r>
      </text>
    </comment>
    <comment ref="Z740" authorId="0" shapeId="0" xr:uid="{B6787D18-EF73-0B49-BF0C-1C7E73F26B49}">
      <text>
        <r>
          <rPr>
            <sz val="10"/>
            <color rgb="FF000000"/>
            <rFont val="Calibri"/>
            <family val="2"/>
            <scheme val="minor"/>
          </rPr>
          <t>======
ID#AAABBDvrTuc
Gavin Mudd    (2023-11-22 00:03:27)
- data from Herrington et al 2005.</t>
        </r>
      </text>
    </comment>
    <comment ref="H741" authorId="0" shapeId="0" xr:uid="{0E2A81BE-70FA-4242-94F6-DC94D9E0DF81}">
      <text>
        <r>
          <rPr>
            <sz val="10"/>
            <color rgb="FF000000"/>
            <rFont val="Calibri"/>
            <family val="2"/>
            <scheme val="minor"/>
          </rPr>
          <t>======
ID#AAABBDvrThs
Gavin Mudd    (2023-11-22 00:03:26)
- data from Herrington et al 2005.</t>
        </r>
      </text>
    </comment>
    <comment ref="J741" authorId="0" shapeId="0" xr:uid="{72882134-0419-2544-9339-3260E4934688}">
      <text>
        <r>
          <rPr>
            <sz val="10"/>
            <color rgb="FF000000"/>
            <rFont val="Calibri"/>
            <family val="2"/>
            <scheme val="minor"/>
          </rPr>
          <t>======
ID#AAABBDvrTlY
Gavin Mudd    (2023-11-22 00:03:26)
- data from Herrington et al 2005.</t>
        </r>
      </text>
    </comment>
    <comment ref="K741" authorId="0" shapeId="0" xr:uid="{7A871511-4DE2-D346-889B-124A92F4C548}">
      <text>
        <r>
          <rPr>
            <sz val="10"/>
            <color rgb="FF000000"/>
            <rFont val="Calibri"/>
            <family val="2"/>
            <scheme val="minor"/>
          </rPr>
          <t>======
ID#AAABBDvrTvM
Gavin Mudd    (2023-11-22 00:03:27)
- data from Herrington et al 2005.</t>
        </r>
      </text>
    </comment>
    <comment ref="L741" authorId="0" shapeId="0" xr:uid="{DF17571E-E1A7-C341-BAB8-AFF9D52518DF}">
      <text>
        <r>
          <rPr>
            <sz val="10"/>
            <color rgb="FF000000"/>
            <rFont val="Calibri"/>
            <family val="2"/>
            <scheme val="minor"/>
          </rPr>
          <t>======
ID#AAABBDvrTvs
Gavin Mudd    (2023-11-22 00:03:27)
- data from Herrington et al 2005.</t>
        </r>
      </text>
    </comment>
    <comment ref="M741" authorId="0" shapeId="0" xr:uid="{2326C462-B41F-DA4D-9596-7750363EB30C}">
      <text>
        <r>
          <rPr>
            <sz val="10"/>
            <color rgb="FF000000"/>
            <rFont val="Calibri"/>
            <family val="2"/>
            <scheme val="minor"/>
          </rPr>
          <t>======
ID#AAABBDvrThM
Gavin Mudd    (2023-11-22 00:03:26)
- data from Herrington et al 2005.</t>
        </r>
      </text>
    </comment>
    <comment ref="H744" authorId="0" shapeId="0" xr:uid="{4E1D5B23-26DF-1C4C-A897-3C4E8E82C3B0}">
      <text>
        <r>
          <rPr>
            <sz val="10"/>
            <color rgb="FF000000"/>
            <rFont val="Calibri"/>
            <family val="2"/>
            <scheme val="minor"/>
          </rPr>
          <t>======
ID#AAABBDvrTuA
Gavin Mudd    (2023-11-22 00:03:27)
- data from Herrington et al 2005.</t>
        </r>
      </text>
    </comment>
    <comment ref="J744" authorId="0" shapeId="0" xr:uid="{F3023CCD-F548-5E42-8603-32D57B20779E}">
      <text>
        <r>
          <rPr>
            <sz val="10"/>
            <color rgb="FF000000"/>
            <rFont val="Calibri"/>
            <family val="2"/>
            <scheme val="minor"/>
          </rPr>
          <t>======
ID#AAABBDvrTgs
Gavin Mudd    (2023-11-22 00:03:26)
- data from Herrington et al 2005.</t>
        </r>
      </text>
    </comment>
    <comment ref="K744" authorId="0" shapeId="0" xr:uid="{79AF9238-ABDE-6C4A-BEA2-EED1D0EE383F}">
      <text>
        <r>
          <rPr>
            <sz val="10"/>
            <color rgb="FF000000"/>
            <rFont val="Calibri"/>
            <family val="2"/>
            <scheme val="minor"/>
          </rPr>
          <t>======
ID#AAABBDvrTrI
Gavin Mudd    (2023-11-22 00:03:27)
- data from Herrington et al 2005.</t>
        </r>
      </text>
    </comment>
    <comment ref="L744" authorId="0" shapeId="0" xr:uid="{BF89479D-E790-7341-A111-95E7677F053F}">
      <text>
        <r>
          <rPr>
            <sz val="10"/>
            <color rgb="FF000000"/>
            <rFont val="Calibri"/>
            <family val="2"/>
            <scheme val="minor"/>
          </rPr>
          <t>======
ID#AAABBDvrThQ
Gavin Mudd    (2023-11-22 00:03:26)
- data from Herrington et al 2005.</t>
        </r>
      </text>
    </comment>
    <comment ref="M744" authorId="0" shapeId="0" xr:uid="{3BBE5C67-BB32-484F-972C-184500A031B2}">
      <text>
        <r>
          <rPr>
            <sz val="10"/>
            <color rgb="FF000000"/>
            <rFont val="Calibri"/>
            <family val="2"/>
            <scheme val="minor"/>
          </rPr>
          <t>======
ID#AAABBDvrTt8
Gavin Mudd    (2023-11-22 00:03:27)
- data from Herrington et al 2005.</t>
        </r>
      </text>
    </comment>
    <comment ref="H746" authorId="0" shapeId="0" xr:uid="{62134204-F8C7-7947-8C2D-29FF93429491}">
      <text>
        <r>
          <rPr>
            <sz val="10"/>
            <color rgb="FF000000"/>
            <rFont val="Calibri"/>
            <family val="2"/>
            <scheme val="minor"/>
          </rPr>
          <t>======
ID#AAABBDvrTok
Gavin Mudd    (2023-11-22 00:03:27)
- data from Herrington et al 2005.</t>
        </r>
      </text>
    </comment>
    <comment ref="J746" authorId="0" shapeId="0" xr:uid="{DD15ADA2-1FD0-6745-8B2F-A3C59FB005C9}">
      <text>
        <r>
          <rPr>
            <sz val="10"/>
            <color rgb="FF000000"/>
            <rFont val="Calibri"/>
            <family val="2"/>
            <scheme val="minor"/>
          </rPr>
          <t>======
ID#AAABBDvrTwI
Gavin Mudd    (2023-11-22 00:03:27)
- data from Herrington et al 2005.</t>
        </r>
      </text>
    </comment>
    <comment ref="L746" authorId="0" shapeId="0" xr:uid="{EFC6207E-8D28-1C4D-BF4A-037CA75FA8ED}">
      <text>
        <r>
          <rPr>
            <sz val="10"/>
            <color rgb="FF000000"/>
            <rFont val="Calibri"/>
            <family val="2"/>
            <scheme val="minor"/>
          </rPr>
          <t>======
ID#AAABBDvrTpo
Gavin Mudd    (2023-11-22 00:03:27)
- data from Herrington et al 2005.</t>
        </r>
      </text>
    </comment>
    <comment ref="H747" authorId="0" shapeId="0" xr:uid="{44ABAC9C-A9FD-A745-82C1-631757D55A87}">
      <text>
        <r>
          <rPr>
            <sz val="10"/>
            <color rgb="FF000000"/>
            <rFont val="Calibri"/>
            <family val="2"/>
            <scheme val="minor"/>
          </rPr>
          <t>======
ID#AAABBDvrTsk
Gavin Mudd    (2023-11-22 00:03:27)
- data from Herrington et al 2005.</t>
        </r>
      </text>
    </comment>
    <comment ref="I747" authorId="0" shapeId="0" xr:uid="{CB5E93D4-5660-0047-9D67-9F32B592CC03}">
      <text>
        <r>
          <rPr>
            <sz val="10"/>
            <color rgb="FF000000"/>
            <rFont val="Calibri"/>
            <family val="2"/>
            <scheme val="minor"/>
          </rPr>
          <t>======
ID#AAABBDvrTh0
Gavin Mudd    (2023-11-22 00:03:26)
- data from Herrington et al 2005.</t>
        </r>
      </text>
    </comment>
    <comment ref="J747" authorId="0" shapeId="0" xr:uid="{C4501D34-59FC-5D43-BDFD-D74AEEE5FE27}">
      <text>
        <r>
          <rPr>
            <sz val="10"/>
            <color rgb="FF000000"/>
            <rFont val="Calibri"/>
            <family val="2"/>
            <scheme val="minor"/>
          </rPr>
          <t>======
ID#AAABBDvrTm8
Gavin Mudd    (2023-11-22 00:03:27)
- data from Herrington et al 2005.</t>
        </r>
      </text>
    </comment>
    <comment ref="K747" authorId="0" shapeId="0" xr:uid="{1CE27ACF-DBB6-5346-BB5C-6FD8866F5B4C}">
      <text>
        <r>
          <rPr>
            <sz val="10"/>
            <color rgb="FF000000"/>
            <rFont val="Calibri"/>
            <family val="2"/>
            <scheme val="minor"/>
          </rPr>
          <t>======
ID#AAABBDvrTsg
Gavin Mudd    (2023-11-22 00:03:27)
- data from Herrington et al 2005.</t>
        </r>
      </text>
    </comment>
    <comment ref="L747" authorId="0" shapeId="0" xr:uid="{52EC1C12-92D7-564A-8C76-06D77E0D2387}">
      <text>
        <r>
          <rPr>
            <sz val="10"/>
            <color rgb="FF000000"/>
            <rFont val="Calibri"/>
            <family val="2"/>
            <scheme val="minor"/>
          </rPr>
          <t>======
ID#AAABBDvrToE
Gavin Mudd    (2023-11-22 00:03:27)
- data from Herrington et al 2005.</t>
        </r>
      </text>
    </comment>
    <comment ref="H749" authorId="0" shapeId="0" xr:uid="{90D9C773-57B0-B441-A97E-65F6602EEC4B}">
      <text>
        <r>
          <rPr>
            <sz val="10"/>
            <color rgb="FF000000"/>
            <rFont val="Calibri"/>
            <family val="2"/>
            <scheme val="minor"/>
          </rPr>
          <t>======
ID#AAABBDvrTmg
Gavin Mudd    (2023-11-22 00:03:27)
- data from Herrington et al 2005.</t>
        </r>
      </text>
    </comment>
    <comment ref="J749" authorId="0" shapeId="0" xr:uid="{44A35D0F-EFC1-2B4B-83D6-F920A52D17B1}">
      <text>
        <r>
          <rPr>
            <sz val="10"/>
            <color rgb="FF000000"/>
            <rFont val="Calibri"/>
            <family val="2"/>
            <scheme val="minor"/>
          </rPr>
          <t>======
ID#AAABBDvrTiA
Gavin Mudd    (2023-11-22 00:03:26)
- data from Herrington et al 2005.</t>
        </r>
      </text>
    </comment>
    <comment ref="L749" authorId="0" shapeId="0" xr:uid="{A4B38369-07D5-0A4B-BECA-AA0438AF386B}">
      <text>
        <r>
          <rPr>
            <sz val="10"/>
            <color rgb="FF000000"/>
            <rFont val="Calibri"/>
            <family val="2"/>
            <scheme val="minor"/>
          </rPr>
          <t>======
ID#AAABBDvrTkw
Gavin Mudd    (2023-11-22 00:03:26)
- data from Herrington et al 2005.</t>
        </r>
      </text>
    </comment>
    <comment ref="I751" authorId="0" shapeId="0" xr:uid="{1A5E4E8B-4BF5-1F44-A2B9-950B8728A33E}">
      <text>
        <r>
          <rPr>
            <sz val="10"/>
            <color rgb="FF000000"/>
            <rFont val="Calibri"/>
            <family val="2"/>
            <scheme val="minor"/>
          </rPr>
          <t>======
ID#AAABBDvrTg4
Gavin Mudd    (2023-11-22 00:03:26)
- data based on ore milled and conversion from gold equivalents ...</t>
        </r>
      </text>
    </comment>
    <comment ref="J751" authorId="0" shapeId="0" xr:uid="{5B4E4209-BED6-B14B-87B3-01D09484FFC4}">
      <text>
        <r>
          <rPr>
            <sz val="10"/>
            <color rgb="FF000000"/>
            <rFont val="Calibri"/>
            <family val="2"/>
            <scheme val="minor"/>
          </rPr>
          <t>======
ID#AAABBDvrThw
Gavin Mudd    (2023-11-22 00:03:26)
- data based on ore milled and conversion from gold equivalents ...</t>
        </r>
      </text>
    </comment>
    <comment ref="K751" authorId="0" shapeId="0" xr:uid="{473E10F5-4C75-8B4C-BC54-8D8686C60DAE}">
      <text>
        <r>
          <rPr>
            <sz val="10"/>
            <color rgb="FF000000"/>
            <rFont val="Calibri"/>
            <family val="2"/>
            <scheme val="minor"/>
          </rPr>
          <t>======
ID#AAABBDvrThg
Gavin Mudd    (2023-11-22 00:03:26)
- data based on ore milled and conversion from gold equivalents ...</t>
        </r>
      </text>
    </comment>
    <comment ref="M751" authorId="0" shapeId="0" xr:uid="{63A1EF2D-11E2-B744-AC93-7968DF86C69B}">
      <text>
        <r>
          <rPr>
            <sz val="10"/>
            <color rgb="FF000000"/>
            <rFont val="Calibri"/>
            <family val="2"/>
            <scheme val="minor"/>
          </rPr>
          <t>======
ID#AAABBDvrTr4
Gavin Mudd    (2023-11-22 00:03:27)
- data based on ore milled and conversion from gold equivalents ...</t>
        </r>
      </text>
    </comment>
    <comment ref="G753" authorId="0" shapeId="0" xr:uid="{6EE414F4-7EF1-0B4E-A384-C146A653A70B}">
      <text>
        <r>
          <rPr>
            <sz val="10"/>
            <color rgb="FF000000"/>
            <rFont val="Calibri"/>
            <family val="2"/>
            <scheme val="minor"/>
          </rPr>
          <t>======
ID#AAABBDvrTjc
Gavin Mudd    (2023-11-22 00:03:26)
CHECK ILZSG database - esp. "NFC, East-Siberian Metals Corp (Metropol)"</t>
        </r>
      </text>
    </comment>
    <comment ref="G755" authorId="0" shapeId="0" xr:uid="{9026E9FA-ED86-2641-84A2-46AE60F594FF}">
      <text>
        <r>
          <rPr>
            <sz val="10"/>
            <color rgb="FF000000"/>
            <rFont val="Calibri"/>
            <family val="2"/>
            <scheme val="minor"/>
          </rPr>
          <t>======
ID#AAABBDvrTk8
Gavin Mudd    (2023-11-22 00:03:26)
Note: lead-zinc removed in 2013 reporting, tonnage same as 2012.</t>
        </r>
      </text>
    </comment>
    <comment ref="H755" authorId="0" shapeId="0" xr:uid="{6AE56F6E-4CDF-7C4E-A98C-0760A1567880}">
      <text>
        <r>
          <rPr>
            <sz val="10"/>
            <color rgb="FF000000"/>
            <rFont val="Calibri"/>
            <family val="2"/>
            <scheme val="minor"/>
          </rPr>
          <t>======
ID#AAABBDvrTvI
Gavin Mudd    (2023-11-22 00:03:27)
Note: lead-zinc removed in 2013 reporting, tonnage same as 2012.</t>
        </r>
      </text>
    </comment>
    <comment ref="I755" authorId="0" shapeId="0" xr:uid="{7DC967B1-9112-CA4E-B5D6-83A9A29D0415}">
      <text>
        <r>
          <rPr>
            <sz val="10"/>
            <color rgb="FF000000"/>
            <rFont val="Calibri"/>
            <family val="2"/>
            <scheme val="minor"/>
          </rPr>
          <t>======
ID#AAABBDvrTts
Gavin Mudd    (2023-11-22 00:03:27)
Note: lead-zinc removed in 2013 reporting, tonnage same as 2012.</t>
        </r>
      </text>
    </comment>
    <comment ref="J755" authorId="0" shapeId="0" xr:uid="{7C0A0D67-EC07-774D-9A0F-0665C47B3776}">
      <text>
        <r>
          <rPr>
            <sz val="10"/>
            <color rgb="FF000000"/>
            <rFont val="Calibri"/>
            <family val="2"/>
            <scheme val="minor"/>
          </rPr>
          <t>======
ID#AAABBDvrTq0
Gavin Mudd    (2023-11-22 00:03:27)
Note: lead-zinc removed in 2013 reporting, tonnage same as 2012.</t>
        </r>
      </text>
    </comment>
    <comment ref="K755" authorId="0" shapeId="0" xr:uid="{442A1D4C-2E41-EB4E-9D69-C92783BFBA88}">
      <text>
        <r>
          <rPr>
            <sz val="10"/>
            <color rgb="FF000000"/>
            <rFont val="Calibri"/>
            <family val="2"/>
            <scheme val="minor"/>
          </rPr>
          <t>======
ID#AAABBDvrTfk
Gavin Mudd    (2023-11-22 00:03:26)
Note: lead-zinc removed in 2013 reporting, tonnage same as 2012.</t>
        </r>
      </text>
    </comment>
    <comment ref="L755" authorId="0" shapeId="0" xr:uid="{3818B3A4-0A84-004E-AFB4-A4FCB36E48EC}">
      <text>
        <r>
          <rPr>
            <sz val="10"/>
            <color rgb="FF000000"/>
            <rFont val="Calibri"/>
            <family val="2"/>
            <scheme val="minor"/>
          </rPr>
          <t>======
ID#AAABBDvrTps
Gavin Mudd    (2023-11-22 00:03:27)
Note: lead-zinc removed in 2013 reporting, tonnage same as 2012.</t>
        </r>
      </text>
    </comment>
    <comment ref="H756" authorId="0" shapeId="0" xr:uid="{852EEE48-B74A-3A44-B770-A8449432A4D2}">
      <text>
        <r>
          <rPr>
            <sz val="10"/>
            <color rgb="FF000000"/>
            <rFont val="Calibri"/>
            <family val="2"/>
            <scheme val="minor"/>
          </rPr>
          <t>======
ID#AAABBDvrTuE
Gavin Mudd    (2023-11-22 00:03:27)
- data from Herrington et al 2005.</t>
        </r>
      </text>
    </comment>
    <comment ref="I756" authorId="0" shapeId="0" xr:uid="{E07EB979-C247-7C44-828F-CC302B0D257C}">
      <text>
        <r>
          <rPr>
            <sz val="10"/>
            <color rgb="FF000000"/>
            <rFont val="Calibri"/>
            <family val="2"/>
            <scheme val="minor"/>
          </rPr>
          <t>======
ID#AAABBDvrTuw
Gavin Mudd    (2023-11-22 00:03:27)
- data from Herrington et al 2005.</t>
        </r>
      </text>
    </comment>
    <comment ref="J756" authorId="0" shapeId="0" xr:uid="{1AD11B58-D014-0F40-B8CA-9FE5F9969EE2}">
      <text>
        <r>
          <rPr>
            <sz val="10"/>
            <color rgb="FF000000"/>
            <rFont val="Calibri"/>
            <family val="2"/>
            <scheme val="minor"/>
          </rPr>
          <t>======
ID#AAABBDvrTlU
Gavin Mudd    (2023-11-22 00:03:26)
- data from Herrington et al 2005.</t>
        </r>
      </text>
    </comment>
    <comment ref="L756" authorId="0" shapeId="0" xr:uid="{1ADCAF2D-3731-5D41-BF53-CB55B1845E1C}">
      <text>
        <r>
          <rPr>
            <sz val="10"/>
            <color rgb="FF000000"/>
            <rFont val="Calibri"/>
            <family val="2"/>
            <scheme val="minor"/>
          </rPr>
          <t>======
ID#AAABBDvrTrE
Gavin Mudd    (2023-11-22 00:03:27)
- data from Herrington et al 2005.</t>
        </r>
      </text>
    </comment>
    <comment ref="W756" authorId="0" shapeId="0" xr:uid="{9703530F-BA03-D841-B7BC-1FDE4511A7D6}">
      <text>
        <r>
          <rPr>
            <sz val="10"/>
            <color rgb="FF000000"/>
            <rFont val="Calibri"/>
            <family val="2"/>
            <scheme val="minor"/>
          </rPr>
          <t>======
ID#AAABBDvrTnk
Gavin Mudd    (2023-11-22 00:03:27)
- data from Herrington et al 2005.</t>
        </r>
      </text>
    </comment>
    <comment ref="H757" authorId="0" shapeId="0" xr:uid="{6E734FCD-D8DF-AB43-98DF-450104C36572}">
      <text>
        <r>
          <rPr>
            <sz val="10"/>
            <color rgb="FF000000"/>
            <rFont val="Calibri"/>
            <family val="2"/>
            <scheme val="minor"/>
          </rPr>
          <t>======
ID#AAABBDvrTu4
Gavin Mudd    (2023-11-22 00:03:27)
- data from Herrington et al 2005.</t>
        </r>
      </text>
    </comment>
    <comment ref="J757" authorId="0" shapeId="0" xr:uid="{9C98282B-01E5-B04B-8CE5-5CC07C6C6EF4}">
      <text>
        <r>
          <rPr>
            <sz val="10"/>
            <color rgb="FF000000"/>
            <rFont val="Calibri"/>
            <family val="2"/>
            <scheme val="minor"/>
          </rPr>
          <t>======
ID#AAABBDvrTm0
Gavin Mudd    (2023-11-22 00:03:27)
- data from Herrington et al 2005.</t>
        </r>
      </text>
    </comment>
    <comment ref="L757" authorId="0" shapeId="0" xr:uid="{BB221640-5AD5-8945-987B-C1A51B794427}">
      <text>
        <r>
          <rPr>
            <sz val="10"/>
            <color rgb="FF000000"/>
            <rFont val="Calibri"/>
            <family val="2"/>
            <scheme val="minor"/>
          </rPr>
          <t>======
ID#AAABBDvrTnA
Gavin Mudd    (2023-11-22 00:03:27)
- data from Herrington et al 2005.</t>
        </r>
      </text>
    </comment>
    <comment ref="H760" authorId="0" shapeId="0" xr:uid="{116262DA-9745-6D4D-A310-205DD49CCA8D}">
      <text>
        <r>
          <rPr>
            <sz val="10"/>
            <color rgb="FF000000"/>
            <rFont val="Calibri"/>
            <family val="2"/>
            <scheme val="minor"/>
          </rPr>
          <t>======
ID#AAABBDvrTog
Gavin Mudd    (2023-11-22 00:03:27)
- data from Herrington et al 2005.</t>
        </r>
      </text>
    </comment>
    <comment ref="I760" authorId="0" shapeId="0" xr:uid="{AE58752E-E82D-0F42-90B8-C818D15040A0}">
      <text>
        <r>
          <rPr>
            <sz val="10"/>
            <color rgb="FF000000"/>
            <rFont val="Calibri"/>
            <family val="2"/>
            <scheme val="minor"/>
          </rPr>
          <t>======
ID#AAABBDvrTjU
Gavin Mudd    (2023-11-22 00:03:26)
- data from Herrington et al 2005.</t>
        </r>
      </text>
    </comment>
    <comment ref="J760" authorId="0" shapeId="0" xr:uid="{8A3BD7F0-5AEA-F24D-9749-AB0B4A96348A}">
      <text>
        <r>
          <rPr>
            <sz val="10"/>
            <color rgb="FF000000"/>
            <rFont val="Calibri"/>
            <family val="2"/>
            <scheme val="minor"/>
          </rPr>
          <t>======
ID#AAABBDvrTpU
Gavin Mudd    (2023-11-22 00:03:27)
- data from Herrington et al 2005.</t>
        </r>
      </text>
    </comment>
    <comment ref="K760" authorId="0" shapeId="0" xr:uid="{2D1777B4-7886-4240-8ECD-BBF1F3CC84F8}">
      <text>
        <r>
          <rPr>
            <sz val="10"/>
            <color rgb="FF000000"/>
            <rFont val="Calibri"/>
            <family val="2"/>
            <scheme val="minor"/>
          </rPr>
          <t>======
ID#AAABBDvrTsQ
Gavin Mudd    (2023-11-22 00:03:27)
- data from Herrington et al 2005.</t>
        </r>
      </text>
    </comment>
    <comment ref="L760" authorId="0" shapeId="0" xr:uid="{378898BF-98DE-C746-98C1-C6D3BD3D90FA}">
      <text>
        <r>
          <rPr>
            <sz val="10"/>
            <color rgb="FF000000"/>
            <rFont val="Calibri"/>
            <family val="2"/>
            <scheme val="minor"/>
          </rPr>
          <t>======
ID#AAABBDvrTj4
Gavin Mudd    (2023-11-22 00:03:26)
- data from Herrington et al 2005.</t>
        </r>
      </text>
    </comment>
    <comment ref="M760" authorId="0" shapeId="0" xr:uid="{83C34D3E-AB3F-224F-9579-CD40831E1BDD}">
      <text>
        <r>
          <rPr>
            <sz val="10"/>
            <color rgb="FF000000"/>
            <rFont val="Calibri"/>
            <family val="2"/>
            <scheme val="minor"/>
          </rPr>
          <t>======
ID#AAABBDvrTtw
Gavin Mudd    (2023-11-22 00:03:27)
- data from Herrington et al 2005.</t>
        </r>
      </text>
    </comment>
    <comment ref="H761" authorId="0" shapeId="0" xr:uid="{0B42E8BF-8CD5-D443-A407-EE1EE40182C2}">
      <text>
        <r>
          <rPr>
            <sz val="10"/>
            <color rgb="FF000000"/>
            <rFont val="Calibri"/>
            <family val="2"/>
            <scheme val="minor"/>
          </rPr>
          <t>======
ID#AAABBDvrTlQ
Gavin Mudd    (2023-11-22 00:03:26)
- data from Herrington et al 2005.</t>
        </r>
      </text>
    </comment>
    <comment ref="J761" authorId="0" shapeId="0" xr:uid="{8E21FF18-507D-6C4C-8828-F8FC64C2A697}">
      <text>
        <r>
          <rPr>
            <sz val="10"/>
            <color rgb="FF000000"/>
            <rFont val="Calibri"/>
            <family val="2"/>
            <scheme val="minor"/>
          </rPr>
          <t>======
ID#AAABBDvrTtE
Gavin Mudd    (2023-11-22 00:03:27)
- data from Herrington et al 2005.</t>
        </r>
      </text>
    </comment>
    <comment ref="L761" authorId="0" shapeId="0" xr:uid="{18B869FA-6630-8B4F-AA8F-5899DA0A3661}">
      <text>
        <r>
          <rPr>
            <sz val="10"/>
            <color rgb="FF000000"/>
            <rFont val="Calibri"/>
            <family val="2"/>
            <scheme val="minor"/>
          </rPr>
          <t>======
ID#AAABBDvrTtA
Gavin Mudd    (2023-11-22 00:03:27)
- data from Herrington et al 2005.</t>
        </r>
      </text>
    </comment>
    <comment ref="H763" authorId="0" shapeId="0" xr:uid="{0C58C429-199E-DA47-8803-F209C6EB6E07}">
      <text>
        <r>
          <rPr>
            <sz val="10"/>
            <color rgb="FF000000"/>
            <rFont val="Calibri"/>
            <family val="2"/>
            <scheme val="minor"/>
          </rPr>
          <t>======
ID#AAABBDvrTf0
Gavin Mudd    (2023-11-22 00:03:26)
- data from Herrington et al 2005.</t>
        </r>
      </text>
    </comment>
    <comment ref="J763" authorId="0" shapeId="0" xr:uid="{F158A4BA-033C-254D-AA4B-373759B06F95}">
      <text>
        <r>
          <rPr>
            <sz val="10"/>
            <color rgb="FF000000"/>
            <rFont val="Calibri"/>
            <family val="2"/>
            <scheme val="minor"/>
          </rPr>
          <t>======
ID#AAABBDvrTuI
Gavin Mudd    (2023-11-22 00:03:27)
- data from Herrington et al 2005.</t>
        </r>
      </text>
    </comment>
    <comment ref="K763" authorId="0" shapeId="0" xr:uid="{19AEE20C-7644-3A49-8821-02CE19013FE1}">
      <text>
        <r>
          <rPr>
            <sz val="10"/>
            <color rgb="FF000000"/>
            <rFont val="Calibri"/>
            <family val="2"/>
            <scheme val="minor"/>
          </rPr>
          <t>======
ID#AAABBDvrTrU
Gavin Mudd    (2023-11-22 00:03:27)
- data from Herrington et al 2005.</t>
        </r>
      </text>
    </comment>
    <comment ref="L763" authorId="0" shapeId="0" xr:uid="{02C44FAE-F296-3147-9BED-F9B8CDAE264B}">
      <text>
        <r>
          <rPr>
            <sz val="10"/>
            <color rgb="FF000000"/>
            <rFont val="Calibri"/>
            <family val="2"/>
            <scheme val="minor"/>
          </rPr>
          <t>======
ID#AAABBDvrTl0
Gavin Mudd    (2023-11-22 00:03:27)
- data from Herrington et al 2005.</t>
        </r>
      </text>
    </comment>
    <comment ref="M763" authorId="0" shapeId="0" xr:uid="{36A10152-990F-D744-95A9-20C3A45C449D}">
      <text>
        <r>
          <rPr>
            <sz val="10"/>
            <color rgb="FF000000"/>
            <rFont val="Calibri"/>
            <family val="2"/>
            <scheme val="minor"/>
          </rPr>
          <t>======
ID#AAABBDvrTno
Gavin Mudd    (2023-11-22 00:03:27)
- data from Herrington et al 2005.</t>
        </r>
      </text>
    </comment>
    <comment ref="H765" authorId="0" shapeId="0" xr:uid="{CECE1DD1-E8B3-9F4A-8536-9426BDBC0B55}">
      <text>
        <r>
          <rPr>
            <sz val="10"/>
            <color rgb="FF000000"/>
            <rFont val="Calibri"/>
            <family val="2"/>
            <scheme val="minor"/>
          </rPr>
          <t>======
ID#AAABBDvrThU
Gavin Mudd    (2023-11-22 00:03:26)
- data from Herrington et al 2005.</t>
        </r>
      </text>
    </comment>
    <comment ref="I765" authorId="0" shapeId="0" xr:uid="{E3A63AB6-B30C-FD41-B2E2-9515F1AD9E3A}">
      <text>
        <r>
          <rPr>
            <sz val="10"/>
            <color rgb="FF000000"/>
            <rFont val="Calibri"/>
            <family val="2"/>
            <scheme val="minor"/>
          </rPr>
          <t>======
ID#AAABBDvrTwE
Gavin Mudd    (2023-11-22 00:03:27)
- data from Herrington et al 2005.</t>
        </r>
      </text>
    </comment>
    <comment ref="J765" authorId="0" shapeId="0" xr:uid="{9074E018-88DE-8143-8517-947ACA72F12B}">
      <text>
        <r>
          <rPr>
            <sz val="10"/>
            <color rgb="FF000000"/>
            <rFont val="Calibri"/>
            <family val="2"/>
            <scheme val="minor"/>
          </rPr>
          <t>======
ID#AAABBDvrTuk
Gavin Mudd    (2023-11-22 00:03:27)
- data from Herrington et al 2005.</t>
        </r>
      </text>
    </comment>
    <comment ref="K765" authorId="0" shapeId="0" xr:uid="{0D963AB5-1F76-B843-AB19-805D5DAEB404}">
      <text>
        <r>
          <rPr>
            <sz val="10"/>
            <color rgb="FF000000"/>
            <rFont val="Calibri"/>
            <family val="2"/>
            <scheme val="minor"/>
          </rPr>
          <t>======
ID#AAABBDvrTpM
Gavin Mudd    (2023-11-22 00:03:27)
- data from Herrington et al 2005.</t>
        </r>
      </text>
    </comment>
    <comment ref="L765" authorId="0" shapeId="0" xr:uid="{C2873E66-4318-5148-9318-3FA55BA4A865}">
      <text>
        <r>
          <rPr>
            <sz val="10"/>
            <color rgb="FF000000"/>
            <rFont val="Calibri"/>
            <family val="2"/>
            <scheme val="minor"/>
          </rPr>
          <t>======
ID#AAABBDvrTkE
Gavin Mudd    (2023-11-22 00:03:26)
- data from Herrington et al 2005.</t>
        </r>
      </text>
    </comment>
    <comment ref="M765" authorId="0" shapeId="0" xr:uid="{CFF07327-3F8E-8A41-934B-E03C7B591644}">
      <text>
        <r>
          <rPr>
            <sz val="10"/>
            <color rgb="FF000000"/>
            <rFont val="Calibri"/>
            <family val="2"/>
            <scheme val="minor"/>
          </rPr>
          <t>======
ID#AAABBDvrTi4
Gavin Mudd    (2023-11-22 00:03:26)
- data from Herrington et al 2005.</t>
        </r>
      </text>
    </comment>
    <comment ref="H766" authorId="0" shapeId="0" xr:uid="{991AAD1B-4C3E-D849-8AC1-A091E0E0EE0E}">
      <text>
        <r>
          <rPr>
            <sz val="10"/>
            <color rgb="FF000000"/>
            <rFont val="Calibri"/>
            <family val="2"/>
            <scheme val="minor"/>
          </rPr>
          <t>======
ID#AAABBDvrTmc
Gavin Mudd    (2023-11-22 00:03:27)
- data from Herrington et al 2005.</t>
        </r>
      </text>
    </comment>
    <comment ref="J766" authorId="0" shapeId="0" xr:uid="{BA4FC2E0-AB28-384D-BC3A-F33682EEAFDD}">
      <text>
        <r>
          <rPr>
            <sz val="10"/>
            <color rgb="FF000000"/>
            <rFont val="Calibri"/>
            <family val="2"/>
            <scheme val="minor"/>
          </rPr>
          <t>======
ID#AAABBDvrTpw
Gavin Mudd    (2023-11-22 00:03:27)
- data from Herrington et al 2005.</t>
        </r>
      </text>
    </comment>
    <comment ref="K766" authorId="0" shapeId="0" xr:uid="{444BE6BD-D4BD-C04D-859E-BBDE6B9FDDB9}">
      <text>
        <r>
          <rPr>
            <sz val="10"/>
            <color rgb="FF000000"/>
            <rFont val="Calibri"/>
            <family val="2"/>
            <scheme val="minor"/>
          </rPr>
          <t>======
ID#AAABBDvrTuo
Gavin Mudd    (2023-11-22 00:03:27)
- data from Herrington et al 2005.</t>
        </r>
      </text>
    </comment>
    <comment ref="L766" authorId="0" shapeId="0" xr:uid="{709BF077-35FB-2049-A698-95F216162778}">
      <text>
        <r>
          <rPr>
            <sz val="10"/>
            <color rgb="FF000000"/>
            <rFont val="Calibri"/>
            <family val="2"/>
            <scheme val="minor"/>
          </rPr>
          <t>======
ID#AAABBDvrTuU
Gavin Mudd    (2023-11-22 00:03:27)
- data from Herrington et al 2005.</t>
        </r>
      </text>
    </comment>
    <comment ref="M766" authorId="0" shapeId="0" xr:uid="{C2B0E439-B08D-0349-96E1-B540E29E9119}">
      <text>
        <r>
          <rPr>
            <sz val="10"/>
            <color rgb="FF000000"/>
            <rFont val="Calibri"/>
            <family val="2"/>
            <scheme val="minor"/>
          </rPr>
          <t>======
ID#AAABBDvrTqk
Gavin Mudd    (2023-11-22 00:03:27)
- data from Herrington et al 2005.</t>
        </r>
      </text>
    </comment>
    <comment ref="H767" authorId="0" shapeId="0" xr:uid="{0E0C8F87-1997-EE47-9D3C-F547A20117E5}">
      <text>
        <r>
          <rPr>
            <sz val="10"/>
            <color rgb="FF000000"/>
            <rFont val="Calibri"/>
            <family val="2"/>
            <scheme val="minor"/>
          </rPr>
          <t>======
ID#AAABBDvrTh4
Gavin Mudd    (2023-11-22 00:03:26)
- data from Herrington et al 2005.</t>
        </r>
      </text>
    </comment>
    <comment ref="J767" authorId="0" shapeId="0" xr:uid="{C7B0BCF3-5335-E743-8221-D77AEFDD2ABA}">
      <text>
        <r>
          <rPr>
            <sz val="10"/>
            <color rgb="FF000000"/>
            <rFont val="Calibri"/>
            <family val="2"/>
            <scheme val="minor"/>
          </rPr>
          <t>======
ID#AAABBDvrTjQ
Gavin Mudd    (2023-11-22 00:03:26)
- data from Herrington et al 2005.</t>
        </r>
      </text>
    </comment>
    <comment ref="L767" authorId="0" shapeId="0" xr:uid="{79B07303-3B9F-DD43-9FC9-BC0CFD79DD5A}">
      <text>
        <r>
          <rPr>
            <sz val="10"/>
            <color rgb="FF000000"/>
            <rFont val="Calibri"/>
            <family val="2"/>
            <scheme val="minor"/>
          </rPr>
          <t>======
ID#AAABBDvrTro
Gavin Mudd    (2023-11-22 00:03:27)
- data from Herrington et al 2005.</t>
        </r>
      </text>
    </comment>
    <comment ref="H768" authorId="0" shapeId="0" xr:uid="{D6948F08-8371-4E4E-9FCA-0C25B92D3248}">
      <text>
        <r>
          <rPr>
            <sz val="10"/>
            <color rgb="FF000000"/>
            <rFont val="Calibri"/>
            <family val="2"/>
            <scheme val="minor"/>
          </rPr>
          <t>======
ID#AAABBDvrTmU
Gavin Mudd    (2023-11-22 00:03:27)
- data from Herrington et al 2005.</t>
        </r>
      </text>
    </comment>
    <comment ref="J768" authorId="0" shapeId="0" xr:uid="{6C716D8F-E13D-C74C-8AE1-BA9C84E6A4A8}">
      <text>
        <r>
          <rPr>
            <sz val="10"/>
            <color rgb="FF000000"/>
            <rFont val="Calibri"/>
            <family val="2"/>
            <scheme val="minor"/>
          </rPr>
          <t>======
ID#AAABBDvrTvU
Gavin Mudd    (2023-11-22 00:03:27)
- data from Herrington et al 2005.</t>
        </r>
      </text>
    </comment>
    <comment ref="K768" authorId="0" shapeId="0" xr:uid="{B8DC6F72-DC12-274F-A0E2-E5077D1681C9}">
      <text>
        <r>
          <rPr>
            <sz val="10"/>
            <color rgb="FF000000"/>
            <rFont val="Calibri"/>
            <family val="2"/>
            <scheme val="minor"/>
          </rPr>
          <t>======
ID#AAABBDvrTv8
Gavin Mudd    (2023-11-22 00:03:27)
- data from Herrington et al 2005.</t>
        </r>
      </text>
    </comment>
    <comment ref="L768" authorId="0" shapeId="0" xr:uid="{AA8F0CAD-FFEA-5A4F-9491-46BFE716057D}">
      <text>
        <r>
          <rPr>
            <sz val="10"/>
            <color rgb="FF000000"/>
            <rFont val="Calibri"/>
            <family val="2"/>
            <scheme val="minor"/>
          </rPr>
          <t>======
ID#AAABBDvrThI
Gavin Mudd    (2023-11-22 00:03:26)
- data from Herrington et al 2005.</t>
        </r>
      </text>
    </comment>
    <comment ref="M768" authorId="0" shapeId="0" xr:uid="{7E4430FD-6146-6947-8A1B-812781215F49}">
      <text>
        <r>
          <rPr>
            <sz val="10"/>
            <color rgb="FF000000"/>
            <rFont val="Calibri"/>
            <family val="2"/>
            <scheme val="minor"/>
          </rPr>
          <t>======
ID#AAABBDvrTiE
Gavin Mudd    (2023-11-22 00:03:26)
- data from Herrington et al 2005.</t>
        </r>
      </text>
    </comment>
    <comment ref="F809" authorId="0" shapeId="0" xr:uid="{C3BBCD76-8FA1-7E4C-BA0C-C5D52F91F3D4}">
      <text>
        <r>
          <rPr>
            <sz val="10"/>
            <color rgb="FF000000"/>
            <rFont val="Calibri"/>
            <family val="2"/>
            <scheme val="minor"/>
          </rPr>
          <t>======
ID#AAABBDvrTgg
Gavin Mudd    (2023-11-22 00:03:26)
Gavin Mudd:</t>
        </r>
      </text>
    </comment>
    <comment ref="F810" authorId="0" shapeId="0" xr:uid="{5B978604-A405-B14E-81BF-847A34036FA6}">
      <text>
        <r>
          <rPr>
            <sz val="10"/>
            <color rgb="FF000000"/>
            <rFont val="Calibri"/>
            <family val="2"/>
            <scheme val="minor"/>
          </rPr>
          <t>======
ID#AAABBDvrTkQ
Gavin Mudd    (2023-11-22 00:03:26)
Gavin Mudd:</t>
        </r>
      </text>
    </comment>
    <comment ref="F811" authorId="0" shapeId="0" xr:uid="{D25C1A16-9904-5C4D-BBC8-BA22A19D6804}">
      <text>
        <r>
          <rPr>
            <sz val="10"/>
            <color rgb="FF000000"/>
            <rFont val="Calibri"/>
            <family val="2"/>
            <scheme val="minor"/>
          </rPr>
          <t>======
ID#AAABBDvrTrQ
Gavin Mudd    (2023-11-22 00:03:27)
Gavin Mudd:</t>
        </r>
      </text>
    </comment>
    <comment ref="F812" authorId="0" shapeId="0" xr:uid="{BCED63D6-E4A4-0C4D-BC47-4F083EA49CF4}">
      <text>
        <r>
          <rPr>
            <sz val="10"/>
            <color rgb="FF000000"/>
            <rFont val="Calibri"/>
            <family val="2"/>
            <scheme val="minor"/>
          </rPr>
          <t>======
ID#AAABBDvrTfM
Gavin Mudd    (2023-11-22 00:03:26)
Gavin Mudd:</t>
        </r>
      </text>
    </comment>
    <comment ref="I812" authorId="0" shapeId="0" xr:uid="{5B619E3F-006F-8840-839F-BAC3708E0A93}">
      <text>
        <r>
          <rPr>
            <sz val="10"/>
            <color rgb="FF000000"/>
            <rFont val="Calibri"/>
            <family val="2"/>
            <scheme val="minor"/>
          </rPr>
          <t>======
ID#AAABBDvrTtY
Gavin Mudd    (2023-11-22 00:03:27)
- assumed based on 2-5% Pb+Zn</t>
        </r>
      </text>
    </comment>
    <comment ref="J812" authorId="0" shapeId="0" xr:uid="{9A0C1CC1-0415-1047-AE47-748DBE378311}">
      <text>
        <r>
          <rPr>
            <sz val="10"/>
            <color rgb="FF000000"/>
            <rFont val="Calibri"/>
            <family val="2"/>
            <scheme val="minor"/>
          </rPr>
          <t>======
ID#AAABBDvrTqY
Gavin Mudd    (2023-11-22 00:03:27)
- assumed based on 2-5% Pb+Zn</t>
        </r>
      </text>
    </comment>
    <comment ref="F813" authorId="0" shapeId="0" xr:uid="{63C5FC2B-C56E-9444-9150-81B0223986E8}">
      <text>
        <r>
          <rPr>
            <sz val="10"/>
            <color rgb="FF000000"/>
            <rFont val="Calibri"/>
            <family val="2"/>
            <scheme val="minor"/>
          </rPr>
          <t>======
ID#AAABBDvrTp4
Gavin Mudd    (2023-11-22 00:03:27)
Gavin Mudd:</t>
        </r>
      </text>
    </comment>
    <comment ref="I813" authorId="0" shapeId="0" xr:uid="{B4DB10B7-A44D-8849-B4A0-FD4AFD34DA80}">
      <text>
        <r>
          <rPr>
            <sz val="10"/>
            <color rgb="FF000000"/>
            <rFont val="Calibri"/>
            <family val="2"/>
            <scheme val="minor"/>
          </rPr>
          <t>======
ID#AAABBDvrTvY
Gavin Mudd    (2023-11-22 00:03:27)
- assumed half of 3.5% Pb+Zn</t>
        </r>
      </text>
    </comment>
    <comment ref="J813" authorId="0" shapeId="0" xr:uid="{DB264AC1-7EC9-1F42-BB0E-6A399E5F9455}">
      <text>
        <r>
          <rPr>
            <sz val="10"/>
            <color rgb="FF000000"/>
            <rFont val="Calibri"/>
            <family val="2"/>
            <scheme val="minor"/>
          </rPr>
          <t>======
ID#AAABBDvrTnQ
Gavin Mudd    (2023-11-22 00:03:27)
- assumed half of 3.5% Pb+Zn</t>
        </r>
      </text>
    </comment>
    <comment ref="F814" authorId="0" shapeId="0" xr:uid="{4BCA07FC-40F9-604A-8856-71F0698DBCEF}">
      <text>
        <r>
          <rPr>
            <sz val="10"/>
            <color rgb="FF000000"/>
            <rFont val="Calibri"/>
            <family val="2"/>
            <scheme val="minor"/>
          </rPr>
          <t>======
ID#AAABBDvrTo0
Gavin Mudd    (2023-11-22 00:03:27)
Gavin Mudd:</t>
        </r>
      </text>
    </comment>
  </commentList>
</comments>
</file>

<file path=xl/sharedStrings.xml><?xml version="1.0" encoding="utf-8"?>
<sst xmlns="http://schemas.openxmlformats.org/spreadsheetml/2006/main" count="5564" uniqueCount="1685">
  <si>
    <t>Primary Deposit Type</t>
  </si>
  <si>
    <t>Secondary Deposit Type</t>
  </si>
  <si>
    <t>Company</t>
  </si>
  <si>
    <t>Source</t>
  </si>
  <si>
    <t>Mt ore</t>
  </si>
  <si>
    <t>%Pb</t>
  </si>
  <si>
    <t>%Zn</t>
  </si>
  <si>
    <t>g/t Ag</t>
  </si>
  <si>
    <t>%Cu</t>
  </si>
  <si>
    <t>g/t Au</t>
  </si>
  <si>
    <t>%Ba</t>
  </si>
  <si>
    <t>%Ni</t>
  </si>
  <si>
    <t>%Co</t>
  </si>
  <si>
    <t>%Sn</t>
  </si>
  <si>
    <t>g/t In</t>
  </si>
  <si>
    <t>%Mo</t>
  </si>
  <si>
    <t>%Fe</t>
  </si>
  <si>
    <t>%WO3</t>
  </si>
  <si>
    <t>%U3O8</t>
  </si>
  <si>
    <t>%As</t>
  </si>
  <si>
    <t>%V</t>
  </si>
  <si>
    <t>Other</t>
  </si>
  <si>
    <t>Mt Pb</t>
  </si>
  <si>
    <t>Mt Zn</t>
  </si>
  <si>
    <t>t Ag</t>
  </si>
  <si>
    <t>t Au</t>
  </si>
  <si>
    <t>Mt Cu</t>
  </si>
  <si>
    <t>Mt Pb+Zn+Cu</t>
  </si>
  <si>
    <t>%Pb+Zn+Cu</t>
  </si>
  <si>
    <t>ore.%Pb</t>
  </si>
  <si>
    <t>ore.%Zn</t>
  </si>
  <si>
    <t>ore.g/t Ag</t>
  </si>
  <si>
    <t>ore.%Cu</t>
  </si>
  <si>
    <t>ore.g/t Au</t>
  </si>
  <si>
    <t>%metals</t>
  </si>
  <si>
    <t>Mt metals</t>
  </si>
  <si>
    <t>Ain Khala</t>
  </si>
  <si>
    <t>Algeria</t>
  </si>
  <si>
    <t>Sediment-hosted Pb-Zn</t>
  </si>
  <si>
    <t>MVT</t>
  </si>
  <si>
    <t>NC</t>
  </si>
  <si>
    <t>unknown</t>
  </si>
  <si>
    <t>USGS OFR 1297</t>
  </si>
  <si>
    <t>Boukdema-Kef Semmah</t>
  </si>
  <si>
    <t>Leach et al (2005)</t>
  </si>
  <si>
    <t>El Abed</t>
  </si>
  <si>
    <t>Kherzet Youcef</t>
  </si>
  <si>
    <t>Oued El Kebir</t>
  </si>
  <si>
    <t>VMS</t>
  </si>
  <si>
    <t>Kuroko</t>
  </si>
  <si>
    <t>C</t>
  </si>
  <si>
    <t>formerly Celamin Holdings</t>
  </si>
  <si>
    <t>Annual Report 2011</t>
  </si>
  <si>
    <t>Tala Hamza</t>
  </si>
  <si>
    <t>Epithermal</t>
  </si>
  <si>
    <t>Terramin Australia</t>
  </si>
  <si>
    <t>Annual Report 2013</t>
  </si>
  <si>
    <t>Tan Chaffao Est</t>
  </si>
  <si>
    <t>Cancor Mines</t>
  </si>
  <si>
    <t>Tech Rep (2012-02)</t>
  </si>
  <si>
    <t>Aguilar</t>
  </si>
  <si>
    <t>Argentina</t>
  </si>
  <si>
    <t>Sedex</t>
  </si>
  <si>
    <t>Glencore Xstrata</t>
  </si>
  <si>
    <t>Reserves-Resources 2013</t>
  </si>
  <si>
    <t>Los Azules</t>
  </si>
  <si>
    <t>Porphyry</t>
  </si>
  <si>
    <t>McEwen Mining</t>
  </si>
  <si>
    <t>Tech Rep (2013-10)</t>
  </si>
  <si>
    <t>Navidad</t>
  </si>
  <si>
    <t>Pan American Silver Corp.</t>
  </si>
  <si>
    <t>Ann Info Form 2013</t>
  </si>
  <si>
    <t>Pingüino</t>
  </si>
  <si>
    <t>Low sulfidation</t>
  </si>
  <si>
    <t>Argentex Mining Corp</t>
  </si>
  <si>
    <t>Tech Rep (2014-08)</t>
  </si>
  <si>
    <t>Pirquitas</t>
  </si>
  <si>
    <t>Low sulfidation?</t>
  </si>
  <si>
    <t>Silver Standard</t>
  </si>
  <si>
    <t>Akhtala (Alaverdi)</t>
  </si>
  <si>
    <t>Armenia</t>
  </si>
  <si>
    <t>Mederer et al 2014</t>
  </si>
  <si>
    <t>Armanis-Sagamar</t>
  </si>
  <si>
    <t>Global Metals</t>
  </si>
  <si>
    <t>Website (2016-05-01)</t>
  </si>
  <si>
    <t>Shahumyan (Kapan)</t>
  </si>
  <si>
    <t>Dundee Precious Metals</t>
  </si>
  <si>
    <t>Shamlugh</t>
  </si>
  <si>
    <t>Calder et al (2014)</t>
  </si>
  <si>
    <t>Marjan</t>
  </si>
  <si>
    <t>Global Gold Corp</t>
  </si>
  <si>
    <t>Website (2014-08-11)</t>
  </si>
  <si>
    <t>Admiral Bay</t>
  </si>
  <si>
    <t>Australia</t>
  </si>
  <si>
    <t>Kagara</t>
  </si>
  <si>
    <t>Ann Rep 2011</t>
  </si>
  <si>
    <t>Allison's Lode</t>
  </si>
  <si>
    <t>Zeehan Zinc / Creat Resources Holdings</t>
  </si>
  <si>
    <t>Media (2009-03-29)</t>
  </si>
  <si>
    <t>Altia</t>
  </si>
  <si>
    <t>Breakaway Resources (now Minotaur Exploration)</t>
  </si>
  <si>
    <t>Ann Rep 2012</t>
  </si>
  <si>
    <t>Anaconda</t>
  </si>
  <si>
    <t>Glencore (?)</t>
  </si>
  <si>
    <t>Minedex (2013-05-05)</t>
  </si>
  <si>
    <t>Angas</t>
  </si>
  <si>
    <t>Ann Rep 2013</t>
  </si>
  <si>
    <t>Area 55</t>
  </si>
  <si>
    <t>Magmatic sulfide</t>
  </si>
  <si>
    <t>Sediment-hosted polymetallic</t>
  </si>
  <si>
    <t>Hunnan Australia Resources</t>
  </si>
  <si>
    <t>Ann Rep 2007 (Compass Res.)</t>
  </si>
  <si>
    <t>Balcooma Group</t>
  </si>
  <si>
    <t>Bali Hi</t>
  </si>
  <si>
    <t>Artemis Resources (?)</t>
  </si>
  <si>
    <t>Barrow Creek-Home of Bullion</t>
  </si>
  <si>
    <t>Kidman Resources</t>
  </si>
  <si>
    <t>Ann Rep 2015</t>
  </si>
  <si>
    <t>Belara</t>
  </si>
  <si>
    <t>Ironbark Zinc</t>
  </si>
  <si>
    <t>Website (2013-03-22)</t>
  </si>
  <si>
    <t>Bentley</t>
  </si>
  <si>
    <t>Independence Group</t>
  </si>
  <si>
    <t>Bowdens</t>
  </si>
  <si>
    <t>Kingsgate Consolidated</t>
  </si>
  <si>
    <t>Broken Hill (Aust)</t>
  </si>
  <si>
    <t>Perilya Mines</t>
  </si>
  <si>
    <t>media (2012-12-28)</t>
  </si>
  <si>
    <t>Broken Hill (Aust)-Rasp</t>
  </si>
  <si>
    <t>Toho Zinc</t>
  </si>
  <si>
    <t>Ann Rep 2009 (CBH)</t>
  </si>
  <si>
    <t>Browns Reef</t>
  </si>
  <si>
    <t>Orogenic Au</t>
  </si>
  <si>
    <t>Comet Resources</t>
  </si>
  <si>
    <t>Ann Rep 2007</t>
  </si>
  <si>
    <t>Brown's-Brown's East</t>
  </si>
  <si>
    <t>HNC Australia Resources</t>
  </si>
  <si>
    <t>NT DME Fact Sheet 2013-09</t>
  </si>
  <si>
    <t>Bulman</t>
  </si>
  <si>
    <t>Admiralty Resources</t>
  </si>
  <si>
    <t>Burns Peak</t>
  </si>
  <si>
    <t>Mancala Resources Pty Ltd</t>
  </si>
  <si>
    <t>DPEMP (2014)</t>
  </si>
  <si>
    <t>Burnside-Iron Blow</t>
  </si>
  <si>
    <t>Crocodile Gold</t>
  </si>
  <si>
    <t>Tech Rep (2013-07)</t>
  </si>
  <si>
    <t>Cannington</t>
  </si>
  <si>
    <t>BHP Billiton</t>
  </si>
  <si>
    <t>Carboona</t>
  </si>
  <si>
    <t>Aust Mines Atlas (2013-10-01)</t>
  </si>
  <si>
    <t>%F</t>
  </si>
  <si>
    <t>Century-Century East</t>
  </si>
  <si>
    <t>MMG</t>
  </si>
  <si>
    <t>Chakola-Harnett Central</t>
  </si>
  <si>
    <t>Capital Mining</t>
  </si>
  <si>
    <t>Comstock (Australia)</t>
  </si>
  <si>
    <t>Conrad-King Conrad-Greisen</t>
  </si>
  <si>
    <t>Skarn</t>
  </si>
  <si>
    <t>Malachite Resources</t>
  </si>
  <si>
    <t>Ann Rep 2009</t>
  </si>
  <si>
    <t>Coxco</t>
  </si>
  <si>
    <t>Daly River Anomaly A</t>
  </si>
  <si>
    <t>Troy Resources</t>
  </si>
  <si>
    <t>Develin Creek-Rookwood</t>
  </si>
  <si>
    <t>Fitzroy Resources</t>
  </si>
  <si>
    <t>Djibigan (Manbarrum)</t>
  </si>
  <si>
    <t>Sediment-hosted Pb-Zn?</t>
  </si>
  <si>
    <t>Sedex?</t>
  </si>
  <si>
    <t>TNG Ltd (sold to Legacy Iron late 2013)</t>
  </si>
  <si>
    <t>Dugald River</t>
  </si>
  <si>
    <t>Eastman</t>
  </si>
  <si>
    <t>Massive Resources Pty Ltd</t>
  </si>
  <si>
    <t>Ediacara</t>
  </si>
  <si>
    <t>SA DMITRE Website (2014-12-15)</t>
  </si>
  <si>
    <t>Emull-Lamboo</t>
  </si>
  <si>
    <t>Northern Star Resources</t>
  </si>
  <si>
    <t>Endeavour (Elura)</t>
  </si>
  <si>
    <t>Tech Rep (2013-04) (Couer Mining)</t>
  </si>
  <si>
    <t>Evelyn</t>
  </si>
  <si>
    <t>Explorer 108</t>
  </si>
  <si>
    <t>Westgold Resources (now Metals-X)</t>
  </si>
  <si>
    <t>Federation</t>
  </si>
  <si>
    <t>Flinders Group</t>
  </si>
  <si>
    <t>Fossey-Fossey East</t>
  </si>
  <si>
    <t>Bass Metals</t>
  </si>
  <si>
    <t>Golden Grove</t>
  </si>
  <si>
    <t>Gossan Dam-Bonnie Rock</t>
  </si>
  <si>
    <t>Epithermal?</t>
  </si>
  <si>
    <t>Grants Creek-Wilsons Reef</t>
  </si>
  <si>
    <t>Firestrike Resources</t>
  </si>
  <si>
    <t>Grieves Quarry</t>
  </si>
  <si>
    <t>Icon Resources</t>
  </si>
  <si>
    <t>Website (2013-03-24)</t>
  </si>
  <si>
    <t>Hellyer Remnants</t>
  </si>
  <si>
    <r>
      <rPr>
        <sz val="10"/>
        <color theme="1"/>
        <rFont val="Arial"/>
        <family val="2"/>
      </rPr>
      <t xml:space="preserve">Hellyer </t>
    </r>
    <r>
      <rPr>
        <b/>
        <sz val="10"/>
        <color rgb="FFFF0000"/>
        <rFont val="Arial"/>
        <family val="2"/>
      </rPr>
      <t>Tailings</t>
    </r>
  </si>
  <si>
    <r>
      <rPr>
        <sz val="10"/>
        <color rgb="FFFF0000"/>
        <rFont val="Arial"/>
        <family val="2"/>
      </rPr>
      <t xml:space="preserve">VMS </t>
    </r>
    <r>
      <rPr>
        <b/>
        <sz val="10"/>
        <color rgb="FFFF0000"/>
        <rFont val="Arial"/>
        <family val="2"/>
      </rPr>
      <t>Tailings</t>
    </r>
  </si>
  <si>
    <t>TC</t>
  </si>
  <si>
    <t>Ivy Resources</t>
  </si>
  <si>
    <t>Ann Rep 2011 (Bass Metals)</t>
  </si>
  <si>
    <t>Hera</t>
  </si>
  <si>
    <t>YTC Resources</t>
  </si>
  <si>
    <t>Higgs</t>
  </si>
  <si>
    <t>Frontier Resources (?)</t>
  </si>
  <si>
    <t>Jackson-Stella-Chloe Trend</t>
  </si>
  <si>
    <t>Kagara (?)</t>
  </si>
  <si>
    <t>Ann Rep 2011 (Copper Strike)</t>
  </si>
  <si>
    <t>Jaguar</t>
  </si>
  <si>
    <t>Jervois Group</t>
  </si>
  <si>
    <t>Possibly Sedex</t>
  </si>
  <si>
    <t>KGL-Kentor Gold</t>
  </si>
  <si>
    <t>Kamarga-JB</t>
  </si>
  <si>
    <t>RMG</t>
  </si>
  <si>
    <t>Kangaroo Caves</t>
  </si>
  <si>
    <t>Venturex Resources</t>
  </si>
  <si>
    <t>Kangiara</t>
  </si>
  <si>
    <t>Porpphyry Cu-Au</t>
  </si>
  <si>
    <t>Paradigm Metals</t>
  </si>
  <si>
    <t>Kempfield</t>
  </si>
  <si>
    <t>Argent Minerals</t>
  </si>
  <si>
    <t>Koonenberry</t>
  </si>
  <si>
    <t>Ausmon Resources</t>
  </si>
  <si>
    <t>Kroombit (Cu+Zn/Cu)</t>
  </si>
  <si>
    <t>Argonaut Resources</t>
  </si>
  <si>
    <t>Media (2009-06-11)</t>
  </si>
  <si>
    <t>Lady Loretta</t>
  </si>
  <si>
    <t>ResV ResC 2013</t>
  </si>
  <si>
    <t>Lennard Shelf Group</t>
  </si>
  <si>
    <t>North-West Mining &amp; Geology Group (formerly Meridian Minerals)</t>
  </si>
  <si>
    <t>Lennon's Find</t>
  </si>
  <si>
    <t>Laconia Resources (sold to Musketeer Minerals Pty Ltd late 2013)</t>
  </si>
  <si>
    <t>Lewis Ponds</t>
  </si>
  <si>
    <t>TriAusMin</t>
  </si>
  <si>
    <t>Liberty-Indee (Evelyn)</t>
  </si>
  <si>
    <t>Magellan</t>
  </si>
  <si>
    <t>Non-sulfide MVT</t>
  </si>
  <si>
    <t>Ivernia</t>
  </si>
  <si>
    <t>Manindi-Freddie Well</t>
  </si>
  <si>
    <t>Metals Australia</t>
  </si>
  <si>
    <t>Maramungee</t>
  </si>
  <si>
    <t>Williams &amp; Heinemann (1993)</t>
  </si>
  <si>
    <t>Mariposa</t>
  </si>
  <si>
    <t>Mayfield</t>
  </si>
  <si>
    <t>Forge Resources / Capital Mining</t>
  </si>
  <si>
    <t>Ann Rep 2013 (Capital)</t>
  </si>
  <si>
    <t>McArthur River</t>
  </si>
  <si>
    <t>Menninnie Dam</t>
  </si>
  <si>
    <t>Merlin-Little Wizard</t>
  </si>
  <si>
    <t>IOCG</t>
  </si>
  <si>
    <t>Cloncurry-type</t>
  </si>
  <si>
    <t>Inova Res. (formerly Ivanhoe Aust.)</t>
  </si>
  <si>
    <t>Tech Rep (2010-10)</t>
  </si>
  <si>
    <t>g/t Re</t>
  </si>
  <si>
    <t>Mons Cupri</t>
  </si>
  <si>
    <t>Morrison</t>
  </si>
  <si>
    <t>Aust Mines Atlas (2013-09-30)</t>
  </si>
  <si>
    <t>Mt Angelo North</t>
  </si>
  <si>
    <t>Porphyry Cu-Au-Pb-Zn</t>
  </si>
  <si>
    <t>3D Resources</t>
  </si>
  <si>
    <t>Mt Ararat</t>
  </si>
  <si>
    <t>Stavely Minerals</t>
  </si>
  <si>
    <t>Media (2015-09-08)</t>
  </si>
  <si>
    <t>Mt Bonnie</t>
  </si>
  <si>
    <t>Mt Charter</t>
  </si>
  <si>
    <t>Mt Clement-Eastern Hills</t>
  </si>
  <si>
    <t>Artemis Resources</t>
  </si>
  <si>
    <t>%Sb</t>
  </si>
  <si>
    <t>Mt Dore</t>
  </si>
  <si>
    <t>Mt Garnet Group</t>
  </si>
  <si>
    <t>Mt Isa (Open Cut)</t>
  </si>
  <si>
    <t>Mt Isa-Black Star</t>
  </si>
  <si>
    <t>Mt Isa-George Fisher North</t>
  </si>
  <si>
    <t>Mt Isa-George Fisher South (Hilton)</t>
  </si>
  <si>
    <t>Mt Isa-Handle Bar Hill</t>
  </si>
  <si>
    <t>Mt Moss</t>
  </si>
  <si>
    <t>Curtain Bros (Qld)</t>
  </si>
  <si>
    <t>Qld Met. Ind. Mines 2012</t>
  </si>
  <si>
    <t>Mt Mulcahy</t>
  </si>
  <si>
    <t>Black Raven Mining</t>
  </si>
  <si>
    <t>Mulgul-Jillawarra (Abra)</t>
  </si>
  <si>
    <t>Hunan Nonferrous Metals</t>
  </si>
  <si>
    <t>Ann Rep 2010 (Jabiru Metals; also Minedex)</t>
  </si>
  <si>
    <t>Myrtle</t>
  </si>
  <si>
    <t>Rox Resources</t>
  </si>
  <si>
    <t>Narrawa</t>
  </si>
  <si>
    <t>Torque Mining (formerly Frontier Resources)</t>
  </si>
  <si>
    <t>Prospectus (2013-07)</t>
  </si>
  <si>
    <t>Nightflower-Digger Lode</t>
  </si>
  <si>
    <t>media (2008-09-26) (Axiom Mining)</t>
  </si>
  <si>
    <t>Nimbus</t>
  </si>
  <si>
    <t>High sulfidation</t>
  </si>
  <si>
    <t>MacPhersons Resources</t>
  </si>
  <si>
    <t>Tech Rep (2013-11)</t>
  </si>
  <si>
    <t>g/t Hg</t>
  </si>
  <si>
    <t>Northampton-Mary Springs</t>
  </si>
  <si>
    <t>Prospect Resources (formerly Ethan Minerals)</t>
  </si>
  <si>
    <t>Nymagee</t>
  </si>
  <si>
    <t>O'Callaghans</t>
  </si>
  <si>
    <t>Newcrest Mining</t>
  </si>
  <si>
    <t>Oceana</t>
  </si>
  <si>
    <t>Onedin (Koongie Park)</t>
  </si>
  <si>
    <t>Anglo Australian Resources</t>
  </si>
  <si>
    <t>Parkers Hill (Mineral Hill)</t>
  </si>
  <si>
    <t>KBL Mining</t>
  </si>
  <si>
    <t>Peelwood North/South</t>
  </si>
  <si>
    <t>Balamara Resources (Sultan Corp)</t>
  </si>
  <si>
    <t>Pegmont</t>
  </si>
  <si>
    <t>Pegmont Mines</t>
  </si>
  <si>
    <t>Peterlumbo-Paris</t>
  </si>
  <si>
    <t>High sulfidation?</t>
  </si>
  <si>
    <t>Investigator Resources</t>
  </si>
  <si>
    <t>Media (2013-10-15)</t>
  </si>
  <si>
    <t>Prairie Downs</t>
  </si>
  <si>
    <t>Prairie Downs Metals (now Brumby Resources)</t>
  </si>
  <si>
    <t>Que River-Que River S Lens</t>
  </si>
  <si>
    <t>Queenslander</t>
  </si>
  <si>
    <t>Quinns-Austin</t>
  </si>
  <si>
    <t>Caravel Minerals (formerly Silver Swan Group)</t>
  </si>
  <si>
    <t>Railway Flat</t>
  </si>
  <si>
    <t>Range &amp; Turtle/Copper Ridge</t>
  </si>
  <si>
    <t>Onslow Minerals</t>
  </si>
  <si>
    <t>Red Cap Group</t>
  </si>
  <si>
    <t>Qtr 2012-06</t>
  </si>
  <si>
    <t>Rosebery-South Hercules</t>
  </si>
  <si>
    <t>Salt Creek</t>
  </si>
  <si>
    <t>Sandiego</t>
  </si>
  <si>
    <t>Sandy Creek</t>
  </si>
  <si>
    <t>TNG Ltd</t>
  </si>
  <si>
    <t>Silver King</t>
  </si>
  <si>
    <t>Sorby Hills</t>
  </si>
  <si>
    <t>Stockman</t>
  </si>
  <si>
    <t>Sulphur Springs</t>
  </si>
  <si>
    <t>Sunny Corner</t>
  </si>
  <si>
    <t>Sunshine</t>
  </si>
  <si>
    <t>Stonehenge Metals (?)</t>
  </si>
  <si>
    <t>Sunter</t>
  </si>
  <si>
    <t>Tally Ho</t>
  </si>
  <si>
    <t>Orogenic Au?</t>
  </si>
  <si>
    <t>Alcyone Resources</t>
  </si>
  <si>
    <t>Ann Rep 2008</t>
  </si>
  <si>
    <t>Teena</t>
  </si>
  <si>
    <t>Media (2016-06-01)</t>
  </si>
  <si>
    <t>Teutonic Bore</t>
  </si>
  <si>
    <t>Thalanga Group</t>
  </si>
  <si>
    <t>Trilogy</t>
  </si>
  <si>
    <t>Associated with Kundip</t>
  </si>
  <si>
    <t>Silver Lake Resources</t>
  </si>
  <si>
    <t>Ann Rep 2012/2013</t>
  </si>
  <si>
    <t>Turner River-Orchard Well/Discovery</t>
  </si>
  <si>
    <t>De Grey Mining</t>
  </si>
  <si>
    <t>Wagga Tank</t>
  </si>
  <si>
    <t>MMG51%, Golden Cross Resources49%</t>
  </si>
  <si>
    <t>Ann Rep 2001 (GCR)</t>
  </si>
  <si>
    <t>Walford Creek</t>
  </si>
  <si>
    <t>Aeon Metals</t>
  </si>
  <si>
    <t>ASX (2014-04-03)</t>
  </si>
  <si>
    <t>Webbs</t>
  </si>
  <si>
    <t>Silver Mines</t>
  </si>
  <si>
    <t>Whim Creek</t>
  </si>
  <si>
    <t>Whundo Cu-Zn / Zn</t>
  </si>
  <si>
    <t>Fox Resources</t>
  </si>
  <si>
    <t>Wonawinta</t>
  </si>
  <si>
    <t>MVT?</t>
  </si>
  <si>
    <t>Cobar Consolidated Resources</t>
  </si>
  <si>
    <t>Inv Pres 2014-03</t>
  </si>
  <si>
    <r>
      <rPr>
        <sz val="10"/>
        <color theme="1"/>
        <rFont val="Arial"/>
        <family val="2"/>
      </rPr>
      <t xml:space="preserve">Woodlawn </t>
    </r>
    <r>
      <rPr>
        <b/>
        <sz val="10"/>
        <color rgb="FFFF0000"/>
        <rFont val="Arial"/>
        <family val="2"/>
      </rPr>
      <t>Tailings</t>
    </r>
  </si>
  <si>
    <r>
      <rPr>
        <sz val="10"/>
        <color theme="1"/>
        <rFont val="Arial"/>
        <family val="2"/>
      </rPr>
      <t xml:space="preserve">Sediment-hosted Pb-Zn/VMS </t>
    </r>
    <r>
      <rPr>
        <b/>
        <sz val="10"/>
        <color rgb="FFFF0000"/>
        <rFont val="Arial"/>
        <family val="2"/>
      </rPr>
      <t>Tailings</t>
    </r>
  </si>
  <si>
    <t>Sedex/VMS</t>
  </si>
  <si>
    <t>Woodlawn Underground</t>
  </si>
  <si>
    <t>Sediment-hosted Pb-Zn/VMS</t>
  </si>
  <si>
    <r>
      <rPr>
        <sz val="10"/>
        <color theme="1"/>
        <rFont val="Arial"/>
        <family val="2"/>
      </rPr>
      <t xml:space="preserve">Zeehan Group </t>
    </r>
    <r>
      <rPr>
        <b/>
        <sz val="10"/>
        <color rgb="FF008000"/>
        <rFont val="Arial"/>
        <family val="2"/>
      </rPr>
      <t>Slag</t>
    </r>
  </si>
  <si>
    <r>
      <rPr>
        <sz val="10"/>
        <color theme="1"/>
        <rFont val="Arial"/>
        <family val="2"/>
      </rPr>
      <t xml:space="preserve">VMS </t>
    </r>
    <r>
      <rPr>
        <b/>
        <sz val="10"/>
        <color rgb="FF008000"/>
        <rFont val="Arial"/>
        <family val="2"/>
      </rPr>
      <t>Slag</t>
    </r>
  </si>
  <si>
    <t>VMS Slag</t>
  </si>
  <si>
    <t>Intec Ltd</t>
  </si>
  <si>
    <t>Ann Rep 2007, 2013</t>
  </si>
  <si>
    <t>Filizchay (Filizchai)</t>
  </si>
  <si>
    <t>Azerbaijan</t>
  </si>
  <si>
    <t>Azerbaijan Gov't website (2015-04-24)</t>
  </si>
  <si>
    <t>Bolivar</t>
  </si>
  <si>
    <t>Bolivia</t>
  </si>
  <si>
    <t>Bolivian Polymetallic vein type?</t>
  </si>
  <si>
    <t>Caballo Blanco</t>
  </si>
  <si>
    <r>
      <rPr>
        <sz val="10"/>
        <color theme="1"/>
        <rFont val="Arial"/>
        <family val="2"/>
      </rPr>
      <t xml:space="preserve">La Solución </t>
    </r>
    <r>
      <rPr>
        <b/>
        <sz val="10"/>
        <color rgb="FFFF0000"/>
        <rFont val="Arial"/>
        <family val="2"/>
      </rPr>
      <t>Tailings</t>
    </r>
  </si>
  <si>
    <r>
      <rPr>
        <sz val="10"/>
        <color theme="1"/>
        <rFont val="Arial"/>
        <family val="2"/>
      </rPr>
      <t xml:space="preserve">Epithermal ? </t>
    </r>
    <r>
      <rPr>
        <b/>
        <sz val="10"/>
        <color rgb="FFFF0000"/>
        <rFont val="Arial"/>
        <family val="2"/>
      </rPr>
      <t>Tailings</t>
    </r>
  </si>
  <si>
    <t>Apogee Minerals</t>
  </si>
  <si>
    <t>Tech Rep (2007-11)</t>
  </si>
  <si>
    <t>La Solución-Veta Hampaturi Sur</t>
  </si>
  <si>
    <t>Tech Rep (2007-05)</t>
  </si>
  <si>
    <t>Malku Khota</t>
  </si>
  <si>
    <t>South American Silver Corp</t>
  </si>
  <si>
    <t>Tech Rep (2011-05)</t>
  </si>
  <si>
    <t>g/t Ga</t>
  </si>
  <si>
    <t>Paca</t>
  </si>
  <si>
    <t>Poopo</t>
  </si>
  <si>
    <t>Porco</t>
  </si>
  <si>
    <t>Pulacayo-Paya</t>
  </si>
  <si>
    <t>Apogee Minerals, COMIBOL</t>
  </si>
  <si>
    <t>Tech Rep (2013-01)</t>
  </si>
  <si>
    <t>San Vicente (Bolivia)</t>
  </si>
  <si>
    <t>Kihabe</t>
  </si>
  <si>
    <t>Botswana</t>
  </si>
  <si>
    <t>Mt Burgess Mining</t>
  </si>
  <si>
    <t>Nxuu</t>
  </si>
  <si>
    <t>Aripuanã (Ambrex-Arex-Expedito-Valley)</t>
  </si>
  <si>
    <t>Brazil</t>
  </si>
  <si>
    <t>Votorantim Metais-70%, Karmin Expl-30%</t>
  </si>
  <si>
    <t>Tech Rep (2013-02)</t>
  </si>
  <si>
    <t>Boquira</t>
  </si>
  <si>
    <t>Misi et al (1999)</t>
  </si>
  <si>
    <t>Canoas</t>
  </si>
  <si>
    <t>Fagundes</t>
  </si>
  <si>
    <t>Irecê</t>
  </si>
  <si>
    <t>Januaria</t>
  </si>
  <si>
    <t>Morro Agudo</t>
  </si>
  <si>
    <t>Cunha et al (2000)</t>
  </si>
  <si>
    <t>Nova Redenção (New Redemption)</t>
  </si>
  <si>
    <t>Filho et al (2001)</t>
  </si>
  <si>
    <t>%Cd</t>
  </si>
  <si>
    <t>Palmeirópolis</t>
  </si>
  <si>
    <t>Brandão et al (2000)</t>
  </si>
  <si>
    <t>Perau</t>
  </si>
  <si>
    <t>S. Maria</t>
  </si>
  <si>
    <t>Tres Irmas</t>
  </si>
  <si>
    <t>Vazante</t>
  </si>
  <si>
    <t>Monteiro et al (2007)</t>
  </si>
  <si>
    <t>Perkoa</t>
  </si>
  <si>
    <t>Burkina Faso</t>
  </si>
  <si>
    <t>Abcourt-Barvue</t>
  </si>
  <si>
    <t>Canada</t>
  </si>
  <si>
    <t>Abcourt Mines Inc</t>
  </si>
  <si>
    <t>Tech Rep (2014-04)</t>
  </si>
  <si>
    <t>Akie-Cardiac Creek</t>
  </si>
  <si>
    <t>Canada Zinc Metals</t>
  </si>
  <si>
    <t>Tech Rep (2012-05)</t>
  </si>
  <si>
    <t>Aldermac</t>
  </si>
  <si>
    <t>Abcourt Mines</t>
  </si>
  <si>
    <t>Ann Info Form 2011</t>
  </si>
  <si>
    <t>Amy</t>
  </si>
  <si>
    <t>?</t>
  </si>
  <si>
    <t>BC OFR (1998-10)</t>
  </si>
  <si>
    <t>Andrew (Lad)</t>
  </si>
  <si>
    <t>Mesothermal Vein</t>
  </si>
  <si>
    <t>Overland Resources</t>
  </si>
  <si>
    <t>g/t Ge</t>
  </si>
  <si>
    <t>Atlin-Ruffner</t>
  </si>
  <si>
    <t>Barvallée</t>
  </si>
  <si>
    <t>Bear</t>
  </si>
  <si>
    <t>unknown (Solid Res. Now Iberian Mins.??)</t>
  </si>
  <si>
    <t>NWT Guide 2007</t>
  </si>
  <si>
    <t>Bear-Twit</t>
  </si>
  <si>
    <t>Belfort (Roymont)</t>
  </si>
  <si>
    <t>Bend 1 (Canyon Zone)</t>
  </si>
  <si>
    <t>SEDEX</t>
  </si>
  <si>
    <t>Berrigan North (Taché)</t>
  </si>
  <si>
    <t>Chibougamau Independent Mines Inc</t>
  </si>
  <si>
    <t>Tech Rep (2012-08)</t>
  </si>
  <si>
    <t>Berrigan South (Lac Taché)</t>
  </si>
  <si>
    <t>Beveley</t>
  </si>
  <si>
    <t>Big Bull</t>
  </si>
  <si>
    <t>Chieftain Metals</t>
  </si>
  <si>
    <t>Tech Rep (2010-11)</t>
  </si>
  <si>
    <t>Big Ledge</t>
  </si>
  <si>
    <t>Min Deps Canada 2007 Goodfellow &amp; Lydon</t>
  </si>
  <si>
    <t>Big Showing (Teddy Glacier)</t>
  </si>
  <si>
    <t>Jazz Resources</t>
  </si>
  <si>
    <t>Blende</t>
  </si>
  <si>
    <t>Blind Creek Resources (formerly Eagle Plains Res.)</t>
  </si>
  <si>
    <t>Tech Rep (2007-08)</t>
  </si>
  <si>
    <t>Bobby's Pond</t>
  </si>
  <si>
    <t>Mountain Lake Resources</t>
  </si>
  <si>
    <t>Tech Rep (2008-09)</t>
  </si>
  <si>
    <t>Boomerang-Domino (Tulks South)</t>
  </si>
  <si>
    <t>Canadian Zinc Corp</t>
  </si>
  <si>
    <t>Bowler Creek</t>
  </si>
  <si>
    <t>Brabant Lake</t>
  </si>
  <si>
    <t>Manicougan Minerals</t>
  </si>
  <si>
    <t>Bracemac-McLeod</t>
  </si>
  <si>
    <t>Brandywine-Silver Tunnel-Northair</t>
  </si>
  <si>
    <t>Buckton-Buckton South</t>
  </si>
  <si>
    <t>Shale-hosted</t>
  </si>
  <si>
    <t>DNI Metals</t>
  </si>
  <si>
    <t>Tech Rep (2014-01)</t>
  </si>
  <si>
    <t>%TREO+Y; 10.9 g/t Sc, 70.2 g/t Li</t>
  </si>
  <si>
    <t>Cadieux</t>
  </si>
  <si>
    <t>(see Gatineau, Midland Expl'n)</t>
  </si>
  <si>
    <t>Caledonia</t>
  </si>
  <si>
    <t>BC OFR (1998-10), MINFILE 092L-061</t>
  </si>
  <si>
    <t>Caribou</t>
  </si>
  <si>
    <t>Trevali Mining Corp.</t>
  </si>
  <si>
    <t>Cassiar Camp</t>
  </si>
  <si>
    <t>Skarn-Manto</t>
  </si>
  <si>
    <t>Chester</t>
  </si>
  <si>
    <t>Explor Resources</t>
  </si>
  <si>
    <t>Chu Chua</t>
  </si>
  <si>
    <t>Reva Resources</t>
  </si>
  <si>
    <t>Cirque-South Cirque</t>
  </si>
  <si>
    <t>Teck Resources-50%, Korea Zinc-50%</t>
  </si>
  <si>
    <t>(Canada Zinc Metals; Tech Rep 2012-05 Pie)</t>
  </si>
  <si>
    <t>CK</t>
  </si>
  <si>
    <t>Clark</t>
  </si>
  <si>
    <t>Skarn-manto</t>
  </si>
  <si>
    <t>Yukon Gov't Zn profile</t>
  </si>
  <si>
    <t>Clear Lake</t>
  </si>
  <si>
    <t>Golden Predator (formerly Redtail Metals)</t>
  </si>
  <si>
    <t>Tech Rep (2010-02)</t>
  </si>
  <si>
    <t>Colby (Kingfisher-Noreen)</t>
  </si>
  <si>
    <t>Rich River Exploration (?)</t>
  </si>
  <si>
    <t>Corp Brochure</t>
  </si>
  <si>
    <t>Comstock (Canada)</t>
  </si>
  <si>
    <t>Copper Crown</t>
  </si>
  <si>
    <t>Cottonbelt</t>
  </si>
  <si>
    <t>Coulon</t>
  </si>
  <si>
    <t>Virginia Mines Inc</t>
  </si>
  <si>
    <t>Tech Rep (2009-05)</t>
  </si>
  <si>
    <t>Craig</t>
  </si>
  <si>
    <t>Glencore Xstrata (?)</t>
  </si>
  <si>
    <t>Cronin</t>
  </si>
  <si>
    <t>Damascus</t>
  </si>
  <si>
    <t>Gold Reach Resources</t>
  </si>
  <si>
    <t>Website (2016-07-11)</t>
  </si>
  <si>
    <t>Darcy</t>
  </si>
  <si>
    <t>Darin</t>
  </si>
  <si>
    <t>DEB</t>
  </si>
  <si>
    <t>Seabridge Gold (?)</t>
  </si>
  <si>
    <t>De Maurès</t>
  </si>
  <si>
    <t>Vior Expl. &amp; Mining website (2014-07-27)</t>
  </si>
  <si>
    <t>Domergue-Anomaly E</t>
  </si>
  <si>
    <t>Driftpile Creek</t>
  </si>
  <si>
    <t>Teck Resources</t>
  </si>
  <si>
    <t>Duck Pond</t>
  </si>
  <si>
    <t>Teck</t>
  </si>
  <si>
    <t>Duncan</t>
  </si>
  <si>
    <t>BC Geol Surv</t>
  </si>
  <si>
    <t>Duthie</t>
  </si>
  <si>
    <t>East Kemptville</t>
  </si>
  <si>
    <t>Skarn (Greisen)</t>
  </si>
  <si>
    <t>Avalon Rare Metals</t>
  </si>
  <si>
    <t>Factsheet</t>
  </si>
  <si>
    <t>Eclipse</t>
  </si>
  <si>
    <t>Geol Innuit 1991</t>
  </si>
  <si>
    <t>Ecstall</t>
  </si>
  <si>
    <t>Atna Resources</t>
  </si>
  <si>
    <t>Ericksen-Ashby</t>
  </si>
  <si>
    <t>Errington</t>
  </si>
  <si>
    <t>Esker</t>
  </si>
  <si>
    <t>Min Deps Canada 2007 Paradis et al</t>
  </si>
  <si>
    <t>Estrades-Caribou</t>
  </si>
  <si>
    <t>Cogitore Resources</t>
  </si>
  <si>
    <t>Tech Rep (2008-12)</t>
  </si>
  <si>
    <t>Explo-Zinc (Kistabiche)</t>
  </si>
  <si>
    <t>Ann Info Form 2008</t>
  </si>
  <si>
    <t>Faro</t>
  </si>
  <si>
    <t>Fault Creek</t>
  </si>
  <si>
    <t>Fyre Lake Tech Rep (Pacific Ridge)</t>
  </si>
  <si>
    <t>Fireweed</t>
  </si>
  <si>
    <t>Regulus Resources (formerly Jandar Res.)</t>
  </si>
  <si>
    <t>Tech Rep (2006-03; Jandar Res.)</t>
  </si>
  <si>
    <t>Gayna River</t>
  </si>
  <si>
    <t>unknown (Eagle Plains Res.??)</t>
  </si>
  <si>
    <t>George Lake</t>
  </si>
  <si>
    <t>unknown (formerly Golden Arch Resources?)</t>
  </si>
  <si>
    <t>Tech Rep (2007-04)</t>
  </si>
  <si>
    <t>Goz Creek (Barrier Reef)</t>
  </si>
  <si>
    <t>GP4F</t>
  </si>
  <si>
    <t>Shaanxi Non-ferrous Metals Holding Group Co Ltd</t>
  </si>
  <si>
    <t>Gray Rock</t>
  </si>
  <si>
    <t>Grizzly (Dy)</t>
  </si>
  <si>
    <t>Groundhog (Jeff-Lorne)</t>
  </si>
  <si>
    <t>unknown (Prism Reosurces?)</t>
  </si>
  <si>
    <t>Grum</t>
  </si>
  <si>
    <t>H.B.</t>
  </si>
  <si>
    <t>Hackett River</t>
  </si>
  <si>
    <t>Halfmile Lake</t>
  </si>
  <si>
    <t>Tech Rep (2011-08)</t>
  </si>
  <si>
    <t>Hart River</t>
  </si>
  <si>
    <t>High Lake</t>
  </si>
  <si>
    <t>Holliday</t>
  </si>
  <si>
    <t>Homestake</t>
  </si>
  <si>
    <t>Horne 5</t>
  </si>
  <si>
    <t>Falco Resources</t>
  </si>
  <si>
    <t>Tech Rep (2014-05)</t>
  </si>
  <si>
    <t>Howard's Pass-Anniv Group</t>
  </si>
  <si>
    <t>Chihong Canada Mining (formerly Selwyn Resources)</t>
  </si>
  <si>
    <t>Ann Info Form 2012</t>
  </si>
  <si>
    <t>Howard's Pass-Brodel</t>
  </si>
  <si>
    <t>Howard's Pass-Don Group</t>
  </si>
  <si>
    <t>Howard's Pass-HC Group</t>
  </si>
  <si>
    <t>Howard's Pass-HP</t>
  </si>
  <si>
    <t>Howard's Pass-OP Group</t>
  </si>
  <si>
    <t>Howard's Pass-Pelly North</t>
  </si>
  <si>
    <t>Howard's Pass-XY Group</t>
  </si>
  <si>
    <t>Hudson Bay Mountain-Silver Lake 2</t>
  </si>
  <si>
    <t>Lions Gate Metals</t>
  </si>
  <si>
    <t>Tech Rep (2005-04)</t>
  </si>
  <si>
    <t>Hudson Bay-777</t>
  </si>
  <si>
    <t>HudBay Minerals</t>
  </si>
  <si>
    <t>Hudson Bay-Bur</t>
  </si>
  <si>
    <t>Tech Rep (2008-01)</t>
  </si>
  <si>
    <t>Hudson Bay-Lalor</t>
  </si>
  <si>
    <t>Hudson Bay-Reed</t>
  </si>
  <si>
    <t>HudBay Minerals-70%, VMS Ventures-30%</t>
  </si>
  <si>
    <t>Hudson Bay-Watts River</t>
  </si>
  <si>
    <t>Hudvam</t>
  </si>
  <si>
    <t>Murgor Resources</t>
  </si>
  <si>
    <t>Tech Rep (2008-10)</t>
  </si>
  <si>
    <t>Indian Mountain (BB Lake-Kennedy Lake)</t>
  </si>
  <si>
    <t>Panarc Resources</t>
  </si>
  <si>
    <t>Brochure</t>
  </si>
  <si>
    <t>Inel (AK)</t>
  </si>
  <si>
    <t>Skarn?</t>
  </si>
  <si>
    <t>Snip Gold Corp</t>
  </si>
  <si>
    <t>Izok Lake</t>
  </si>
  <si>
    <t>J&amp;L (Main Zone-Yellowknife-Yellowjacket)</t>
  </si>
  <si>
    <t>Huakan International Mining</t>
  </si>
  <si>
    <t>Tech Rep (2012-04)</t>
  </si>
  <si>
    <t>Jason</t>
  </si>
  <si>
    <t>Website (2014-10-26)</t>
  </si>
  <si>
    <t>Jersey</t>
  </si>
  <si>
    <t>Jonpol</t>
  </si>
  <si>
    <t>VMS?</t>
  </si>
  <si>
    <t>Jubilee</t>
  </si>
  <si>
    <t>Merrex Gold</t>
  </si>
  <si>
    <t>Tech Rep (2009-02)</t>
  </si>
  <si>
    <t>Keg Main Zone</t>
  </si>
  <si>
    <t>Skarn-epithermal</t>
  </si>
  <si>
    <t>Original skarn with epithermal overprint</t>
  </si>
  <si>
    <t>Silver Range Resources</t>
  </si>
  <si>
    <t>Tech Rep (2013-05)</t>
  </si>
  <si>
    <t>Kennedy Lake-BB Zone</t>
  </si>
  <si>
    <t>unknown (Axmin Inc??)</t>
  </si>
  <si>
    <t>Keno Hill-Bellekeno</t>
  </si>
  <si>
    <t>Alexco Resource Corp.</t>
  </si>
  <si>
    <t>Tech Rep (2013-12)</t>
  </si>
  <si>
    <t>Keno Hill-Flame/Moth</t>
  </si>
  <si>
    <t>Tech Rep (2013-03)</t>
  </si>
  <si>
    <t>Keno Hill-Lucky Queen</t>
  </si>
  <si>
    <t>Keno Hill-Onek</t>
  </si>
  <si>
    <t>Tech Rep (2011-09)</t>
  </si>
  <si>
    <t>Kidd Creek</t>
  </si>
  <si>
    <t>Kitsault (Mo)</t>
  </si>
  <si>
    <t>Porphyry Mo</t>
  </si>
  <si>
    <t>Avanti Mining</t>
  </si>
  <si>
    <t>Tech Rep (2014-03)</t>
  </si>
  <si>
    <t>Kitsault River-Torbrit</t>
  </si>
  <si>
    <t>Kitsault River-Wolf</t>
  </si>
  <si>
    <t>Klaza-BRX</t>
  </si>
  <si>
    <t>Rockhaven Resources</t>
  </si>
  <si>
    <t>Tech Rep (2015-01)</t>
  </si>
  <si>
    <t>Kokanee (Scranton/Sunset)</t>
  </si>
  <si>
    <t>Kootenay King</t>
  </si>
  <si>
    <t>Kudz Ze Kayah (ABM)</t>
  </si>
  <si>
    <t>Ann Info Form 2005</t>
  </si>
  <si>
    <t>Kutcho</t>
  </si>
  <si>
    <t>Capstone Mining</t>
  </si>
  <si>
    <t>La Ronde</t>
  </si>
  <si>
    <t>Agnico Eagle Mines</t>
  </si>
  <si>
    <t>Lafontaine</t>
  </si>
  <si>
    <t>Langlois</t>
  </si>
  <si>
    <t>Nyrstar</t>
  </si>
  <si>
    <t>Lara-Coronation Trend</t>
  </si>
  <si>
    <t>Treasury Metals</t>
  </si>
  <si>
    <t>Leitch</t>
  </si>
  <si>
    <t>Lemarchant-South Tally Pond</t>
  </si>
  <si>
    <t>Tech Rep (2012-03)</t>
  </si>
  <si>
    <t>Lenora (L.35G)</t>
  </si>
  <si>
    <t>Lessard</t>
  </si>
  <si>
    <t>Landore Resources</t>
  </si>
  <si>
    <t>Linda 2-RLM</t>
  </si>
  <si>
    <t>Thundermin Resources</t>
  </si>
  <si>
    <t>Logan</t>
  </si>
  <si>
    <t>Yukon Zinc Corp</t>
  </si>
  <si>
    <t>Company Fact Sheet (2014-06)</t>
  </si>
  <si>
    <t>Long Lake</t>
  </si>
  <si>
    <t>Lundberg-Engine</t>
  </si>
  <si>
    <t>Minco Silver</t>
  </si>
  <si>
    <t>Lustdust (Canyon Creek)</t>
  </si>
  <si>
    <t>ALQ Gold Corp</t>
  </si>
  <si>
    <t>Magusi River</t>
  </si>
  <si>
    <t>Globex Mining</t>
  </si>
  <si>
    <t>Marg</t>
  </si>
  <si>
    <t>Tech Rep (2011-06)</t>
  </si>
  <si>
    <t>Matt Berry (Barb)</t>
  </si>
  <si>
    <t>Website (2016-02-04)</t>
  </si>
  <si>
    <t>McIlvenna Bay</t>
  </si>
  <si>
    <t>Foran Mining Corp</t>
  </si>
  <si>
    <t>Tech Rep (from media 2013-03-27)</t>
  </si>
  <si>
    <t>McMillan</t>
  </si>
  <si>
    <t>Mel</t>
  </si>
  <si>
    <t>Tech Rep (2014-11)</t>
  </si>
  <si>
    <t>Mineral King</t>
  </si>
  <si>
    <t>Ming-Rambler</t>
  </si>
  <si>
    <t>Noranda-type</t>
  </si>
  <si>
    <t>Rambler Metals &amp; Mining</t>
  </si>
  <si>
    <t>Tech Rep (2015-11)</t>
  </si>
  <si>
    <t>Miya-Emerald Glacier</t>
  </si>
  <si>
    <t>Monarch-Kicking Horse</t>
  </si>
  <si>
    <t>Mt Pleasant (North Zone)</t>
  </si>
  <si>
    <t>Sn-W-Mo</t>
  </si>
  <si>
    <t>Adex Mining</t>
  </si>
  <si>
    <t>%Bi</t>
  </si>
  <si>
    <t>Murray Brook</t>
  </si>
  <si>
    <t>Votorantim Metais, El Nino</t>
  </si>
  <si>
    <t>Myra Falls</t>
  </si>
  <si>
    <t>Nanisivik</t>
  </si>
  <si>
    <t>Nash Creek</t>
  </si>
  <si>
    <t>Slam Resources</t>
  </si>
  <si>
    <t>Nepisiguit</t>
  </si>
  <si>
    <t>Tech Rep (2012-07)</t>
  </si>
  <si>
    <t>New Moon</t>
  </si>
  <si>
    <t>Northaven Resources Corp (?)</t>
  </si>
  <si>
    <t>Ox-C</t>
  </si>
  <si>
    <t>Packsack</t>
  </si>
  <si>
    <t>PD1</t>
  </si>
  <si>
    <t>Peak</t>
  </si>
  <si>
    <t>Grizzly Discoveries</t>
  </si>
  <si>
    <t>Peso (Rex)</t>
  </si>
  <si>
    <t>Intrusion-related</t>
  </si>
  <si>
    <t>unknown (Victoria Gold Corp?)</t>
  </si>
  <si>
    <t>Pick Lake</t>
  </si>
  <si>
    <t>Golden Share Mining Corp</t>
  </si>
  <si>
    <t>Tech Rep (2013-06)</t>
  </si>
  <si>
    <t>Pine Point Group</t>
  </si>
  <si>
    <t>Tamerlane Ventures</t>
  </si>
  <si>
    <t>Plata</t>
  </si>
  <si>
    <t>Point Leamington</t>
  </si>
  <si>
    <t>Newmarket Gold</t>
  </si>
  <si>
    <t>Tech Rep (2013-09)</t>
  </si>
  <si>
    <t>Polaris</t>
  </si>
  <si>
    <t>Porter-Idaho</t>
  </si>
  <si>
    <t>Portland Canal</t>
  </si>
  <si>
    <t>Prairie Creek</t>
  </si>
  <si>
    <t>Canadian Zinc Corp.</t>
  </si>
  <si>
    <t>Tech Rep (2012-06)</t>
  </si>
  <si>
    <t>Premier Camp</t>
  </si>
  <si>
    <t>Rea / Extra High</t>
  </si>
  <si>
    <t>37 Capitral</t>
  </si>
  <si>
    <t>Tech Rep (2008-02)</t>
  </si>
  <si>
    <t>Red Bird</t>
  </si>
  <si>
    <t>Remac</t>
  </si>
  <si>
    <t>Ribago</t>
  </si>
  <si>
    <t>River Jordan</t>
  </si>
  <si>
    <t>Silver Phoenix Resources</t>
  </si>
  <si>
    <t>Robb Lake (Barrier)</t>
  </si>
  <si>
    <t>BC MINFILE 094B 005</t>
  </si>
  <si>
    <t>Rochon Lake</t>
  </si>
  <si>
    <t>Rock and Roll</t>
  </si>
  <si>
    <t>Pacific North West Capital</t>
  </si>
  <si>
    <t>Tech Rep (2011-02)</t>
  </si>
  <si>
    <t>Romer-Frederickson Lake</t>
  </si>
  <si>
    <t>Tech Rep (2014-02)</t>
  </si>
  <si>
    <t>Romer-Jimmick Lake</t>
  </si>
  <si>
    <t>Romer-Koke</t>
  </si>
  <si>
    <t>Romer-Soucy #1</t>
  </si>
  <si>
    <t>Ruddock Creek</t>
  </si>
  <si>
    <t>Imperial Metals Corp.</t>
  </si>
  <si>
    <t>see also Silver Phoenix (River Jordan), Selkirk Metals ??</t>
  </si>
  <si>
    <t>Ruth-Vermont</t>
  </si>
  <si>
    <t>Jasper Mining</t>
  </si>
  <si>
    <t>Ruttan</t>
  </si>
  <si>
    <t>Sä Dena Hes (Mt Hundere)</t>
  </si>
  <si>
    <t>JDS Silver</t>
  </si>
  <si>
    <t>Ann Info Form 2005 (Teck)</t>
  </si>
  <si>
    <t>Salerno Lake</t>
  </si>
  <si>
    <t>Salmo</t>
  </si>
  <si>
    <t>Scotia (BC)</t>
  </si>
  <si>
    <t>Scotia-Gays River</t>
  </si>
  <si>
    <t>Selwyn Resources</t>
  </si>
  <si>
    <t>Scotia-Getty</t>
  </si>
  <si>
    <t>Scott Lake</t>
  </si>
  <si>
    <t>Tech Rep (2011-07)</t>
  </si>
  <si>
    <t>Seneca</t>
  </si>
  <si>
    <t>Sherridon (Cold-Lost-Bob-Jungle)</t>
  </si>
  <si>
    <t>Sendero Mining Corp (formerly Halo Resources)</t>
  </si>
  <si>
    <t>Silver Coin</t>
  </si>
  <si>
    <t>Jayden Resources</t>
  </si>
  <si>
    <t>Tech Rep (2013-08)</t>
  </si>
  <si>
    <t>Silver Hart</t>
  </si>
  <si>
    <t>CMC Metals</t>
  </si>
  <si>
    <t>Tech Rep (2010-01)</t>
  </si>
  <si>
    <t>Silver King (Ymir)</t>
  </si>
  <si>
    <t>Silver Queen (Cole Lake)</t>
  </si>
  <si>
    <t>New Nadina Exploration</t>
  </si>
  <si>
    <t>Tech Rep (1996-02)</t>
  </si>
  <si>
    <t>Silver Queen (Wrinch)</t>
  </si>
  <si>
    <t>Silvertip (Midway)</t>
  </si>
  <si>
    <t>Tech Rep (2002-10; Silver Standard)</t>
  </si>
  <si>
    <t>Sito East</t>
  </si>
  <si>
    <t>Steadman &amp; Spry 2015</t>
  </si>
  <si>
    <t>Skidder</t>
  </si>
  <si>
    <t>Website (2014-10-31)</t>
  </si>
  <si>
    <t>Slocan Group</t>
  </si>
  <si>
    <t>Smith Copper</t>
  </si>
  <si>
    <t>Spar</t>
  </si>
  <si>
    <t>%Sr</t>
  </si>
  <si>
    <t>Stannex-Woolsey</t>
  </si>
  <si>
    <t>Northavn Resources Corp</t>
  </si>
  <si>
    <t>Stemwinder</t>
  </si>
  <si>
    <t>Stratmat</t>
  </si>
  <si>
    <t>Sullivan</t>
  </si>
  <si>
    <t>Summit</t>
  </si>
  <si>
    <t>Sunrise Lake</t>
  </si>
  <si>
    <t>Swim</t>
  </si>
  <si>
    <t>Yukon Gov't Zn profile; PorterGeo</t>
  </si>
  <si>
    <t>Tetagouche-Armstrong A/B</t>
  </si>
  <si>
    <t>Wolfden Resources Corp</t>
  </si>
  <si>
    <t>Tetagouche-Canoe Landing Lake</t>
  </si>
  <si>
    <t>Tetagouche-Rocky Turn</t>
  </si>
  <si>
    <t>Tinta Hill</t>
  </si>
  <si>
    <t>Northern Freegold Resources</t>
  </si>
  <si>
    <t>Tech Rep (2009-08)</t>
  </si>
  <si>
    <t>Tintina (Eagle)</t>
  </si>
  <si>
    <t>Thor</t>
  </si>
  <si>
    <t>Taranis Resources</t>
  </si>
  <si>
    <t>Tech Rep (213-08)</t>
  </si>
  <si>
    <t>Tom</t>
  </si>
  <si>
    <t>Tortigny</t>
  </si>
  <si>
    <t>VMS-associated or SEDEX</t>
  </si>
  <si>
    <t>Beaufield Resources</t>
  </si>
  <si>
    <t>Treasure Mountain</t>
  </si>
  <si>
    <t>Huldra Silver</t>
  </si>
  <si>
    <t>Trout Lake Camp</t>
  </si>
  <si>
    <t>Tulsequah Chief</t>
  </si>
  <si>
    <t>Upton</t>
  </si>
  <si>
    <t>Val</t>
  </si>
  <si>
    <t>Sediment-hosted U</t>
  </si>
  <si>
    <t>Basal U mineralisation</t>
  </si>
  <si>
    <t>Vangorda</t>
  </si>
  <si>
    <t>Vendôme (Mogador)</t>
  </si>
  <si>
    <t>Vera</t>
  </si>
  <si>
    <t>Vermilion</t>
  </si>
  <si>
    <t>Vine 1</t>
  </si>
  <si>
    <t>PJX Resources</t>
  </si>
  <si>
    <t>Virginia Silver</t>
  </si>
  <si>
    <t>Walton</t>
  </si>
  <si>
    <t>Nova Scotia MinFile 2008</t>
  </si>
  <si>
    <t>West Ansil</t>
  </si>
  <si>
    <t>Falco Resources, Glencore Xstrata</t>
  </si>
  <si>
    <t>Wim</t>
  </si>
  <si>
    <t>Wolf (Hasselberg)</t>
  </si>
  <si>
    <t>Wolverine (Fetish)</t>
  </si>
  <si>
    <t>Tech Rep (2007-10)</t>
  </si>
  <si>
    <t>Wrigley</t>
  </si>
  <si>
    <t>Devonian Metals</t>
  </si>
  <si>
    <t>Yava</t>
  </si>
  <si>
    <t>Savant Explorations</t>
  </si>
  <si>
    <t>Cachinal</t>
  </si>
  <si>
    <t>Chile</t>
  </si>
  <si>
    <t>Apogee Minerals, Valencia Ventures</t>
  </si>
  <si>
    <t>Tech Rep (2010-04)</t>
  </si>
  <si>
    <t>El Toqui</t>
  </si>
  <si>
    <t>Manto</t>
  </si>
  <si>
    <t>Porphyry-IOCG?</t>
  </si>
  <si>
    <t>Minera Florida</t>
  </si>
  <si>
    <t>Yamana Gold</t>
  </si>
  <si>
    <t>Paguanta-Patricia</t>
  </si>
  <si>
    <t>Herencia Resources</t>
  </si>
  <si>
    <t>Vallecillo-La Colorada</t>
  </si>
  <si>
    <t>Cu-Au-Ag-Zn</t>
  </si>
  <si>
    <t>Metminco</t>
  </si>
  <si>
    <t>Website (2016-06-25)</t>
  </si>
  <si>
    <t>Aerhada</t>
  </si>
  <si>
    <t>China</t>
  </si>
  <si>
    <t>Shanjinaerhada Mining</t>
  </si>
  <si>
    <t>ILZSG database (2016-03-02)</t>
  </si>
  <si>
    <t>Baiyinnour</t>
  </si>
  <si>
    <t>Chifeng Nonferrous Metals Corp</t>
  </si>
  <si>
    <t>ILZSG database; CNMI website</t>
  </si>
  <si>
    <t>Beiya</t>
  </si>
  <si>
    <t>Yunnan Gold Mining Group?</t>
  </si>
  <si>
    <t>Zhou et al (2016)</t>
  </si>
  <si>
    <t>BYP</t>
  </si>
  <si>
    <t>Silvercorp Metals</t>
  </si>
  <si>
    <t>Caijiaying</t>
  </si>
  <si>
    <t>Griffin Mining</t>
  </si>
  <si>
    <t>Changba-Lijiagou</t>
  </si>
  <si>
    <t>Baiyin Nonferrous</t>
  </si>
  <si>
    <t>ILZSG database (2016-07-12)</t>
  </si>
  <si>
    <t>Dakuangshan</t>
  </si>
  <si>
    <t>China Polymetallic Mining</t>
  </si>
  <si>
    <t>Fuwan-Changkeng</t>
  </si>
  <si>
    <t>Huangshaping</t>
  </si>
  <si>
    <t>Li et al (2016)</t>
  </si>
  <si>
    <t>Huayuan Fenghuang</t>
  </si>
  <si>
    <t>Inner Mongolia Sanguikou</t>
  </si>
  <si>
    <t>Zijin Mining</t>
  </si>
  <si>
    <t>Jiama</t>
  </si>
  <si>
    <t>Porphyry with skarn</t>
  </si>
  <si>
    <t>China Gold International Resources Corp</t>
  </si>
  <si>
    <t>Jiawula</t>
  </si>
  <si>
    <t>Naneco Minerals, Vina Mineral Res, Hullunbeir</t>
  </si>
  <si>
    <t>Liziping</t>
  </si>
  <si>
    <t>Menghu</t>
  </si>
  <si>
    <t>Mengya</t>
  </si>
  <si>
    <t>MCC</t>
  </si>
  <si>
    <t>Nonggeshan</t>
  </si>
  <si>
    <t>MCC JV</t>
  </si>
  <si>
    <t>Tech Rep (2009-07)</t>
  </si>
  <si>
    <t>Qiandongshan</t>
  </si>
  <si>
    <t>Marshall Minerals, CNMI, Quinsun</t>
  </si>
  <si>
    <t>Qinghai Deerni</t>
  </si>
  <si>
    <t>Shizishan</t>
  </si>
  <si>
    <t>Xietongmen</t>
  </si>
  <si>
    <t>Continental Minerals</t>
  </si>
  <si>
    <t>Xinjiang Ashele</t>
  </si>
  <si>
    <t>Xinjiang Wulugentashi</t>
  </si>
  <si>
    <t>Ying Group</t>
  </si>
  <si>
    <t>with Orogenic Au</t>
  </si>
  <si>
    <t>Tech Rep (2014-07)</t>
  </si>
  <si>
    <t>Berlin</t>
  </si>
  <si>
    <t>Columbia</t>
  </si>
  <si>
    <t>Sediment-hosted mixed</t>
  </si>
  <si>
    <t>U3O8 Corp</t>
  </si>
  <si>
    <t>MDA 2011</t>
  </si>
  <si>
    <t>%P2O4, 497 g/t Y, 101 g/t Nd, 6.9 g/t Re, 37.3 %CaF2</t>
  </si>
  <si>
    <t>Matahambre</t>
  </si>
  <si>
    <t>Cuba</t>
  </si>
  <si>
    <t>Victoria</t>
  </si>
  <si>
    <t>Russell et al (undated)</t>
  </si>
  <si>
    <t>Santa Lucia Castellanos</t>
  </si>
  <si>
    <t>Trafigura</t>
  </si>
  <si>
    <t>Kipushi</t>
  </si>
  <si>
    <t>Dem. Rep. Congo</t>
  </si>
  <si>
    <t>Ivanhoe Mines</t>
  </si>
  <si>
    <t>Tech Rep (2012-09)</t>
  </si>
  <si>
    <r>
      <rPr>
        <sz val="10"/>
        <color theme="1"/>
        <rFont val="Arial"/>
        <family val="2"/>
      </rPr>
      <t xml:space="preserve">Sable Zinc Kabwe </t>
    </r>
    <r>
      <rPr>
        <b/>
        <sz val="10"/>
        <color rgb="FFFF0000"/>
        <rFont val="Arial"/>
        <family val="2"/>
      </rPr>
      <t>Tailings</t>
    </r>
  </si>
  <si>
    <r>
      <rPr>
        <sz val="10"/>
        <color theme="1"/>
        <rFont val="Arial"/>
        <family val="2"/>
      </rPr>
      <t xml:space="preserve">Sediment-hosted Pb-Zn </t>
    </r>
    <r>
      <rPr>
        <b/>
        <sz val="10"/>
        <color rgb="FFFF0000"/>
        <rFont val="Arial"/>
        <family val="2"/>
      </rPr>
      <t>Tailings</t>
    </r>
  </si>
  <si>
    <t>formerly Metorex</t>
  </si>
  <si>
    <t>Ann Rep 2010</t>
  </si>
  <si>
    <t>Bayaguana Group</t>
  </si>
  <si>
    <t>Dom. Rep.</t>
  </si>
  <si>
    <t>Perilya</t>
  </si>
  <si>
    <t>Tech Rep (2006-01)</t>
  </si>
  <si>
    <t>Cerro de Maimón</t>
  </si>
  <si>
    <t>Las Animas</t>
  </si>
  <si>
    <t>GoldQuest Mining Corp</t>
  </si>
  <si>
    <t>Romero-Romero South</t>
  </si>
  <si>
    <t>Intermediate sulfidation</t>
  </si>
  <si>
    <t>Curipamba-El Domo</t>
  </si>
  <si>
    <t>Ecuador</t>
  </si>
  <si>
    <t>Salazar Resources</t>
  </si>
  <si>
    <t>Abu Marawat</t>
  </si>
  <si>
    <t>Egypt</t>
  </si>
  <si>
    <t>Alexander Nubia</t>
  </si>
  <si>
    <t>Umm Gheig</t>
  </si>
  <si>
    <t>Asmara-Adi Nefas</t>
  </si>
  <si>
    <t>Eritrea</t>
  </si>
  <si>
    <t>Sunridge Gold Corp</t>
  </si>
  <si>
    <t>Asmara-Debarwa</t>
  </si>
  <si>
    <t>Asmara-Emba Derho</t>
  </si>
  <si>
    <t>Bisha</t>
  </si>
  <si>
    <t>Nevsun Resources</t>
  </si>
  <si>
    <t>Hambok</t>
  </si>
  <si>
    <t>Harena</t>
  </si>
  <si>
    <t>Northwest</t>
  </si>
  <si>
    <t>Huatalampi</t>
  </si>
  <si>
    <t>Finland</t>
  </si>
  <si>
    <t>Altona Mining</t>
  </si>
  <si>
    <t>Kainuu-Rautavaara</t>
  </si>
  <si>
    <t>FinnAust Mining (Magnus Minerals-Western Areas)</t>
  </si>
  <si>
    <t>Kettukumpu</t>
  </si>
  <si>
    <t>Geol Survey Finland</t>
  </si>
  <si>
    <t>Kylylahti</t>
  </si>
  <si>
    <t>Perttilahti</t>
  </si>
  <si>
    <t>Pyhäsalmi</t>
  </si>
  <si>
    <t>First Quantum</t>
  </si>
  <si>
    <t>Rauhala</t>
  </si>
  <si>
    <t>Rautavaara</t>
  </si>
  <si>
    <t>FinnAust Mining (formerly Western Areas, Magnus Minerals)</t>
  </si>
  <si>
    <t>Website (10-01-2013) (FinnAust Mining)</t>
  </si>
  <si>
    <t>Riihilahti</t>
  </si>
  <si>
    <t>Saramäki</t>
  </si>
  <si>
    <t>Sykäräinen</t>
  </si>
  <si>
    <t>Talvivaara (Kolmisoppi/Kuusilampi)</t>
  </si>
  <si>
    <t>Talvivaara</t>
  </si>
  <si>
    <t>Vuonos</t>
  </si>
  <si>
    <t>Arrens</t>
  </si>
  <si>
    <t>France</t>
  </si>
  <si>
    <t>Trèves</t>
  </si>
  <si>
    <t>Amtkeli</t>
  </si>
  <si>
    <t>Georgia</t>
  </si>
  <si>
    <t>NATO Sci 2002 v17</t>
  </si>
  <si>
    <t>Brdzyshra</t>
  </si>
  <si>
    <t>Dambludi</t>
  </si>
  <si>
    <t>High sulphidation</t>
  </si>
  <si>
    <t>0.017 %Bi, 0.03 %Cd</t>
  </si>
  <si>
    <t>David Garedji</t>
  </si>
  <si>
    <t>Kvaisi</t>
  </si>
  <si>
    <t>Madneuli</t>
  </si>
  <si>
    <t>NATO Sci 2002 v17; Migineishvili 2005</t>
  </si>
  <si>
    <t>7.6 g/t Te, 7.1 g/t Se</t>
  </si>
  <si>
    <t>Merisi Group</t>
  </si>
  <si>
    <t>Razdarankom</t>
  </si>
  <si>
    <t>Rtskhmeluri</t>
  </si>
  <si>
    <t>Skatykom</t>
  </si>
  <si>
    <t>Zeshko</t>
  </si>
  <si>
    <t>May also be Sedex?</t>
  </si>
  <si>
    <t>Tellerhäuser</t>
  </si>
  <si>
    <t>Germany</t>
  </si>
  <si>
    <t>Anglo Saxony Mining</t>
  </si>
  <si>
    <t>Website (2015-12-28)</t>
  </si>
  <si>
    <t>Geyer Southwest</t>
  </si>
  <si>
    <t>Tin International (Deutchse Rohstoff)</t>
  </si>
  <si>
    <t>Olympias</t>
  </si>
  <si>
    <t>Greece</t>
  </si>
  <si>
    <t>Eldorado Gold</t>
  </si>
  <si>
    <t>Form-40F 2013</t>
  </si>
  <si>
    <t>Stratoni</t>
  </si>
  <si>
    <t>Ark</t>
  </si>
  <si>
    <t>Greenland</t>
  </si>
  <si>
    <t>Angel Mining</t>
  </si>
  <si>
    <t>Conf. Pres. 2011-11</t>
  </si>
  <si>
    <t>Black Angel</t>
  </si>
  <si>
    <t>Blyklippen</t>
  </si>
  <si>
    <t>Thomassen (2005)</t>
  </si>
  <si>
    <t>Citronen</t>
  </si>
  <si>
    <t>Ann Rep 2013-14</t>
  </si>
  <si>
    <t>Kvanefjeld</t>
  </si>
  <si>
    <t>Magmatic Alkaline Intrusive</t>
  </si>
  <si>
    <t>Layered alkaline complex</t>
  </si>
  <si>
    <t>Greenland Energy &amp; Minerals</t>
  </si>
  <si>
    <t>%TREO</t>
  </si>
  <si>
    <t>Nunngarut</t>
  </si>
  <si>
    <t>South Lakes</t>
  </si>
  <si>
    <t>Holly-Banderas (HB)-Escobal</t>
  </si>
  <si>
    <t>Guatemala</t>
  </si>
  <si>
    <t>Radius Gold</t>
  </si>
  <si>
    <t>Torlon Hill</t>
  </si>
  <si>
    <t xml:space="preserve">Oxide Zinc - IOCG? </t>
  </si>
  <si>
    <t>Firestone Ventures</t>
  </si>
  <si>
    <t>El Mochito</t>
  </si>
  <si>
    <t>Honduras</t>
  </si>
  <si>
    <t>Ajari</t>
  </si>
  <si>
    <t>India</t>
  </si>
  <si>
    <t>Indo Gold</t>
  </si>
  <si>
    <t>Ambaji</t>
  </si>
  <si>
    <t>RBG Minerals (Binani Industries)</t>
  </si>
  <si>
    <t>Ambamata</t>
  </si>
  <si>
    <t>Askot</t>
  </si>
  <si>
    <t>Pebble Creek Mining</t>
  </si>
  <si>
    <t>Bajta Central</t>
  </si>
  <si>
    <t>Ballaria</t>
  </si>
  <si>
    <t>Bamnai Kalan</t>
  </si>
  <si>
    <t>Hindustan Zinc / Vedanta</t>
  </si>
  <si>
    <t>Baroi</t>
  </si>
  <si>
    <t>Basantgarh</t>
  </si>
  <si>
    <t>Bethumni</t>
  </si>
  <si>
    <t>Bhilwara</t>
  </si>
  <si>
    <t>IMYB 2013</t>
  </si>
  <si>
    <t>Danva</t>
  </si>
  <si>
    <t>Deri</t>
  </si>
  <si>
    <t>Devpura</t>
  </si>
  <si>
    <t>Ganeshpura</t>
  </si>
  <si>
    <t>Gorubathan</t>
  </si>
  <si>
    <t>Kalabar</t>
  </si>
  <si>
    <t>Kankariya</t>
  </si>
  <si>
    <t>Kayad</t>
  </si>
  <si>
    <t>Kolari</t>
  </si>
  <si>
    <t>Madarpura</t>
  </si>
  <si>
    <t>Mochia</t>
  </si>
  <si>
    <t>Mokanpura North</t>
  </si>
  <si>
    <t>Paduna North Block</t>
  </si>
  <si>
    <t>Pipela</t>
  </si>
  <si>
    <t>Rajpura Dariba</t>
  </si>
  <si>
    <t>Rampura Agucha</t>
  </si>
  <si>
    <t>Rangpo</t>
  </si>
  <si>
    <t>Rewara</t>
  </si>
  <si>
    <t>Saladipura</t>
  </si>
  <si>
    <t>Samodi</t>
  </si>
  <si>
    <t>Sargipali</t>
  </si>
  <si>
    <t>Sawar</t>
  </si>
  <si>
    <t>Sindesar Khurd</t>
  </si>
  <si>
    <t>South Dedwas</t>
  </si>
  <si>
    <t>Tikhi</t>
  </si>
  <si>
    <t>Tiranga</t>
  </si>
  <si>
    <t>Zawar</t>
  </si>
  <si>
    <t>Dairi-Anjing Hitam</t>
  </si>
  <si>
    <t>Indonesia</t>
  </si>
  <si>
    <t>Bumi Resources, PT Antam</t>
  </si>
  <si>
    <t>Dairi-Base Camp</t>
  </si>
  <si>
    <t>Dairi-Lae Jahe</t>
  </si>
  <si>
    <t>Atlantis II</t>
  </si>
  <si>
    <t>International</t>
  </si>
  <si>
    <t>Seafloor Massive sulfide</t>
  </si>
  <si>
    <t>Diamond Fields International</t>
  </si>
  <si>
    <t>Website (2016-07-14)</t>
  </si>
  <si>
    <t>Angouran</t>
  </si>
  <si>
    <t>Iran</t>
  </si>
  <si>
    <t>IMIDRO</t>
  </si>
  <si>
    <t>Daliran et al 2013</t>
  </si>
  <si>
    <t>Anjireh-Vejin</t>
  </si>
  <si>
    <t>Emarat</t>
  </si>
  <si>
    <t>Ehya et al 2010</t>
  </si>
  <si>
    <t>Heyder Abad</t>
  </si>
  <si>
    <t>Bazargani-Guilani et al 2011</t>
  </si>
  <si>
    <t>Irankuh</t>
  </si>
  <si>
    <t>Kuh-e-Surmeh</t>
  </si>
  <si>
    <t>Kushk</t>
  </si>
  <si>
    <t>Mehdiabad</t>
  </si>
  <si>
    <t>Sedex/MVT?</t>
  </si>
  <si>
    <t>Mawarid Mining</t>
  </si>
  <si>
    <t>Ann Rep 2012 (UCL Res.)</t>
  </si>
  <si>
    <t>Nakhlak</t>
  </si>
  <si>
    <t>Jazi et al (2016)</t>
  </si>
  <si>
    <t>Reza Barak</t>
  </si>
  <si>
    <t>Allenwood West</t>
  </si>
  <si>
    <t>Ireland</t>
  </si>
  <si>
    <t>Tech Rep 2010 (Rathdowney Res.)</t>
  </si>
  <si>
    <t>Ballinalack</t>
  </si>
  <si>
    <t>Ireland Gov't Top 55 brochure</t>
  </si>
  <si>
    <t>Courtbrown</t>
  </si>
  <si>
    <t>Garrycam</t>
  </si>
  <si>
    <t>Harberton Bridge</t>
  </si>
  <si>
    <t>Keel</t>
  </si>
  <si>
    <t>Lisheen</t>
  </si>
  <si>
    <t>Vedanta</t>
  </si>
  <si>
    <t>Moyvoughly</t>
  </si>
  <si>
    <t>Oldcastle</t>
  </si>
  <si>
    <t>Pallas Green</t>
  </si>
  <si>
    <t>Rickardstown</t>
  </si>
  <si>
    <t>Silvermines</t>
  </si>
  <si>
    <t>Tara (Navan)</t>
  </si>
  <si>
    <t>Boliden</t>
  </si>
  <si>
    <t>Tatestown</t>
  </si>
  <si>
    <t>Alaigyr (Alaigir)</t>
  </si>
  <si>
    <t>Kazakhstan</t>
  </si>
  <si>
    <t>Tau-Ken Samruk, Radington Industrial Consulting</t>
  </si>
  <si>
    <t>Central Region (formerly Karaganda)</t>
  </si>
  <si>
    <t>Porphyry and VMS deposits</t>
  </si>
  <si>
    <t>Kazakhmys (now KAZ Minerals)</t>
  </si>
  <si>
    <r>
      <rPr>
        <sz val="10"/>
        <color theme="1"/>
        <rFont val="Arial"/>
        <family val="2"/>
      </rPr>
      <t xml:space="preserve">Chashinskoye </t>
    </r>
    <r>
      <rPr>
        <b/>
        <sz val="10"/>
        <color rgb="FFFF0000"/>
        <rFont val="Arial"/>
        <family val="2"/>
      </rPr>
      <t>Tailings</t>
    </r>
  </si>
  <si>
    <r>
      <rPr>
        <sz val="10"/>
        <color rgb="FFFF0000"/>
        <rFont val="Arial"/>
        <family val="2"/>
      </rPr>
      <t xml:space="preserve">VMS? </t>
    </r>
    <r>
      <rPr>
        <b/>
        <sz val="10"/>
        <color rgb="FFFF0000"/>
        <rFont val="Arial"/>
        <family val="2"/>
      </rPr>
      <t>Tailings</t>
    </r>
  </si>
  <si>
    <t>Glencore Xstrata / KazZinc</t>
  </si>
  <si>
    <t>Dolinnoe</t>
  </si>
  <si>
    <t>East Region</t>
  </si>
  <si>
    <t>Maleevsky</t>
  </si>
  <si>
    <t>Novo-Leninogorskoye</t>
  </si>
  <si>
    <t>Obruchevskoe</t>
  </si>
  <si>
    <t>Ridder-Sokolny</t>
  </si>
  <si>
    <r>
      <rPr>
        <sz val="10"/>
        <color theme="1"/>
        <rFont val="Arial"/>
        <family val="2"/>
      </rPr>
      <t xml:space="preserve">Shaimerden </t>
    </r>
    <r>
      <rPr>
        <b/>
        <sz val="10"/>
        <color rgb="FFFF0000"/>
        <rFont val="Arial"/>
        <family val="2"/>
      </rPr>
      <t>Stockpile</t>
    </r>
  </si>
  <si>
    <t>Non-sulfide Zinc</t>
  </si>
  <si>
    <t>SC</t>
  </si>
  <si>
    <t>Shalkiya</t>
  </si>
  <si>
    <t>ShalkiyaZinc</t>
  </si>
  <si>
    <t>Website (2014-10-26; translated)</t>
  </si>
  <si>
    <t>Shubinsky</t>
  </si>
  <si>
    <r>
      <rPr>
        <sz val="10"/>
        <color theme="1"/>
        <rFont val="Arial"/>
        <family val="2"/>
      </rPr>
      <t xml:space="preserve">Staroye </t>
    </r>
    <r>
      <rPr>
        <b/>
        <sz val="10"/>
        <color rgb="FFFF0000"/>
        <rFont val="Arial"/>
        <family val="2"/>
      </rPr>
      <t>Tailings</t>
    </r>
  </si>
  <si>
    <t>Talap</t>
  </si>
  <si>
    <t>Tishinksy</t>
  </si>
  <si>
    <r>
      <rPr>
        <sz val="10"/>
        <color theme="1"/>
        <rFont val="Arial"/>
        <family val="2"/>
      </rPr>
      <t xml:space="preserve">Tishinsky </t>
    </r>
    <r>
      <rPr>
        <b/>
        <sz val="10"/>
        <color rgb="FFFF0000"/>
        <rFont val="Arial"/>
        <family val="2"/>
      </rPr>
      <t>Tailings</t>
    </r>
  </si>
  <si>
    <t>Ann Rep 2012 (note: not reported in 2013)</t>
  </si>
  <si>
    <t>Zhairem</t>
  </si>
  <si>
    <t>Bumbo</t>
  </si>
  <si>
    <t>Kenya</t>
  </si>
  <si>
    <t>African Barrick Gold-51%, Lonmin-49%</t>
  </si>
  <si>
    <t>Ann Rep 2012 (Aviva Corp)</t>
  </si>
  <si>
    <t>Boz Emchek</t>
  </si>
  <si>
    <t>Kyrgyzstan</t>
  </si>
  <si>
    <t>data Kyrgyz Investment Group</t>
  </si>
  <si>
    <t>Mironovskoye</t>
  </si>
  <si>
    <t>Chaarat Gold Holdings</t>
  </si>
  <si>
    <t>Kasi</t>
  </si>
  <si>
    <t>Laos</t>
  </si>
  <si>
    <t>Padaeng Industries</t>
  </si>
  <si>
    <t>Lamphun</t>
  </si>
  <si>
    <t>Angangueo</t>
  </si>
  <si>
    <t>Mexico</t>
  </si>
  <si>
    <t>High to intermediate sulfidation</t>
  </si>
  <si>
    <t>Southern Copper Corp (Grupo Mexico)</t>
  </si>
  <si>
    <t>Form 10K 2013</t>
  </si>
  <si>
    <t>Bahuerachi</t>
  </si>
  <si>
    <t>Porphyry-Skarn</t>
  </si>
  <si>
    <t>Jinchuan</t>
  </si>
  <si>
    <t>Tech Rep (2007-11; Tyler Res.)</t>
  </si>
  <si>
    <t>Bilbao</t>
  </si>
  <si>
    <t>Xtierra</t>
  </si>
  <si>
    <t>Bismark</t>
  </si>
  <si>
    <t>Peñoles Group</t>
  </si>
  <si>
    <t>Boleo</t>
  </si>
  <si>
    <t>Baja Mining, KORES</t>
  </si>
  <si>
    <t>Tech Rep 2010-03</t>
  </si>
  <si>
    <t>%Mn</t>
  </si>
  <si>
    <t>Bolivar Group</t>
  </si>
  <si>
    <t>Sierra Metals (formerly Dia Bras Expl'n)</t>
  </si>
  <si>
    <t>Buenavista Zinc</t>
  </si>
  <si>
    <t>Grupo Mexico / SCC</t>
  </si>
  <si>
    <t>Camino Rojo</t>
  </si>
  <si>
    <t>Goldcorp</t>
  </si>
  <si>
    <t>Campo Morado Group</t>
  </si>
  <si>
    <t>Capire-Aurora 1</t>
  </si>
  <si>
    <t>Impact Silver Corp</t>
  </si>
  <si>
    <t>Tech Rep (2011-01)</t>
  </si>
  <si>
    <t>Cerro Prieto</t>
  </si>
  <si>
    <t>overprints mesothermal mineralisation</t>
  </si>
  <si>
    <t>Goldgroup Mining</t>
  </si>
  <si>
    <t>Chalchihuites</t>
  </si>
  <si>
    <t>Cieneguita</t>
  </si>
  <si>
    <t>Pan American Goldfields</t>
  </si>
  <si>
    <t>Cinco de Mayo (Upper Manto)</t>
  </si>
  <si>
    <t>MAG Silver Corp</t>
  </si>
  <si>
    <t>Tech Rep (2012-11)</t>
  </si>
  <si>
    <t>Cordero</t>
  </si>
  <si>
    <t>Levon Resources</t>
  </si>
  <si>
    <t>Tech Rep (2014-10)</t>
  </si>
  <si>
    <t>Cozamin Group</t>
  </si>
  <si>
    <t>Epithermal-Mesothermal</t>
  </si>
  <si>
    <t>Intermediate sulfidation?</t>
  </si>
  <si>
    <t>Cusi Group</t>
  </si>
  <si>
    <t>Del Toro</t>
  </si>
  <si>
    <t>First Majestic Silver Corp</t>
  </si>
  <si>
    <r>
      <rPr>
        <sz val="10"/>
        <color theme="1"/>
        <rFont val="Arial"/>
        <family val="2"/>
      </rPr>
      <t xml:space="preserve">El Tecolote (Reyna del Cobre) </t>
    </r>
    <r>
      <rPr>
        <b/>
        <sz val="10"/>
        <color rgb="FFFF0000"/>
        <rFont val="Arial"/>
        <family val="2"/>
      </rPr>
      <t>Tailings</t>
    </r>
  </si>
  <si>
    <r>
      <rPr>
        <sz val="10"/>
        <color rgb="FFFF0000"/>
        <rFont val="Arial"/>
        <family val="2"/>
      </rPr>
      <t xml:space="preserve">Skarn </t>
    </r>
    <r>
      <rPr>
        <b/>
        <sz val="10"/>
        <color rgb="FFFF0000"/>
        <rFont val="Arial"/>
        <family val="2"/>
      </rPr>
      <t>Tailings</t>
    </r>
  </si>
  <si>
    <t>TNC</t>
  </si>
  <si>
    <t>Azure Minerals</t>
  </si>
  <si>
    <t>Website (2015-02-24)</t>
  </si>
  <si>
    <t>Francisco I Madero</t>
  </si>
  <si>
    <t>Fresnillo-San Julián</t>
  </si>
  <si>
    <t>Fresnillo</t>
  </si>
  <si>
    <t>La Arista-El Aguila</t>
  </si>
  <si>
    <t>Gold Resource Corp</t>
  </si>
  <si>
    <t>La Colorada</t>
  </si>
  <si>
    <t>La Encantada</t>
  </si>
  <si>
    <r>
      <rPr>
        <sz val="10"/>
        <color theme="1"/>
        <rFont val="Arial"/>
        <family val="2"/>
      </rPr>
      <t xml:space="preserve">La Encantada </t>
    </r>
    <r>
      <rPr>
        <b/>
        <sz val="10"/>
        <color rgb="FFFF0000"/>
        <rFont val="Arial"/>
        <family val="2"/>
      </rPr>
      <t>Tailings</t>
    </r>
  </si>
  <si>
    <t>La Frazada</t>
  </si>
  <si>
    <t>Tech Rep (2009-01)</t>
  </si>
  <si>
    <t>La Negra</t>
  </si>
  <si>
    <t>Aurcana Corp</t>
  </si>
  <si>
    <t>La Parilla</t>
  </si>
  <si>
    <t>Los Gatos</t>
  </si>
  <si>
    <t>Sunshine Silver Mines</t>
  </si>
  <si>
    <t>Tech Rep (2012-12)</t>
  </si>
  <si>
    <t>Metates</t>
  </si>
  <si>
    <t>Chesapeake Gold Corp</t>
  </si>
  <si>
    <t>Miguel Auza</t>
  </si>
  <si>
    <t>High and low sulphidation</t>
  </si>
  <si>
    <t>Excellon Resources</t>
  </si>
  <si>
    <t>Minera Ciénega</t>
  </si>
  <si>
    <t>Minera Fresnillo (underground)</t>
  </si>
  <si>
    <t>Minera Juanicipio</t>
  </si>
  <si>
    <t>Fresnillo-56%, MAG Silver Corp-44%</t>
  </si>
  <si>
    <t>Ann Rep 2013 (Fresnillo)</t>
  </si>
  <si>
    <t>Minera Parreña-Guachichil</t>
  </si>
  <si>
    <t>Minera Parreña-Leones</t>
  </si>
  <si>
    <t>Minera Parreña-Lucerito</t>
  </si>
  <si>
    <t>Minera Saucito</t>
  </si>
  <si>
    <t>Naica</t>
  </si>
  <si>
    <t>Namiquipa</t>
  </si>
  <si>
    <t>Low/Intermediate sulfidation</t>
  </si>
  <si>
    <t>Santana Minerals</t>
  </si>
  <si>
    <t>Nuestra Señora</t>
  </si>
  <si>
    <t>Scorpio Mining Corp</t>
  </si>
  <si>
    <t>Peñasquito (mill)</t>
  </si>
  <si>
    <t>Pitarrilla</t>
  </si>
  <si>
    <t>Platosa</t>
  </si>
  <si>
    <t>Manto/Skarn/Epithermal?</t>
  </si>
  <si>
    <t>Tech Rep (2011-11)</t>
  </si>
  <si>
    <t>Plomosas (Rosario-San Juan)</t>
  </si>
  <si>
    <t>Rey de Plata</t>
  </si>
  <si>
    <t>Industrias Penoles</t>
  </si>
  <si>
    <t>Ann Rep 2013; ILZSG database (2016-07-12)</t>
  </si>
  <si>
    <t>Rosario</t>
  </si>
  <si>
    <t>Santacruz Silver Mining</t>
  </si>
  <si>
    <t>Sabinas</t>
  </si>
  <si>
    <t>San Agustín</t>
  </si>
  <si>
    <t>Argonaut Gold</t>
  </si>
  <si>
    <t>ResV-ResC 2012 (Silver Std)</t>
  </si>
  <si>
    <t>San Felipe (Hochschild)</t>
  </si>
  <si>
    <t>Hochschild Mining</t>
  </si>
  <si>
    <t>San Felipe (Santacruz)</t>
  </si>
  <si>
    <t>San José</t>
  </si>
  <si>
    <t>Arian Silver Corp</t>
  </si>
  <si>
    <t>San José de Gracia</t>
  </si>
  <si>
    <t>San Marcial</t>
  </si>
  <si>
    <t>San Martin (Pb-Zn-Ag-Au only)</t>
  </si>
  <si>
    <t>San Nicolas</t>
  </si>
  <si>
    <t>Teck-79%, Goldcorp-21%</t>
  </si>
  <si>
    <t>Ann Rep 2013 (Goldcorp)</t>
  </si>
  <si>
    <t>San Rafael</t>
  </si>
  <si>
    <t>San Sebastian</t>
  </si>
  <si>
    <t>Hecla Mining</t>
  </si>
  <si>
    <t>Sierra Mojada</t>
  </si>
  <si>
    <t>Silver Bull Resources</t>
  </si>
  <si>
    <t>Tech (2013-12)</t>
  </si>
  <si>
    <t>SCC-IMMSA Group (Charcas-Santa Barbara-San Martin-Santa Eulalia-Taxco)</t>
  </si>
  <si>
    <t>Epithermal-Skarn</t>
  </si>
  <si>
    <t>Skarn may be dominant?</t>
  </si>
  <si>
    <t>Terrazas</t>
  </si>
  <si>
    <t>IOCG?</t>
  </si>
  <si>
    <t>Constellation Cu Corp (bankrupt)</t>
  </si>
  <si>
    <t>Tizapa</t>
  </si>
  <si>
    <t>Topia</t>
  </si>
  <si>
    <t>Great Panther Silver</t>
  </si>
  <si>
    <t>Velardeña (Peñoles)</t>
  </si>
  <si>
    <t>Velardeña-Chicago (GM)</t>
  </si>
  <si>
    <t>Golden Minerals</t>
  </si>
  <si>
    <t>Brskovo</t>
  </si>
  <si>
    <t>Montenegro</t>
  </si>
  <si>
    <t>Balamara Resources</t>
  </si>
  <si>
    <t>Visnjica</t>
  </si>
  <si>
    <t>Zuta Prla</t>
  </si>
  <si>
    <t>Boumadine</t>
  </si>
  <si>
    <t>Morocco</t>
  </si>
  <si>
    <t>Low-sulfidation</t>
  </si>
  <si>
    <t>Maya Gold &amp; Silver</t>
  </si>
  <si>
    <t>Hajar</t>
  </si>
  <si>
    <t>Compagnie Minière des Guemassa</t>
  </si>
  <si>
    <t>USGS MYB 2010 Morocco</t>
  </si>
  <si>
    <t>Tighza</t>
  </si>
  <si>
    <t>Compagnie Minière de Touissit</t>
  </si>
  <si>
    <t>CMT Media (2014-05-29)</t>
  </si>
  <si>
    <t>Berg Aukus</t>
  </si>
  <si>
    <t>Namibia</t>
  </si>
  <si>
    <t>China Africa Resources</t>
  </si>
  <si>
    <t>Gergarub</t>
  </si>
  <si>
    <t>Vedanta, Glencore</t>
  </si>
  <si>
    <t>Namib</t>
  </si>
  <si>
    <t>North River Resources</t>
  </si>
  <si>
    <r>
      <rPr>
        <sz val="10"/>
        <color theme="1"/>
        <rFont val="Arial"/>
        <family val="2"/>
      </rPr>
      <t xml:space="preserve">Namib </t>
    </r>
    <r>
      <rPr>
        <b/>
        <sz val="10"/>
        <color rgb="FFFF0000"/>
        <rFont val="Arial"/>
        <family val="2"/>
      </rPr>
      <t>Tailings</t>
    </r>
  </si>
  <si>
    <r>
      <rPr>
        <sz val="10"/>
        <color rgb="FFFF0000"/>
        <rFont val="Arial"/>
        <family val="2"/>
      </rPr>
      <t xml:space="preserve">Sediment-hosted Pb-Zn </t>
    </r>
    <r>
      <rPr>
        <b/>
        <sz val="10"/>
        <color rgb="FFFF0000"/>
        <rFont val="Arial"/>
        <family val="2"/>
      </rPr>
      <t>Tailings</t>
    </r>
  </si>
  <si>
    <t>Rosh Pinah</t>
  </si>
  <si>
    <t>Skorpion</t>
  </si>
  <si>
    <t>Tsongoari</t>
  </si>
  <si>
    <t>Gauert (2005)</t>
  </si>
  <si>
    <r>
      <rPr>
        <sz val="10"/>
        <color theme="1"/>
        <rFont val="Arial"/>
        <family val="2"/>
      </rPr>
      <t xml:space="preserve">Tsumeb </t>
    </r>
    <r>
      <rPr>
        <b/>
        <sz val="10"/>
        <color rgb="FFFF0000"/>
        <rFont val="Arial"/>
        <family val="2"/>
      </rPr>
      <t>Tailings</t>
    </r>
  </si>
  <si>
    <t>Weatherly International</t>
  </si>
  <si>
    <t>Ganesh Himal-Lari I</t>
  </si>
  <si>
    <t>Nepal</t>
  </si>
  <si>
    <t>Baharani et al 2008</t>
  </si>
  <si>
    <t>Ganesh Himal-Suple</t>
  </si>
  <si>
    <t>Hysean</t>
  </si>
  <si>
    <t>North Korea</t>
  </si>
  <si>
    <t>DPRK Government</t>
  </si>
  <si>
    <t>Kyung-soo (2011)</t>
  </si>
  <si>
    <t>Goemdok (Gumdock)</t>
  </si>
  <si>
    <t>Duddar</t>
  </si>
  <si>
    <t>Pakistan</t>
  </si>
  <si>
    <t>Gunga (Khuzdar)</t>
  </si>
  <si>
    <t>Accha (AZOD)</t>
  </si>
  <si>
    <t>Peru</t>
  </si>
  <si>
    <t>Zincore Metals</t>
  </si>
  <si>
    <t>Alpamarca</t>
  </si>
  <si>
    <t>Manto-Cu</t>
  </si>
  <si>
    <t>Volcan Compania Minera</t>
  </si>
  <si>
    <t>Anamaray</t>
  </si>
  <si>
    <t>Buenaventura</t>
  </si>
  <si>
    <t>AntaKori-Sinchao</t>
  </si>
  <si>
    <t>Southern Legacy Minerals</t>
  </si>
  <si>
    <t>Antamina</t>
  </si>
  <si>
    <t>Porphyry-related</t>
  </si>
  <si>
    <t>BHP Billiton / Glencore Xstrata / Teck</t>
  </si>
  <si>
    <r>
      <rPr>
        <b/>
        <sz val="10"/>
        <color rgb="FFFF0000"/>
        <rFont val="Arial"/>
        <family val="2"/>
      </rPr>
      <t>Glencore Xstrata</t>
    </r>
    <r>
      <rPr>
        <sz val="10"/>
        <color theme="1"/>
        <rFont val="Arial"/>
        <family val="2"/>
      </rPr>
      <t xml:space="preserve"> Reserves-Resources 2013</t>
    </r>
  </si>
  <si>
    <t>Ariana</t>
  </si>
  <si>
    <t>Southern Peaks Mining</t>
  </si>
  <si>
    <t>Website (2014-12-12)</t>
  </si>
  <si>
    <t>Atacocha</t>
  </si>
  <si>
    <t>Compania Minera Milpo</t>
  </si>
  <si>
    <t>Ayawilca</t>
  </si>
  <si>
    <t>Tinka Resources</t>
  </si>
  <si>
    <t>Tech Rep (2015-03)</t>
  </si>
  <si>
    <t>Bongará-Florida Canyon</t>
  </si>
  <si>
    <t>Solitario Expl. &amp; Royalty Corp., Votorantim Metais</t>
  </si>
  <si>
    <t>Tech Rep (2014-06)</t>
  </si>
  <si>
    <t>Caylloma</t>
  </si>
  <si>
    <t>Fortuna Silver Mines</t>
  </si>
  <si>
    <t>Cerro de Pasco</t>
  </si>
  <si>
    <t>High to intermediate-low sulfidation</t>
  </si>
  <si>
    <t>Cerro Lindo</t>
  </si>
  <si>
    <t>Chungar</t>
  </si>
  <si>
    <t>Contonga</t>
  </si>
  <si>
    <t>Corani</t>
  </si>
  <si>
    <t>Low-to-intermediate sulfidation</t>
  </si>
  <si>
    <t>Bear Creek Mining Corp</t>
  </si>
  <si>
    <t>Tech Rep (2011-12)</t>
  </si>
  <si>
    <t>Coricancha</t>
  </si>
  <si>
    <t>Reserves-Resources 2012 minus 2013 prod'n</t>
  </si>
  <si>
    <t>El Brocal (Colquijirca)</t>
  </si>
  <si>
    <t>El Brocal / Buenaventura</t>
  </si>
  <si>
    <t>Form 20F 2013 (B)</t>
  </si>
  <si>
    <t>El Porvenir</t>
  </si>
  <si>
    <t>Hilarion</t>
  </si>
  <si>
    <t>Huampar</t>
  </si>
  <si>
    <t>Website (2013-10-20)</t>
  </si>
  <si>
    <t>Huaron</t>
  </si>
  <si>
    <t>Invicta</t>
  </si>
  <si>
    <t>Lupaka Gold</t>
  </si>
  <si>
    <t>Iscaycruz</t>
  </si>
  <si>
    <t>Islay</t>
  </si>
  <si>
    <t>Julcani</t>
  </si>
  <si>
    <t>La Granja</t>
  </si>
  <si>
    <t>Cu-Mo</t>
  </si>
  <si>
    <t>Rio Tinto</t>
  </si>
  <si>
    <t>Ann Rep's 2010 &amp; 2013</t>
  </si>
  <si>
    <t>Mallay</t>
  </si>
  <si>
    <t>Morococha</t>
  </si>
  <si>
    <t>?low sulfidation?</t>
  </si>
  <si>
    <t>Oyama</t>
  </si>
  <si>
    <t>Palma</t>
  </si>
  <si>
    <t>Pilarica (Fresnillo Peru)</t>
  </si>
  <si>
    <t>Pucarrajo</t>
  </si>
  <si>
    <t>Reserves-Resources 2012 (2007 data)</t>
  </si>
  <si>
    <t>Quiruvilca</t>
  </si>
  <si>
    <t>Recuperada</t>
  </si>
  <si>
    <t>Rio Pallanga</t>
  </si>
  <si>
    <t>San Gregorio</t>
  </si>
  <si>
    <t>Ann Rep 2013 (EB)</t>
  </si>
  <si>
    <t>San Sebastián</t>
  </si>
  <si>
    <t>Santander (Magistral-Puajanca)</t>
  </si>
  <si>
    <r>
      <rPr>
        <sz val="10"/>
        <color theme="1"/>
        <rFont val="Arial"/>
        <family val="2"/>
      </rPr>
      <t xml:space="preserve">Santander </t>
    </r>
    <r>
      <rPr>
        <b/>
        <sz val="10"/>
        <color rgb="FFFF0000"/>
        <rFont val="Arial"/>
        <family val="2"/>
      </rPr>
      <t>Tailings</t>
    </r>
  </si>
  <si>
    <r>
      <rPr>
        <sz val="10"/>
        <color theme="1"/>
        <rFont val="Arial"/>
        <family val="2"/>
      </rPr>
      <t xml:space="preserve">Skarn </t>
    </r>
    <r>
      <rPr>
        <b/>
        <sz val="10"/>
        <color rgb="FFFF0000"/>
        <rFont val="Arial"/>
        <family val="2"/>
      </rPr>
      <t>Tailings</t>
    </r>
  </si>
  <si>
    <t>Tajo Norte-La Llave</t>
  </si>
  <si>
    <t>Tambomayo</t>
  </si>
  <si>
    <t>Uchucchacua (Jancapata, Yumpag)</t>
  </si>
  <si>
    <t>Vinchos</t>
  </si>
  <si>
    <t>Yanque</t>
  </si>
  <si>
    <t>Yauli</t>
  </si>
  <si>
    <t>Yauliyacu</t>
  </si>
  <si>
    <t>Yauricocha</t>
  </si>
  <si>
    <t>Zoraida</t>
  </si>
  <si>
    <t>Canatuan</t>
  </si>
  <si>
    <t>Philippines</t>
  </si>
  <si>
    <t>TVI Pacific</t>
  </si>
  <si>
    <t>Website (2014-01-12)</t>
  </si>
  <si>
    <t>Manat-Magas</t>
  </si>
  <si>
    <t>Alsons Grou-75%, Indophil-25%</t>
  </si>
  <si>
    <t>Ann Rep 2013 (Indophil)</t>
  </si>
  <si>
    <t>Ungay-Malobago (Rapu Rapu)</t>
  </si>
  <si>
    <t>KMP Resources Inc. (?) (formerly Lafayette Mining)</t>
  </si>
  <si>
    <t>Ann Rep 2007 (Lafayette)</t>
  </si>
  <si>
    <t>Nakru</t>
  </si>
  <si>
    <t>PNG</t>
  </si>
  <si>
    <t>Coppermoly</t>
  </si>
  <si>
    <t>Media (2012-07-24)</t>
  </si>
  <si>
    <t>Solwara 1</t>
  </si>
  <si>
    <t>Nautilus Minerals, PNG Gov.</t>
  </si>
  <si>
    <t>Solwara 12</t>
  </si>
  <si>
    <t>Olza (Rokitno, Zawiercie, Chechlo)</t>
  </si>
  <si>
    <t>Poland</t>
  </si>
  <si>
    <t>Rathdowney Resources</t>
  </si>
  <si>
    <t>Aljustrel</t>
  </si>
  <si>
    <t>Portugal</t>
  </si>
  <si>
    <t>Almina-Minas do Alentejo</t>
  </si>
  <si>
    <t>Lagoa Salgada</t>
  </si>
  <si>
    <t>Portex Minerals</t>
  </si>
  <si>
    <t>Tech Rep (2012-01)</t>
  </si>
  <si>
    <t>Neves-Corvo</t>
  </si>
  <si>
    <t>Lundin Mining</t>
  </si>
  <si>
    <t>Cavnic</t>
  </si>
  <si>
    <t>Romania</t>
  </si>
  <si>
    <t>Grancea et al 2002</t>
  </si>
  <si>
    <t>Suior</t>
  </si>
  <si>
    <t>Kouzmanov et al 2005</t>
  </si>
  <si>
    <t>50 Years October</t>
  </si>
  <si>
    <t>Russia</t>
  </si>
  <si>
    <t>Herrington et al, 2005</t>
  </si>
  <si>
    <t>Alexandrinka</t>
  </si>
  <si>
    <t>Bakr Tau</t>
  </si>
  <si>
    <t>Balta Tau</t>
  </si>
  <si>
    <t>Berezitovy</t>
  </si>
  <si>
    <t>Nordgold</t>
  </si>
  <si>
    <t>Ann Rep 2013, ILZSG (2016-07-12)</t>
  </si>
  <si>
    <t>Blyava</t>
  </si>
  <si>
    <t>Buribai</t>
  </si>
  <si>
    <t>Degtyarskoe</t>
  </si>
  <si>
    <t>Gai</t>
  </si>
  <si>
    <t>Goltsovoye</t>
  </si>
  <si>
    <t>Polymetal RU</t>
  </si>
  <si>
    <t>Gorevskoe</t>
  </si>
  <si>
    <t>Leach et al, 2005</t>
  </si>
  <si>
    <t>Goroblagodat</t>
  </si>
  <si>
    <t>%TiO2</t>
  </si>
  <si>
    <t>Ishkinino</t>
  </si>
  <si>
    <t>g/t Pt</t>
  </si>
  <si>
    <t>Kholodninskoe</t>
  </si>
  <si>
    <t>MBC Corp</t>
  </si>
  <si>
    <t>Website (2015-04-24)</t>
  </si>
  <si>
    <t>In-Cd-Se-Te</t>
  </si>
  <si>
    <t>Khudesskoye</t>
  </si>
  <si>
    <t>Urals Mining &amp; Metallurgical Co. (UMMC)</t>
  </si>
  <si>
    <t>Komaganskoe</t>
  </si>
  <si>
    <t>Korbalikhinskoye</t>
  </si>
  <si>
    <t>Min Deps Northeast Asia</t>
  </si>
  <si>
    <t>Krasnogvardeyskoe</t>
  </si>
  <si>
    <t>Letnye</t>
  </si>
  <si>
    <t>Limonitovoye</t>
  </si>
  <si>
    <t>Mauk</t>
  </si>
  <si>
    <t>Nazarovskoe</t>
  </si>
  <si>
    <t>Novoshirokinskoye</t>
  </si>
  <si>
    <t>Skarn/Epithermal?</t>
  </si>
  <si>
    <t>Highland Gold</t>
  </si>
  <si>
    <t>Noyon-Tologoisky</t>
  </si>
  <si>
    <t>Baojin Mining (ILZSG db?)</t>
  </si>
  <si>
    <t>Ozernoe (Ozerny)</t>
  </si>
  <si>
    <t>Pavlovskoye</t>
  </si>
  <si>
    <t>Rosatom, Atomredmetzoloto (ARMZ)</t>
  </si>
  <si>
    <t>Perevalnoye</t>
  </si>
  <si>
    <t>Podolskoe</t>
  </si>
  <si>
    <t>Safyanovka</t>
  </si>
  <si>
    <t>Salairskoye</t>
  </si>
  <si>
    <t>Sardana</t>
  </si>
  <si>
    <t>Summa Group</t>
  </si>
  <si>
    <t>Sibay</t>
  </si>
  <si>
    <t>Tarnyerskoe</t>
  </si>
  <si>
    <t>Tuva / Kyzyl-Tash Turk</t>
  </si>
  <si>
    <t>Uchaly</t>
  </si>
  <si>
    <t>Urultun</t>
  </si>
  <si>
    <t>Uzelga</t>
  </si>
  <si>
    <t>Yaman Kasy</t>
  </si>
  <si>
    <t>Yubilenoe (VMS Cu-Zn)</t>
  </si>
  <si>
    <t>Zimnyee</t>
  </si>
  <si>
    <t>Al Masane-Al Kobra (AMAK)</t>
  </si>
  <si>
    <t>Saudi Arabia</t>
  </si>
  <si>
    <t>AMAK, Trecora Res. (formerly Arabian American Devt Co)</t>
  </si>
  <si>
    <t>Tech Rep (2009-09) (Trecora)</t>
  </si>
  <si>
    <t>Jabal Dhaylan</t>
  </si>
  <si>
    <t>Jabal Sayid-Citadel (Lode 1 only)</t>
  </si>
  <si>
    <t>Barrick Gold (formerly Equinox Res.)</t>
  </si>
  <si>
    <t>Ann Rep 2010 (Equinox)</t>
  </si>
  <si>
    <t>Khnaiguiyah (1-2)</t>
  </si>
  <si>
    <t>Alara-50%, United Arabian Mining Company (Manajem)-50%</t>
  </si>
  <si>
    <t>Chadine</t>
  </si>
  <si>
    <t>Serbia</t>
  </si>
  <si>
    <t>Aurasian Minerals</t>
  </si>
  <si>
    <t>Website (2016-05-19)</t>
  </si>
  <si>
    <t>Parlozi</t>
  </si>
  <si>
    <t>Rosita Mining</t>
  </si>
  <si>
    <t>Tenka</t>
  </si>
  <si>
    <t>Armstrong et al (2005)</t>
  </si>
  <si>
    <t>Black Mountain-Deeps/Broken Hill</t>
  </si>
  <si>
    <t>South Africa</t>
  </si>
  <si>
    <t>Black Mountain-Gamsberg</t>
  </si>
  <si>
    <t>Black Mountain-Swartberg</t>
  </si>
  <si>
    <t>Bushy Park</t>
  </si>
  <si>
    <t>Wheatley et al 1986</t>
  </si>
  <si>
    <t>Pering</t>
  </si>
  <si>
    <t>Minéro Zinc</t>
  </si>
  <si>
    <t>Fin. Summary (Pering Base Metals Pty Ltd, 2010-12)</t>
  </si>
  <si>
    <t>Salt River-Graafwater East/West</t>
  </si>
  <si>
    <t>Thabex</t>
  </si>
  <si>
    <t>Salt River-Hartebeest Vlei</t>
  </si>
  <si>
    <t>Salt River-Main</t>
  </si>
  <si>
    <t>Yeonwha 1</t>
  </si>
  <si>
    <t>South Korea</t>
  </si>
  <si>
    <t>Woulfe Mining Corp</t>
  </si>
  <si>
    <t>Website (2014-12-10)</t>
  </si>
  <si>
    <t>Aguas Teñidas</t>
  </si>
  <si>
    <t>Spain</t>
  </si>
  <si>
    <t>Iberian Minerals</t>
  </si>
  <si>
    <t>Tech Rep (2009-09)</t>
  </si>
  <si>
    <t>Cobre Las Cruces</t>
  </si>
  <si>
    <t>Lomero-Poyatos</t>
  </si>
  <si>
    <t>Petaquilla Minerals</t>
  </si>
  <si>
    <t>Masa Valverde</t>
  </si>
  <si>
    <t>Cambridge Mineral Resources</t>
  </si>
  <si>
    <t>Pres. (undated, website 2014-01-12)</t>
  </si>
  <si>
    <t>Santa Barbara</t>
  </si>
  <si>
    <t>Toral</t>
  </si>
  <si>
    <t>Abu Samar</t>
  </si>
  <si>
    <t>Sudan</t>
  </si>
  <si>
    <t>Hassaï</t>
  </si>
  <si>
    <t>Weatherly Investments II (formerly La Mancha)</t>
  </si>
  <si>
    <t>Tech Rep (2012-08; La Mancha)</t>
  </si>
  <si>
    <t>Barsele (Norra)</t>
  </si>
  <si>
    <t>Sweden</t>
  </si>
  <si>
    <t>VMS/Epithermal</t>
  </si>
  <si>
    <t>Orex Minerals</t>
  </si>
  <si>
    <t>Boliden-Kristineberg</t>
  </si>
  <si>
    <t>Boliden-Maurliden</t>
  </si>
  <si>
    <t>Boliden-Maurliden Östra</t>
  </si>
  <si>
    <t>Boliden-Petiknäs N</t>
  </si>
  <si>
    <t>Boliden-Renström</t>
  </si>
  <si>
    <t>Garpenberg</t>
  </si>
  <si>
    <t>Häggån</t>
  </si>
  <si>
    <t>Sediment-hosted Pb-Zn (Shale-hosted)</t>
  </si>
  <si>
    <t>Aura Energy</t>
  </si>
  <si>
    <t>Huornaisenvuoma</t>
  </si>
  <si>
    <t>Rockliden</t>
  </si>
  <si>
    <t>Viken</t>
  </si>
  <si>
    <t>Continental Precious Minerals</t>
  </si>
  <si>
    <t>Viscaria (A-B Zones)</t>
  </si>
  <si>
    <t>Avalon Minerals</t>
  </si>
  <si>
    <t>Media (2011-11-29)</t>
  </si>
  <si>
    <t>Zinkgruven</t>
  </si>
  <si>
    <t>Konimansur Kalon</t>
  </si>
  <si>
    <t>Tajikistan</t>
  </si>
  <si>
    <t>Tajik Gov't</t>
  </si>
  <si>
    <t>Harvest-Terakimti</t>
  </si>
  <si>
    <t>Tanzania</t>
  </si>
  <si>
    <t>East Africa Metals</t>
  </si>
  <si>
    <t>Mae Sod (Padaeng)</t>
  </si>
  <si>
    <t>Thailand</t>
  </si>
  <si>
    <t>Bou Jabeur-Gite de l'Est</t>
  </si>
  <si>
    <t>Tunisia</t>
  </si>
  <si>
    <t>unknown (formerly Maghreb Minerals plc)</t>
  </si>
  <si>
    <t>Maghreb Mins. Pres. (Finex'08), Media 2007-12-13</t>
  </si>
  <si>
    <t>%CaF2</t>
  </si>
  <si>
    <t>Djebba</t>
  </si>
  <si>
    <t>Ann Report (2007)</t>
  </si>
  <si>
    <t>Fej Lahdoum-Dar N’Hal Nord</t>
  </si>
  <si>
    <t>Media 2007-03-07</t>
  </si>
  <si>
    <t>Kohol</t>
  </si>
  <si>
    <t>Media 2006-12-07</t>
  </si>
  <si>
    <t>Sidi at Taia (Sidi Taya)</t>
  </si>
  <si>
    <t>Zriba-Guebli</t>
  </si>
  <si>
    <t>Bayindir</t>
  </si>
  <si>
    <t>Turkey</t>
  </si>
  <si>
    <t>Çayeli Bakir</t>
  </si>
  <si>
    <t>Çorak</t>
  </si>
  <si>
    <t>Mediterranean Resources</t>
  </si>
  <si>
    <t>Tufanbeyli Group</t>
  </si>
  <si>
    <t>Red Crescent Resources</t>
  </si>
  <si>
    <t>Yenice</t>
  </si>
  <si>
    <t>Nesko</t>
  </si>
  <si>
    <t>Türkiye (2013)</t>
  </si>
  <si>
    <t>Yenipazar</t>
  </si>
  <si>
    <t>Aldridge Minerals</t>
  </si>
  <si>
    <t>South Crofty</t>
  </si>
  <si>
    <t>UK</t>
  </si>
  <si>
    <t>Granite-related</t>
  </si>
  <si>
    <t>????</t>
  </si>
  <si>
    <t>Celeste Copper</t>
  </si>
  <si>
    <t>Tech Rep (2012-10)</t>
  </si>
  <si>
    <t>Back Forty</t>
  </si>
  <si>
    <t>USA</t>
  </si>
  <si>
    <t>Aquila Resources Inc</t>
  </si>
  <si>
    <t>Blue Moon</t>
  </si>
  <si>
    <t>C.O.D.-Kingman</t>
  </si>
  <si>
    <t>ARS Mining</t>
  </si>
  <si>
    <t>Tech Rep (2008-07)</t>
  </si>
  <si>
    <r>
      <rPr>
        <sz val="10"/>
        <color theme="1"/>
        <rFont val="Arial"/>
        <family val="2"/>
      </rPr>
      <t xml:space="preserve">C.O.D.-Kingman </t>
    </r>
    <r>
      <rPr>
        <b/>
        <sz val="10"/>
        <color rgb="FFFF0000"/>
        <rFont val="Arial"/>
        <family val="2"/>
      </rPr>
      <t>Tailings</t>
    </r>
  </si>
  <si>
    <r>
      <rPr>
        <sz val="10"/>
        <color theme="1"/>
        <rFont val="Arial"/>
        <family val="2"/>
      </rPr>
      <t xml:space="preserve">Mesothermal Vein </t>
    </r>
    <r>
      <rPr>
        <b/>
        <sz val="10"/>
        <color rgb="FFFF0000"/>
        <rFont val="Arial"/>
        <family val="2"/>
      </rPr>
      <t>Tailings</t>
    </r>
  </si>
  <si>
    <t>Coeur-Galena Complex (Pb-Ag only)</t>
  </si>
  <si>
    <t>Coeur D'Alene district</t>
  </si>
  <si>
    <t>US Silver &amp; Gold</t>
  </si>
  <si>
    <t>East Tennessee (Coy-Immel-Young)</t>
  </si>
  <si>
    <t>Empire</t>
  </si>
  <si>
    <t>Musgrove Minerals</t>
  </si>
  <si>
    <t>Tech Rep (2006-09)</t>
  </si>
  <si>
    <t>Greens Creek</t>
  </si>
  <si>
    <t>Lik</t>
  </si>
  <si>
    <t>Zazu Metals Corp</t>
  </si>
  <si>
    <t>Lone Mountain-Upper Lake Valley</t>
  </si>
  <si>
    <t>Copper One</t>
  </si>
  <si>
    <t>Tech Rep 2009-11</t>
  </si>
  <si>
    <t>Lucky Friday</t>
  </si>
  <si>
    <t>Middle Tennessee (Gordonsville-Elmwood-Cumberland)</t>
  </si>
  <si>
    <t>Montana Tunnels (M-pit)</t>
  </si>
  <si>
    <t>Au</t>
  </si>
  <si>
    <t>Eastern Resources</t>
  </si>
  <si>
    <t>Reserves-Resources 2008</t>
  </si>
  <si>
    <t>Niblack (Lookout-Trio)</t>
  </si>
  <si>
    <t>Heatherdale Resources</t>
  </si>
  <si>
    <t>Website (2014-01-14)</t>
  </si>
  <si>
    <t>Pend Oreille (Yellowhead)</t>
  </si>
  <si>
    <t>Red Dog</t>
  </si>
  <si>
    <t>Reef Ridge</t>
  </si>
  <si>
    <t>Doyon</t>
  </si>
  <si>
    <t>Revenue (Virginius)</t>
  </si>
  <si>
    <t>Fortune Minerals</t>
  </si>
  <si>
    <t>Revenue (Yellow Rose)</t>
  </si>
  <si>
    <t>San Juan</t>
  </si>
  <si>
    <t>Silver Valley-Star</t>
  </si>
  <si>
    <r>
      <rPr>
        <sz val="10"/>
        <color theme="1"/>
        <rFont val="Arial"/>
        <family val="2"/>
      </rPr>
      <t>Sunshine (</t>
    </r>
    <r>
      <rPr>
        <i/>
        <sz val="10"/>
        <color theme="1"/>
        <rFont val="Arial"/>
        <family val="2"/>
      </rPr>
      <t>inferred only</t>
    </r>
    <r>
      <rPr>
        <sz val="10"/>
        <color theme="1"/>
        <rFont val="Arial"/>
        <family val="2"/>
      </rPr>
      <t>)</t>
    </r>
  </si>
  <si>
    <t>Su-Lik</t>
  </si>
  <si>
    <t>Upper Kobuk-Arctic</t>
  </si>
  <si>
    <t>NovaCopper</t>
  </si>
  <si>
    <t>West Desert (Crypto)</t>
  </si>
  <si>
    <t>InZinc Mining (formerly Lithic Res.)</t>
  </si>
  <si>
    <t>Khandiza</t>
  </si>
  <si>
    <t>Uzbekistan</t>
  </si>
  <si>
    <t>Marakand Minerals</t>
  </si>
  <si>
    <t>Website (2014-10-07; also Oxus Gold)</t>
  </si>
  <si>
    <t>Parys Mountain</t>
  </si>
  <si>
    <t>Wales</t>
  </si>
  <si>
    <t>Anglesey Mining</t>
  </si>
  <si>
    <t>Jabali</t>
  </si>
  <si>
    <t>Yemen</t>
  </si>
  <si>
    <t>Non-sulfide Zinc deposit</t>
  </si>
  <si>
    <t>unknoown</t>
  </si>
  <si>
    <t>Mondillo et al 2014</t>
  </si>
  <si>
    <r>
      <rPr>
        <sz val="10"/>
        <color theme="1"/>
        <rFont val="Arial"/>
        <family val="2"/>
      </rPr>
      <t xml:space="preserve">Jabali </t>
    </r>
    <r>
      <rPr>
        <b/>
        <sz val="10"/>
        <color rgb="FFFF0000"/>
        <rFont val="Arial"/>
        <family val="2"/>
      </rPr>
      <t>Stockpile</t>
    </r>
  </si>
  <si>
    <t>SNC</t>
  </si>
  <si>
    <t>Kabwe</t>
  </si>
  <si>
    <t>Zambia</t>
  </si>
  <si>
    <t>Berkley Mineral Resources</t>
  </si>
  <si>
    <r>
      <rPr>
        <sz val="10"/>
        <color theme="1"/>
        <rFont val="Arial"/>
        <family val="2"/>
      </rPr>
      <t xml:space="preserve">Kabwe </t>
    </r>
    <r>
      <rPr>
        <b/>
        <sz val="10"/>
        <color rgb="FFFF0000"/>
        <rFont val="Arial"/>
        <family val="2"/>
      </rPr>
      <t>Tailings</t>
    </r>
  </si>
  <si>
    <t>Deposit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</si>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</sst>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00"/>
    <numFmt numFmtId="166" formatCode="0.0"/>
    <numFmt numFmtId="167" formatCode="0.0000"/>
  </numFmts>
  <fonts count="11" x14ac:knownFonts="1">
    <font>
      <sz val="12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rgb="FF3366FF"/>
      <name val="Arial"/>
      <family val="2"/>
    </font>
    <font>
      <b/>
      <sz val="10"/>
      <color rgb="FF993300"/>
      <name val="Arial"/>
      <family val="2"/>
    </font>
    <font>
      <b/>
      <sz val="10"/>
      <color rgb="FF0000FF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8000"/>
      <name val="Arial"/>
      <family val="2"/>
    </font>
    <font>
      <i/>
      <sz val="10"/>
      <color theme="1"/>
      <name val="Arial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CCFFFF"/>
        <bgColor rgb="FF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72A1C-9174-8C41-9F31-B6606D657D47}">
  <dimension ref="A1:AO852"/>
  <sheetViews>
    <sheetView tabSelected="1" workbookViewId="0"/>
  </sheetViews>
  <sheetFormatPr baseColWidth="10" defaultRowHeight="16" x14ac:dyDescent="0.2"/>
  <sheetData>
    <row r="1" spans="1:41" x14ac:dyDescent="0.2">
      <c r="A1" s="1" t="s">
        <v>1683</v>
      </c>
      <c r="B1" s="2" t="s">
        <v>1684</v>
      </c>
      <c r="C1" s="3" t="s">
        <v>0</v>
      </c>
      <c r="D1" s="3" t="s">
        <v>1</v>
      </c>
      <c r="E1" s="2"/>
      <c r="F1" s="4" t="s">
        <v>2</v>
      </c>
      <c r="G1" s="4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21</v>
      </c>
      <c r="AA1" s="5" t="s">
        <v>22</v>
      </c>
      <c r="AB1" s="5" t="s">
        <v>23</v>
      </c>
      <c r="AC1" s="5" t="s">
        <v>24</v>
      </c>
      <c r="AD1" s="5" t="s">
        <v>25</v>
      </c>
      <c r="AE1" s="5" t="s">
        <v>26</v>
      </c>
      <c r="AF1" s="5" t="s">
        <v>27</v>
      </c>
      <c r="AG1" s="5" t="s">
        <v>28</v>
      </c>
      <c r="AH1" s="6" t="s">
        <v>29</v>
      </c>
      <c r="AI1" s="6" t="s">
        <v>30</v>
      </c>
      <c r="AJ1" s="6" t="s">
        <v>31</v>
      </c>
      <c r="AK1" s="6" t="s">
        <v>32</v>
      </c>
      <c r="AL1" s="6" t="s">
        <v>33</v>
      </c>
      <c r="AM1" s="5" t="s">
        <v>4</v>
      </c>
      <c r="AN1" s="5" t="s">
        <v>34</v>
      </c>
      <c r="AO1" s="5" t="s">
        <v>35</v>
      </c>
    </row>
    <row r="2" spans="1:41" x14ac:dyDescent="0.2">
      <c r="A2" s="2" t="s">
        <v>36</v>
      </c>
      <c r="B2" s="2" t="s">
        <v>37</v>
      </c>
      <c r="C2" s="2" t="s">
        <v>38</v>
      </c>
      <c r="D2" s="2" t="s">
        <v>39</v>
      </c>
      <c r="E2" s="7" t="s">
        <v>40</v>
      </c>
      <c r="F2" s="2" t="s">
        <v>41</v>
      </c>
      <c r="G2" s="8" t="s">
        <v>42</v>
      </c>
      <c r="H2" s="2">
        <v>7.1</v>
      </c>
      <c r="I2" s="2">
        <v>1.2</v>
      </c>
      <c r="J2" s="2">
        <v>1.9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9">
        <f t="shared" ref="AA2:AA256" si="0">H2*I2/100</f>
        <v>8.5199999999999998E-2</v>
      </c>
      <c r="AB2" s="9">
        <f t="shared" ref="AB2:AB256" si="1">H2*J2/100</f>
        <v>0.13489999999999999</v>
      </c>
      <c r="AC2" s="10">
        <f t="shared" ref="AC2:AC256" si="2">H2*K2</f>
        <v>0</v>
      </c>
      <c r="AD2" s="10">
        <f t="shared" ref="AD2:AD256" si="3">H2*M2</f>
        <v>0</v>
      </c>
      <c r="AE2" s="9">
        <f t="shared" ref="AE2:AE256" si="4">H2*L2/100</f>
        <v>0</v>
      </c>
      <c r="AF2" s="9">
        <f t="shared" ref="AF2:AF256" si="5">AA2+AB2+AE2</f>
        <v>0.22009999999999999</v>
      </c>
      <c r="AG2" s="9">
        <f t="shared" ref="AG2:AG256" si="6">I2+J2+L2</f>
        <v>3.0999999999999996</v>
      </c>
      <c r="AH2" s="11">
        <f t="shared" ref="AH2:AL17" si="7">$H2*I2</f>
        <v>8.52</v>
      </c>
      <c r="AI2" s="11">
        <f t="shared" si="7"/>
        <v>13.489999999999998</v>
      </c>
      <c r="AJ2" s="11">
        <f t="shared" si="7"/>
        <v>0</v>
      </c>
      <c r="AK2" s="11">
        <f t="shared" si="7"/>
        <v>0</v>
      </c>
      <c r="AL2" s="11">
        <f t="shared" si="7"/>
        <v>0</v>
      </c>
      <c r="AM2" s="2">
        <v>10000</v>
      </c>
      <c r="AN2" s="2">
        <v>0.01</v>
      </c>
      <c r="AO2" s="2">
        <f>AM2*AN2/100</f>
        <v>1</v>
      </c>
    </row>
    <row r="3" spans="1:41" x14ac:dyDescent="0.2">
      <c r="A3" s="2" t="s">
        <v>43</v>
      </c>
      <c r="B3" s="2" t="s">
        <v>37</v>
      </c>
      <c r="C3" s="2" t="s">
        <v>38</v>
      </c>
      <c r="D3" s="2" t="s">
        <v>39</v>
      </c>
      <c r="E3" s="7" t="s">
        <v>40</v>
      </c>
      <c r="F3" s="2" t="s">
        <v>41</v>
      </c>
      <c r="G3" s="8" t="s">
        <v>44</v>
      </c>
      <c r="H3" s="2">
        <v>12</v>
      </c>
      <c r="I3" s="2">
        <v>2.0699999999999998</v>
      </c>
      <c r="J3" s="2">
        <v>6.5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9">
        <f t="shared" si="0"/>
        <v>0.24839999999999995</v>
      </c>
      <c r="AB3" s="9">
        <f t="shared" si="1"/>
        <v>0.78</v>
      </c>
      <c r="AC3" s="10">
        <f t="shared" si="2"/>
        <v>0</v>
      </c>
      <c r="AD3" s="10">
        <f t="shared" si="3"/>
        <v>0</v>
      </c>
      <c r="AE3" s="9">
        <f t="shared" si="4"/>
        <v>0</v>
      </c>
      <c r="AF3" s="9">
        <f t="shared" si="5"/>
        <v>1.0284</v>
      </c>
      <c r="AG3" s="9">
        <f t="shared" si="6"/>
        <v>8.57</v>
      </c>
      <c r="AH3" s="11">
        <f t="shared" si="7"/>
        <v>24.839999999999996</v>
      </c>
      <c r="AI3" s="11">
        <f t="shared" si="7"/>
        <v>78</v>
      </c>
      <c r="AJ3" s="11">
        <f t="shared" si="7"/>
        <v>0</v>
      </c>
      <c r="AK3" s="11">
        <f t="shared" si="7"/>
        <v>0</v>
      </c>
      <c r="AL3" s="11">
        <f t="shared" si="7"/>
        <v>0</v>
      </c>
      <c r="AM3" s="2"/>
      <c r="AN3" s="2"/>
      <c r="AO3" s="2"/>
    </row>
    <row r="4" spans="1:41" x14ac:dyDescent="0.2">
      <c r="A4" s="2" t="s">
        <v>45</v>
      </c>
      <c r="B4" s="2" t="s">
        <v>37</v>
      </c>
      <c r="C4" s="2" t="s">
        <v>38</v>
      </c>
      <c r="D4" s="2" t="s">
        <v>39</v>
      </c>
      <c r="E4" s="7" t="s">
        <v>40</v>
      </c>
      <c r="F4" s="2" t="s">
        <v>41</v>
      </c>
      <c r="G4" s="8" t="s">
        <v>44</v>
      </c>
      <c r="H4" s="2">
        <v>38</v>
      </c>
      <c r="I4" s="2">
        <v>2.33</v>
      </c>
      <c r="J4" s="2">
        <v>3.52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9">
        <f t="shared" si="0"/>
        <v>0.88540000000000008</v>
      </c>
      <c r="AB4" s="9">
        <f t="shared" si="1"/>
        <v>1.3375999999999999</v>
      </c>
      <c r="AC4" s="10">
        <f t="shared" si="2"/>
        <v>0</v>
      </c>
      <c r="AD4" s="10">
        <f t="shared" si="3"/>
        <v>0</v>
      </c>
      <c r="AE4" s="9">
        <f t="shared" si="4"/>
        <v>0</v>
      </c>
      <c r="AF4" s="9">
        <f t="shared" si="5"/>
        <v>2.2229999999999999</v>
      </c>
      <c r="AG4" s="9">
        <f t="shared" si="6"/>
        <v>5.85</v>
      </c>
      <c r="AH4" s="11">
        <f t="shared" si="7"/>
        <v>88.54</v>
      </c>
      <c r="AI4" s="11">
        <f t="shared" si="7"/>
        <v>133.76</v>
      </c>
      <c r="AJ4" s="11">
        <f t="shared" si="7"/>
        <v>0</v>
      </c>
      <c r="AK4" s="11">
        <f t="shared" si="7"/>
        <v>0</v>
      </c>
      <c r="AL4" s="11">
        <f t="shared" si="7"/>
        <v>0</v>
      </c>
      <c r="AM4" s="2"/>
      <c r="AN4" s="2"/>
      <c r="AO4" s="2"/>
    </row>
    <row r="5" spans="1:41" x14ac:dyDescent="0.2">
      <c r="A5" s="2" t="s">
        <v>46</v>
      </c>
      <c r="B5" s="2" t="s">
        <v>37</v>
      </c>
      <c r="C5" s="2" t="s">
        <v>38</v>
      </c>
      <c r="D5" s="2" t="s">
        <v>39</v>
      </c>
      <c r="E5" s="7" t="s">
        <v>40</v>
      </c>
      <c r="F5" s="2" t="s">
        <v>41</v>
      </c>
      <c r="G5" s="8" t="s">
        <v>42</v>
      </c>
      <c r="H5" s="2">
        <v>1.6</v>
      </c>
      <c r="I5" s="2">
        <v>3.6</v>
      </c>
      <c r="J5" s="2">
        <v>18.399999999999999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9">
        <f t="shared" si="0"/>
        <v>5.7600000000000005E-2</v>
      </c>
      <c r="AB5" s="9">
        <f t="shared" si="1"/>
        <v>0.2944</v>
      </c>
      <c r="AC5" s="10">
        <f t="shared" si="2"/>
        <v>0</v>
      </c>
      <c r="AD5" s="10">
        <f t="shared" si="3"/>
        <v>0</v>
      </c>
      <c r="AE5" s="9">
        <f t="shared" si="4"/>
        <v>0</v>
      </c>
      <c r="AF5" s="9">
        <f t="shared" si="5"/>
        <v>0.35199999999999998</v>
      </c>
      <c r="AG5" s="9">
        <f t="shared" si="6"/>
        <v>22</v>
      </c>
      <c r="AH5" s="11">
        <f t="shared" si="7"/>
        <v>5.7600000000000007</v>
      </c>
      <c r="AI5" s="11">
        <f t="shared" si="7"/>
        <v>29.439999999999998</v>
      </c>
      <c r="AJ5" s="11">
        <f t="shared" si="7"/>
        <v>0</v>
      </c>
      <c r="AK5" s="11">
        <f t="shared" si="7"/>
        <v>0</v>
      </c>
      <c r="AL5" s="11">
        <f t="shared" si="7"/>
        <v>0</v>
      </c>
      <c r="AM5" s="2">
        <v>1000</v>
      </c>
      <c r="AN5" s="2">
        <v>0.1</v>
      </c>
      <c r="AO5" s="2">
        <f t="shared" ref="AO5:AO8" si="8">AM5*AN5/100</f>
        <v>1</v>
      </c>
    </row>
    <row r="6" spans="1:41" x14ac:dyDescent="0.2">
      <c r="A6" s="2" t="s">
        <v>47</v>
      </c>
      <c r="B6" s="2" t="s">
        <v>37</v>
      </c>
      <c r="C6" s="2" t="s">
        <v>48</v>
      </c>
      <c r="D6" s="2" t="s">
        <v>49</v>
      </c>
      <c r="E6" s="2" t="s">
        <v>50</v>
      </c>
      <c r="F6" s="2" t="s">
        <v>51</v>
      </c>
      <c r="G6" s="2" t="s">
        <v>52</v>
      </c>
      <c r="H6" s="2">
        <v>11.5</v>
      </c>
      <c r="I6" s="2">
        <v>2.6</v>
      </c>
      <c r="J6" s="2">
        <v>2.1</v>
      </c>
      <c r="K6" s="2">
        <v>95</v>
      </c>
      <c r="L6" s="2">
        <v>0.7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9">
        <f t="shared" si="0"/>
        <v>0.29900000000000004</v>
      </c>
      <c r="AB6" s="9">
        <f t="shared" si="1"/>
        <v>0.24150000000000002</v>
      </c>
      <c r="AC6" s="10">
        <f t="shared" si="2"/>
        <v>1092.5</v>
      </c>
      <c r="AD6" s="10">
        <f t="shared" si="3"/>
        <v>0</v>
      </c>
      <c r="AE6" s="9">
        <f t="shared" si="4"/>
        <v>8.0499999999999988E-2</v>
      </c>
      <c r="AF6" s="9">
        <f t="shared" si="5"/>
        <v>0.62100000000000011</v>
      </c>
      <c r="AG6" s="9">
        <f t="shared" si="6"/>
        <v>5.4</v>
      </c>
      <c r="AH6" s="11">
        <f t="shared" si="7"/>
        <v>29.900000000000002</v>
      </c>
      <c r="AI6" s="11">
        <f t="shared" si="7"/>
        <v>24.150000000000002</v>
      </c>
      <c r="AJ6" s="11">
        <f t="shared" si="7"/>
        <v>1092.5</v>
      </c>
      <c r="AK6" s="11">
        <f t="shared" si="7"/>
        <v>8.0499999999999989</v>
      </c>
      <c r="AL6" s="11">
        <f t="shared" si="7"/>
        <v>0</v>
      </c>
      <c r="AM6" s="2">
        <v>100</v>
      </c>
      <c r="AN6" s="2">
        <v>1</v>
      </c>
      <c r="AO6" s="2">
        <f t="shared" si="8"/>
        <v>1</v>
      </c>
    </row>
    <row r="7" spans="1:41" x14ac:dyDescent="0.2">
      <c r="A7" s="2" t="s">
        <v>53</v>
      </c>
      <c r="B7" s="2" t="s">
        <v>37</v>
      </c>
      <c r="C7" s="2" t="s">
        <v>54</v>
      </c>
      <c r="D7" s="2"/>
      <c r="E7" s="2" t="s">
        <v>50</v>
      </c>
      <c r="F7" s="2" t="s">
        <v>55</v>
      </c>
      <c r="G7" s="2" t="s">
        <v>56</v>
      </c>
      <c r="H7" s="2">
        <v>68.599999999999994</v>
      </c>
      <c r="I7" s="2">
        <v>1.1000000000000001</v>
      </c>
      <c r="J7" s="2">
        <v>4.5999999999999996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9">
        <f t="shared" si="0"/>
        <v>0.75459999999999994</v>
      </c>
      <c r="AB7" s="9">
        <f t="shared" si="1"/>
        <v>3.1555999999999993</v>
      </c>
      <c r="AC7" s="10">
        <f t="shared" si="2"/>
        <v>0</v>
      </c>
      <c r="AD7" s="10">
        <f t="shared" si="3"/>
        <v>0</v>
      </c>
      <c r="AE7" s="9">
        <f t="shared" si="4"/>
        <v>0</v>
      </c>
      <c r="AF7" s="9">
        <f t="shared" si="5"/>
        <v>3.9101999999999992</v>
      </c>
      <c r="AG7" s="9">
        <f t="shared" si="6"/>
        <v>5.6999999999999993</v>
      </c>
      <c r="AH7" s="11">
        <f t="shared" si="7"/>
        <v>75.459999999999994</v>
      </c>
      <c r="AI7" s="11">
        <f t="shared" si="7"/>
        <v>315.55999999999995</v>
      </c>
      <c r="AJ7" s="11">
        <f t="shared" si="7"/>
        <v>0</v>
      </c>
      <c r="AK7" s="11">
        <f t="shared" si="7"/>
        <v>0</v>
      </c>
      <c r="AL7" s="11">
        <f t="shared" si="7"/>
        <v>0</v>
      </c>
      <c r="AM7" s="2">
        <v>10</v>
      </c>
      <c r="AN7" s="2">
        <v>10</v>
      </c>
      <c r="AO7" s="2">
        <f t="shared" si="8"/>
        <v>1</v>
      </c>
    </row>
    <row r="8" spans="1:41" x14ac:dyDescent="0.2">
      <c r="A8" s="2" t="s">
        <v>57</v>
      </c>
      <c r="B8" s="2" t="s">
        <v>37</v>
      </c>
      <c r="C8" s="2" t="s">
        <v>48</v>
      </c>
      <c r="D8" s="2"/>
      <c r="E8" s="7" t="s">
        <v>40</v>
      </c>
      <c r="F8" s="2" t="s">
        <v>58</v>
      </c>
      <c r="G8" s="8" t="s">
        <v>59</v>
      </c>
      <c r="H8" s="12">
        <v>6.5850400000000002</v>
      </c>
      <c r="I8" s="2"/>
      <c r="J8" s="2">
        <v>1.65</v>
      </c>
      <c r="K8" s="2"/>
      <c r="L8" s="2">
        <v>0.55000000000000004</v>
      </c>
      <c r="M8" s="2">
        <v>1.62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9">
        <f t="shared" si="0"/>
        <v>0</v>
      </c>
      <c r="AB8" s="9">
        <f t="shared" si="1"/>
        <v>0.10865316</v>
      </c>
      <c r="AC8" s="10">
        <f t="shared" si="2"/>
        <v>0</v>
      </c>
      <c r="AD8" s="10">
        <f t="shared" si="3"/>
        <v>10.6677648</v>
      </c>
      <c r="AE8" s="9">
        <f t="shared" si="4"/>
        <v>3.6217720000000002E-2</v>
      </c>
      <c r="AF8" s="9">
        <f t="shared" si="5"/>
        <v>0.14487088000000001</v>
      </c>
      <c r="AG8" s="9">
        <f t="shared" si="6"/>
        <v>2.2000000000000002</v>
      </c>
      <c r="AH8" s="11">
        <f t="shared" si="7"/>
        <v>0</v>
      </c>
      <c r="AI8" s="11">
        <f t="shared" si="7"/>
        <v>10.865316</v>
      </c>
      <c r="AJ8" s="11">
        <f t="shared" si="7"/>
        <v>0</v>
      </c>
      <c r="AK8" s="11">
        <f t="shared" si="7"/>
        <v>3.6217720000000004</v>
      </c>
      <c r="AL8" s="11">
        <f t="shared" si="7"/>
        <v>10.6677648</v>
      </c>
      <c r="AM8" s="2">
        <v>1</v>
      </c>
      <c r="AN8" s="2">
        <v>100</v>
      </c>
      <c r="AO8" s="2">
        <f t="shared" si="8"/>
        <v>1</v>
      </c>
    </row>
    <row r="9" spans="1:41" x14ac:dyDescent="0.2">
      <c r="A9" s="2" t="s">
        <v>60</v>
      </c>
      <c r="B9" s="2" t="s">
        <v>61</v>
      </c>
      <c r="C9" s="2" t="s">
        <v>38</v>
      </c>
      <c r="D9" s="2" t="s">
        <v>62</v>
      </c>
      <c r="E9" s="2" t="s">
        <v>50</v>
      </c>
      <c r="F9" s="2" t="s">
        <v>63</v>
      </c>
      <c r="G9" s="2" t="s">
        <v>64</v>
      </c>
      <c r="H9" s="2">
        <f>2.22+4.8+1.8</f>
        <v>8.82</v>
      </c>
      <c r="I9" s="13">
        <f>(6.08*2.22+3.5*4.8+5*1.8)/$H9</f>
        <v>4.4555102040816328</v>
      </c>
      <c r="J9" s="13">
        <f>(5.67*2.22+3.5*4.8+6*1.8)/$H9</f>
        <v>4.5563945578231291</v>
      </c>
      <c r="K9" s="14">
        <f>(128*2.22+84*4.8+100*1.8)/$H9</f>
        <v>98.340136054421762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9">
        <f t="shared" si="0"/>
        <v>0.39297600000000005</v>
      </c>
      <c r="AB9" s="9">
        <f t="shared" si="1"/>
        <v>0.40187399999999995</v>
      </c>
      <c r="AC9" s="10">
        <f t="shared" si="2"/>
        <v>867.36</v>
      </c>
      <c r="AD9" s="10">
        <f t="shared" si="3"/>
        <v>0</v>
      </c>
      <c r="AE9" s="9">
        <f t="shared" si="4"/>
        <v>0</v>
      </c>
      <c r="AF9" s="9">
        <f t="shared" si="5"/>
        <v>0.79485000000000006</v>
      </c>
      <c r="AG9" s="9">
        <f t="shared" si="6"/>
        <v>9.0119047619047628</v>
      </c>
      <c r="AH9" s="11">
        <f t="shared" si="7"/>
        <v>39.297600000000003</v>
      </c>
      <c r="AI9" s="11">
        <f t="shared" si="7"/>
        <v>40.187399999999997</v>
      </c>
      <c r="AJ9" s="11">
        <f t="shared" si="7"/>
        <v>867.36</v>
      </c>
      <c r="AK9" s="11">
        <f t="shared" si="7"/>
        <v>0</v>
      </c>
      <c r="AL9" s="11">
        <f t="shared" si="7"/>
        <v>0</v>
      </c>
      <c r="AM9" s="2"/>
      <c r="AN9" s="2"/>
      <c r="AO9" s="2"/>
    </row>
    <row r="10" spans="1:41" x14ac:dyDescent="0.2">
      <c r="A10" s="2" t="s">
        <v>65</v>
      </c>
      <c r="B10" s="2" t="s">
        <v>61</v>
      </c>
      <c r="C10" s="2" t="s">
        <v>66</v>
      </c>
      <c r="D10" s="2"/>
      <c r="E10" s="2" t="s">
        <v>50</v>
      </c>
      <c r="F10" s="2" t="s">
        <v>67</v>
      </c>
      <c r="G10" s="2" t="s">
        <v>68</v>
      </c>
      <c r="H10" s="15">
        <f>389+1397</f>
        <v>1786</v>
      </c>
      <c r="I10" s="9">
        <f>(0.01*389+0.01*1397)/$H10</f>
        <v>0.01</v>
      </c>
      <c r="J10" s="9">
        <f>(0.03*389+0.02*1397)/$H10</f>
        <v>2.2178051511758119E-2</v>
      </c>
      <c r="K10" s="13">
        <f>(1.8*389+1.9*1397)/$H10</f>
        <v>1.8782194848824187</v>
      </c>
      <c r="L10" s="9">
        <f>(0.63*389+0.46*1397)/$H10</f>
        <v>0.49702687569988807</v>
      </c>
      <c r="M10" s="9">
        <f>(0.07*389+0.06*1397)/$H10</f>
        <v>6.217805151175812E-2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9">
        <f t="shared" si="0"/>
        <v>0.17859999999999998</v>
      </c>
      <c r="AB10" s="9">
        <f t="shared" si="1"/>
        <v>0.39610000000000001</v>
      </c>
      <c r="AC10" s="10">
        <f t="shared" si="2"/>
        <v>3354.5</v>
      </c>
      <c r="AD10" s="10">
        <f t="shared" si="3"/>
        <v>111.05</v>
      </c>
      <c r="AE10" s="9">
        <f t="shared" si="4"/>
        <v>8.8769000000000009</v>
      </c>
      <c r="AF10" s="9">
        <f t="shared" si="5"/>
        <v>9.4516000000000009</v>
      </c>
      <c r="AG10" s="9">
        <f t="shared" si="6"/>
        <v>0.52920492721164614</v>
      </c>
      <c r="AH10" s="11">
        <f t="shared" si="7"/>
        <v>17.86</v>
      </c>
      <c r="AI10" s="11">
        <f t="shared" si="7"/>
        <v>39.61</v>
      </c>
      <c r="AJ10" s="11">
        <f t="shared" si="7"/>
        <v>3354.5</v>
      </c>
      <c r="AK10" s="11">
        <f t="shared" si="7"/>
        <v>887.69</v>
      </c>
      <c r="AL10" s="11">
        <f t="shared" si="7"/>
        <v>111.05</v>
      </c>
      <c r="AM10" s="2"/>
      <c r="AN10" s="2"/>
      <c r="AO10" s="2"/>
    </row>
    <row r="11" spans="1:41" x14ac:dyDescent="0.2">
      <c r="A11" s="2" t="s">
        <v>69</v>
      </c>
      <c r="B11" s="2" t="s">
        <v>61</v>
      </c>
      <c r="C11" s="2" t="s">
        <v>54</v>
      </c>
      <c r="D11" s="2"/>
      <c r="E11" s="2" t="s">
        <v>50</v>
      </c>
      <c r="F11" s="2" t="s">
        <v>70</v>
      </c>
      <c r="G11" s="2" t="s">
        <v>71</v>
      </c>
      <c r="H11" s="2">
        <f>15.4+139.8+45.9</f>
        <v>201.10000000000002</v>
      </c>
      <c r="I11" s="9">
        <f>(1.44*15.4+0.79*139.8+0.57*45.9)/$H11</f>
        <v>0.78956240676280454</v>
      </c>
      <c r="J11" s="2"/>
      <c r="K11" s="14">
        <f>(137*15.4+126*139.8+81*45.9)/$H11</f>
        <v>116.57135753356539</v>
      </c>
      <c r="L11" s="9">
        <f>(0.1*15.4+0.04*139.8+0.02*45.9)/$H11</f>
        <v>4.0029835902536053E-2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9">
        <f t="shared" si="0"/>
        <v>1.5878100000000002</v>
      </c>
      <c r="AB11" s="9">
        <f t="shared" si="1"/>
        <v>0</v>
      </c>
      <c r="AC11" s="10">
        <f t="shared" si="2"/>
        <v>23442.500000000004</v>
      </c>
      <c r="AD11" s="10">
        <f t="shared" si="3"/>
        <v>0</v>
      </c>
      <c r="AE11" s="9">
        <f t="shared" si="4"/>
        <v>8.0500000000000002E-2</v>
      </c>
      <c r="AF11" s="9">
        <f t="shared" si="5"/>
        <v>1.6683100000000002</v>
      </c>
      <c r="AG11" s="9">
        <f t="shared" si="6"/>
        <v>0.8295922426653406</v>
      </c>
      <c r="AH11" s="11">
        <f t="shared" si="7"/>
        <v>158.78100000000001</v>
      </c>
      <c r="AI11" s="11">
        <f t="shared" si="7"/>
        <v>0</v>
      </c>
      <c r="AJ11" s="11">
        <f t="shared" si="7"/>
        <v>23442.500000000004</v>
      </c>
      <c r="AK11" s="11">
        <f t="shared" si="7"/>
        <v>8.0500000000000007</v>
      </c>
      <c r="AL11" s="11">
        <f t="shared" si="7"/>
        <v>0</v>
      </c>
      <c r="AM11" s="2">
        <v>10000</v>
      </c>
      <c r="AN11" s="2">
        <v>0.04</v>
      </c>
      <c r="AO11" s="2">
        <f t="shared" ref="AO11:AO14" si="9">AM11*AN11/100</f>
        <v>4</v>
      </c>
    </row>
    <row r="12" spans="1:41" x14ac:dyDescent="0.2">
      <c r="A12" s="2" t="s">
        <v>72</v>
      </c>
      <c r="B12" s="2" t="s">
        <v>61</v>
      </c>
      <c r="C12" s="2" t="s">
        <v>54</v>
      </c>
      <c r="D12" s="2" t="s">
        <v>73</v>
      </c>
      <c r="E12" s="2" t="s">
        <v>50</v>
      </c>
      <c r="F12" s="2" t="s">
        <v>74</v>
      </c>
      <c r="G12" s="2" t="s">
        <v>75</v>
      </c>
      <c r="H12" s="2">
        <f>9.21+50.04</f>
        <v>59.25</v>
      </c>
      <c r="I12" s="9">
        <f>(0.41*9.21+0.32*50.04)/$H12</f>
        <v>0.33398987341772146</v>
      </c>
      <c r="J12" s="9">
        <f>(1.21*9.21+0.84*50.04)/$H12</f>
        <v>0.89751392405063291</v>
      </c>
      <c r="K12" s="13">
        <f>(28.22*9.21+18.55*50.04)/$H12</f>
        <v>20.053134177215192</v>
      </c>
      <c r="L12" s="2"/>
      <c r="M12" s="9">
        <f>(0.229*9.21+0.183*50.04)/$H12</f>
        <v>0.19015037974683546</v>
      </c>
      <c r="N12" s="2"/>
      <c r="O12" s="2"/>
      <c r="P12" s="2"/>
      <c r="Q12" s="2"/>
      <c r="R12" s="9">
        <f>(13.39*9.21+7.13*50.04)/$H12</f>
        <v>8.1030734177215198</v>
      </c>
      <c r="S12" s="2"/>
      <c r="T12" s="2"/>
      <c r="U12" s="2"/>
      <c r="V12" s="2"/>
      <c r="W12" s="2"/>
      <c r="X12" s="2"/>
      <c r="Y12" s="2"/>
      <c r="Z12" s="2"/>
      <c r="AA12" s="9">
        <f t="shared" si="0"/>
        <v>0.19788899999999998</v>
      </c>
      <c r="AB12" s="9">
        <f t="shared" si="1"/>
        <v>0.53177700000000006</v>
      </c>
      <c r="AC12" s="10">
        <f t="shared" si="2"/>
        <v>1188.1482000000001</v>
      </c>
      <c r="AD12" s="10">
        <f t="shared" si="3"/>
        <v>11.26641</v>
      </c>
      <c r="AE12" s="9">
        <f t="shared" si="4"/>
        <v>0</v>
      </c>
      <c r="AF12" s="9">
        <f t="shared" si="5"/>
        <v>0.72966600000000004</v>
      </c>
      <c r="AG12" s="9">
        <f t="shared" si="6"/>
        <v>1.2315037974683545</v>
      </c>
      <c r="AH12" s="11">
        <f t="shared" si="7"/>
        <v>19.788899999999998</v>
      </c>
      <c r="AI12" s="11">
        <f t="shared" si="7"/>
        <v>53.177700000000002</v>
      </c>
      <c r="AJ12" s="11">
        <f t="shared" si="7"/>
        <v>1188.1482000000001</v>
      </c>
      <c r="AK12" s="11">
        <f t="shared" si="7"/>
        <v>0</v>
      </c>
      <c r="AL12" s="11">
        <f t="shared" si="7"/>
        <v>11.26641</v>
      </c>
      <c r="AM12" s="2">
        <v>4000</v>
      </c>
      <c r="AN12" s="2">
        <v>0.1</v>
      </c>
      <c r="AO12" s="2">
        <f t="shared" si="9"/>
        <v>4</v>
      </c>
    </row>
    <row r="13" spans="1:41" x14ac:dyDescent="0.2">
      <c r="A13" s="2" t="s">
        <v>76</v>
      </c>
      <c r="B13" s="2" t="s">
        <v>61</v>
      </c>
      <c r="C13" s="2" t="s">
        <v>54</v>
      </c>
      <c r="D13" s="2" t="s">
        <v>77</v>
      </c>
      <c r="E13" s="2" t="s">
        <v>50</v>
      </c>
      <c r="F13" s="2" t="s">
        <v>78</v>
      </c>
      <c r="G13" s="2" t="s">
        <v>71</v>
      </c>
      <c r="H13" s="2">
        <f>7.9+19.2+1.1+5.4</f>
        <v>33.6</v>
      </c>
      <c r="I13" s="2"/>
      <c r="J13" s="9">
        <f>(0.35*7.9+1.73*19.2+1.39*1.1+2.38*5.4)/$H13</f>
        <v>1.4988690476190478</v>
      </c>
      <c r="K13" s="13">
        <f>(210*7.9+162*19.2+125*1.1+162*5.4)/$H13</f>
        <v>172.07440476190476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9">
        <f t="shared" si="0"/>
        <v>0</v>
      </c>
      <c r="AB13" s="9">
        <f t="shared" si="1"/>
        <v>0.50362000000000007</v>
      </c>
      <c r="AC13" s="10">
        <f t="shared" si="2"/>
        <v>5781.7</v>
      </c>
      <c r="AD13" s="10">
        <f t="shared" si="3"/>
        <v>0</v>
      </c>
      <c r="AE13" s="9">
        <f t="shared" si="4"/>
        <v>0</v>
      </c>
      <c r="AF13" s="9">
        <f t="shared" si="5"/>
        <v>0.50362000000000007</v>
      </c>
      <c r="AG13" s="9">
        <f t="shared" si="6"/>
        <v>1.4988690476190478</v>
      </c>
      <c r="AH13" s="11">
        <f t="shared" si="7"/>
        <v>0</v>
      </c>
      <c r="AI13" s="11">
        <f t="shared" si="7"/>
        <v>50.362000000000009</v>
      </c>
      <c r="AJ13" s="11">
        <f t="shared" si="7"/>
        <v>5781.7</v>
      </c>
      <c r="AK13" s="11">
        <f t="shared" si="7"/>
        <v>0</v>
      </c>
      <c r="AL13" s="11">
        <f t="shared" si="7"/>
        <v>0</v>
      </c>
      <c r="AM13" s="2">
        <v>400</v>
      </c>
      <c r="AN13" s="2">
        <v>1</v>
      </c>
      <c r="AO13" s="2">
        <f t="shared" si="9"/>
        <v>4</v>
      </c>
    </row>
    <row r="14" spans="1:41" x14ac:dyDescent="0.2">
      <c r="A14" s="2" t="s">
        <v>79</v>
      </c>
      <c r="B14" s="2" t="s">
        <v>80</v>
      </c>
      <c r="C14" s="2" t="s">
        <v>48</v>
      </c>
      <c r="D14" s="2"/>
      <c r="E14" s="7" t="s">
        <v>40</v>
      </c>
      <c r="F14" s="2" t="s">
        <v>41</v>
      </c>
      <c r="G14" s="2" t="s">
        <v>81</v>
      </c>
      <c r="H14" s="2">
        <v>1.2</v>
      </c>
      <c r="I14" s="2">
        <v>1.67</v>
      </c>
      <c r="J14" s="2">
        <v>4.4800000000000004</v>
      </c>
      <c r="K14" s="2">
        <v>104</v>
      </c>
      <c r="L14" s="2">
        <v>0.57999999999999996</v>
      </c>
      <c r="M14" s="2">
        <v>1.3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9">
        <f t="shared" si="0"/>
        <v>2.0039999999999999E-2</v>
      </c>
      <c r="AB14" s="9">
        <f t="shared" si="1"/>
        <v>5.3760000000000002E-2</v>
      </c>
      <c r="AC14" s="10">
        <f t="shared" si="2"/>
        <v>124.8</v>
      </c>
      <c r="AD14" s="10">
        <f t="shared" si="3"/>
        <v>1.56</v>
      </c>
      <c r="AE14" s="9">
        <f t="shared" si="4"/>
        <v>6.9599999999999992E-3</v>
      </c>
      <c r="AF14" s="9">
        <f t="shared" si="5"/>
        <v>8.0759999999999998E-2</v>
      </c>
      <c r="AG14" s="9">
        <f t="shared" si="6"/>
        <v>6.73</v>
      </c>
      <c r="AH14" s="11">
        <f t="shared" si="7"/>
        <v>2.004</v>
      </c>
      <c r="AI14" s="11">
        <f t="shared" si="7"/>
        <v>5.3760000000000003</v>
      </c>
      <c r="AJ14" s="11">
        <f t="shared" si="7"/>
        <v>124.8</v>
      </c>
      <c r="AK14" s="11">
        <f t="shared" si="7"/>
        <v>0.69599999999999995</v>
      </c>
      <c r="AL14" s="11">
        <f t="shared" si="7"/>
        <v>1.56</v>
      </c>
      <c r="AM14" s="2">
        <v>40</v>
      </c>
      <c r="AN14" s="2">
        <v>10</v>
      </c>
      <c r="AO14" s="2">
        <f t="shared" si="9"/>
        <v>4</v>
      </c>
    </row>
    <row r="15" spans="1:41" x14ac:dyDescent="0.2">
      <c r="A15" s="2" t="s">
        <v>82</v>
      </c>
      <c r="B15" s="2" t="s">
        <v>80</v>
      </c>
      <c r="C15" s="2" t="s">
        <v>48</v>
      </c>
      <c r="D15" s="2"/>
      <c r="E15" s="7" t="s">
        <v>40</v>
      </c>
      <c r="F15" s="2" t="s">
        <v>83</v>
      </c>
      <c r="G15" s="2" t="s">
        <v>84</v>
      </c>
      <c r="H15" s="13">
        <f>18*0.9072</f>
        <v>16.329599999999999</v>
      </c>
      <c r="I15" s="13">
        <v>1</v>
      </c>
      <c r="J15" s="2">
        <v>2.2000000000000002</v>
      </c>
      <c r="K15" s="2">
        <v>10</v>
      </c>
      <c r="L15" s="2">
        <v>0.9</v>
      </c>
      <c r="M15" s="2">
        <v>0.9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9">
        <f t="shared" si="0"/>
        <v>0.163296</v>
      </c>
      <c r="AB15" s="9">
        <f t="shared" si="1"/>
        <v>0.35925119999999999</v>
      </c>
      <c r="AC15" s="10">
        <f t="shared" si="2"/>
        <v>163.29599999999999</v>
      </c>
      <c r="AD15" s="10">
        <f t="shared" si="3"/>
        <v>14.69664</v>
      </c>
      <c r="AE15" s="9">
        <f t="shared" si="4"/>
        <v>0.1469664</v>
      </c>
      <c r="AF15" s="9">
        <f t="shared" si="5"/>
        <v>0.66951359999999993</v>
      </c>
      <c r="AG15" s="9">
        <f t="shared" si="6"/>
        <v>4.1000000000000005</v>
      </c>
      <c r="AH15" s="11">
        <f t="shared" si="7"/>
        <v>16.329599999999999</v>
      </c>
      <c r="AI15" s="11">
        <f t="shared" si="7"/>
        <v>35.92512</v>
      </c>
      <c r="AJ15" s="11">
        <f t="shared" si="7"/>
        <v>163.29599999999999</v>
      </c>
      <c r="AK15" s="11">
        <f t="shared" si="7"/>
        <v>14.69664</v>
      </c>
      <c r="AL15" s="11">
        <f t="shared" si="7"/>
        <v>14.69664</v>
      </c>
      <c r="AM15" s="2"/>
      <c r="AN15" s="2"/>
      <c r="AO15" s="2"/>
    </row>
    <row r="16" spans="1:41" x14ac:dyDescent="0.2">
      <c r="A16" s="2" t="s">
        <v>85</v>
      </c>
      <c r="B16" s="2" t="s">
        <v>80</v>
      </c>
      <c r="C16" s="2" t="s">
        <v>54</v>
      </c>
      <c r="D16" s="2" t="s">
        <v>77</v>
      </c>
      <c r="E16" s="2" t="s">
        <v>50</v>
      </c>
      <c r="F16" s="2" t="s">
        <v>86</v>
      </c>
      <c r="G16" s="2" t="s">
        <v>71</v>
      </c>
      <c r="H16" s="2">
        <f>2.8+10.6</f>
        <v>13.399999999999999</v>
      </c>
      <c r="I16" s="13">
        <f>(0.2*2.8+0.1*10.6)/$H16</f>
        <v>0.12089552238805973</v>
      </c>
      <c r="J16" s="9">
        <f>(2.06*2.8+1.66*10.6)/$H16</f>
        <v>1.7435820895522391</v>
      </c>
      <c r="K16" s="13">
        <f>(49.82*2.8+41.18*10.6)/$H16</f>
        <v>42.985373134328356</v>
      </c>
      <c r="L16" s="9">
        <f>(0.39*2.8+0.42*10.6)/$H16</f>
        <v>0.41373134328358208</v>
      </c>
      <c r="M16" s="13">
        <f>(2.6*2.8+2.3*10.6)/$H16</f>
        <v>2.3626865671641792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9">
        <f t="shared" si="0"/>
        <v>1.6200000000000003E-2</v>
      </c>
      <c r="AB16" s="9">
        <f t="shared" si="1"/>
        <v>0.23364000000000001</v>
      </c>
      <c r="AC16" s="10">
        <f t="shared" si="2"/>
        <v>576.00399999999991</v>
      </c>
      <c r="AD16" s="10">
        <f t="shared" si="3"/>
        <v>31.66</v>
      </c>
      <c r="AE16" s="9">
        <f t="shared" si="4"/>
        <v>5.5439999999999996E-2</v>
      </c>
      <c r="AF16" s="9">
        <f t="shared" si="5"/>
        <v>0.30528</v>
      </c>
      <c r="AG16" s="9">
        <f t="shared" si="6"/>
        <v>2.2782089552238807</v>
      </c>
      <c r="AH16" s="11">
        <f t="shared" si="7"/>
        <v>1.62</v>
      </c>
      <c r="AI16" s="11">
        <f t="shared" si="7"/>
        <v>23.364000000000001</v>
      </c>
      <c r="AJ16" s="11">
        <f t="shared" si="7"/>
        <v>576.00399999999991</v>
      </c>
      <c r="AK16" s="11">
        <f t="shared" si="7"/>
        <v>5.5439999999999996</v>
      </c>
      <c r="AL16" s="11">
        <f t="shared" si="7"/>
        <v>31.66</v>
      </c>
      <c r="AM16" s="2"/>
      <c r="AN16" s="2"/>
      <c r="AO16" s="2"/>
    </row>
    <row r="17" spans="1:41" x14ac:dyDescent="0.2">
      <c r="A17" s="2" t="s">
        <v>87</v>
      </c>
      <c r="B17" s="2" t="s">
        <v>80</v>
      </c>
      <c r="C17" s="2" t="s">
        <v>48</v>
      </c>
      <c r="D17" s="2"/>
      <c r="E17" s="7" t="s">
        <v>40</v>
      </c>
      <c r="F17" s="2" t="s">
        <v>41</v>
      </c>
      <c r="G17" s="2" t="s">
        <v>88</v>
      </c>
      <c r="H17" s="2">
        <v>4.5</v>
      </c>
      <c r="I17" s="2">
        <v>1.71</v>
      </c>
      <c r="J17" s="2">
        <v>4.96</v>
      </c>
      <c r="K17" s="2">
        <v>8.1</v>
      </c>
      <c r="L17" s="2">
        <v>3.54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9">
        <f t="shared" si="0"/>
        <v>7.6950000000000005E-2</v>
      </c>
      <c r="AB17" s="9">
        <f t="shared" si="1"/>
        <v>0.22320000000000001</v>
      </c>
      <c r="AC17" s="10">
        <f t="shared" si="2"/>
        <v>36.449999999999996</v>
      </c>
      <c r="AD17" s="10">
        <f t="shared" si="3"/>
        <v>0</v>
      </c>
      <c r="AE17" s="9">
        <f t="shared" si="4"/>
        <v>0.1593</v>
      </c>
      <c r="AF17" s="9">
        <f t="shared" si="5"/>
        <v>0.45945000000000003</v>
      </c>
      <c r="AG17" s="9">
        <f t="shared" si="6"/>
        <v>10.210000000000001</v>
      </c>
      <c r="AH17" s="11">
        <f t="shared" si="7"/>
        <v>7.6950000000000003</v>
      </c>
      <c r="AI17" s="11">
        <f t="shared" si="7"/>
        <v>22.32</v>
      </c>
      <c r="AJ17" s="11">
        <f t="shared" si="7"/>
        <v>36.449999999999996</v>
      </c>
      <c r="AK17" s="11">
        <f t="shared" si="7"/>
        <v>15.93</v>
      </c>
      <c r="AL17" s="11">
        <f t="shared" si="7"/>
        <v>0</v>
      </c>
      <c r="AM17" s="2">
        <v>4</v>
      </c>
      <c r="AN17" s="2">
        <v>100</v>
      </c>
      <c r="AO17" s="2">
        <f>AM17*AN17/100</f>
        <v>4</v>
      </c>
    </row>
    <row r="18" spans="1:41" x14ac:dyDescent="0.2">
      <c r="A18" s="2" t="s">
        <v>89</v>
      </c>
      <c r="B18" s="2" t="s">
        <v>80</v>
      </c>
      <c r="C18" s="2" t="s">
        <v>54</v>
      </c>
      <c r="D18" s="2" t="s">
        <v>73</v>
      </c>
      <c r="E18" s="7" t="s">
        <v>40</v>
      </c>
      <c r="F18" s="2" t="s">
        <v>90</v>
      </c>
      <c r="G18" s="2" t="s">
        <v>91</v>
      </c>
      <c r="H18" s="2">
        <v>15.4</v>
      </c>
      <c r="I18" s="9">
        <v>1.1000000000000001</v>
      </c>
      <c r="J18" s="2">
        <v>1.21</v>
      </c>
      <c r="K18" s="2">
        <v>92.1</v>
      </c>
      <c r="L18" s="2">
        <v>0.8</v>
      </c>
      <c r="M18" s="2">
        <v>2.31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9">
        <f t="shared" si="0"/>
        <v>0.16940000000000002</v>
      </c>
      <c r="AB18" s="9">
        <f t="shared" si="1"/>
        <v>0.18634000000000001</v>
      </c>
      <c r="AC18" s="10">
        <f t="shared" si="2"/>
        <v>1418.34</v>
      </c>
      <c r="AD18" s="10">
        <f t="shared" si="3"/>
        <v>35.574000000000005</v>
      </c>
      <c r="AE18" s="9">
        <f t="shared" si="4"/>
        <v>0.1232</v>
      </c>
      <c r="AF18" s="9">
        <f t="shared" si="5"/>
        <v>0.47894000000000003</v>
      </c>
      <c r="AG18" s="9">
        <f t="shared" si="6"/>
        <v>3.1100000000000003</v>
      </c>
      <c r="AH18" s="11">
        <f t="shared" ref="AH18:AL33" si="10">$H18*I18</f>
        <v>16.940000000000001</v>
      </c>
      <c r="AI18" s="11">
        <f t="shared" si="10"/>
        <v>18.634</v>
      </c>
      <c r="AJ18" s="11">
        <f t="shared" si="10"/>
        <v>1418.34</v>
      </c>
      <c r="AK18" s="11">
        <f t="shared" si="10"/>
        <v>12.32</v>
      </c>
      <c r="AL18" s="11">
        <f t="shared" si="10"/>
        <v>35.574000000000005</v>
      </c>
      <c r="AM18" s="2"/>
      <c r="AN18" s="2"/>
      <c r="AO18" s="2"/>
    </row>
    <row r="19" spans="1:41" x14ac:dyDescent="0.2">
      <c r="A19" s="2" t="s">
        <v>92</v>
      </c>
      <c r="B19" s="2" t="s">
        <v>93</v>
      </c>
      <c r="C19" s="2" t="s">
        <v>38</v>
      </c>
      <c r="D19" s="2" t="s">
        <v>39</v>
      </c>
      <c r="E19" s="2" t="s">
        <v>50</v>
      </c>
      <c r="F19" s="2" t="s">
        <v>94</v>
      </c>
      <c r="G19" s="2" t="s">
        <v>95</v>
      </c>
      <c r="H19" s="2">
        <v>96.7</v>
      </c>
      <c r="I19" s="2">
        <v>2.9</v>
      </c>
      <c r="J19" s="2">
        <v>2.4</v>
      </c>
      <c r="K19" s="2">
        <v>15</v>
      </c>
      <c r="L19" s="2"/>
      <c r="M19" s="2"/>
      <c r="N19" s="13">
        <v>16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9">
        <f t="shared" si="0"/>
        <v>2.8043</v>
      </c>
      <c r="AB19" s="9">
        <f t="shared" si="1"/>
        <v>2.3207999999999998</v>
      </c>
      <c r="AC19" s="10">
        <f t="shared" si="2"/>
        <v>1450.5</v>
      </c>
      <c r="AD19" s="10">
        <f t="shared" si="3"/>
        <v>0</v>
      </c>
      <c r="AE19" s="9">
        <f t="shared" si="4"/>
        <v>0</v>
      </c>
      <c r="AF19" s="9">
        <f t="shared" si="5"/>
        <v>5.1250999999999998</v>
      </c>
      <c r="AG19" s="9">
        <f t="shared" si="6"/>
        <v>5.3</v>
      </c>
      <c r="AH19" s="11">
        <f t="shared" si="10"/>
        <v>280.43</v>
      </c>
      <c r="AI19" s="11">
        <f t="shared" si="10"/>
        <v>232.07999999999998</v>
      </c>
      <c r="AJ19" s="11">
        <f t="shared" si="10"/>
        <v>1450.5</v>
      </c>
      <c r="AK19" s="11">
        <f t="shared" si="10"/>
        <v>0</v>
      </c>
      <c r="AL19" s="11">
        <f t="shared" si="10"/>
        <v>0</v>
      </c>
      <c r="AM19" s="2"/>
      <c r="AN19" s="2"/>
      <c r="AO19" s="2"/>
    </row>
    <row r="20" spans="1:41" x14ac:dyDescent="0.2">
      <c r="A20" s="2" t="s">
        <v>96</v>
      </c>
      <c r="B20" s="2" t="s">
        <v>93</v>
      </c>
      <c r="C20" s="2" t="s">
        <v>48</v>
      </c>
      <c r="D20" s="2"/>
      <c r="E20" s="2" t="s">
        <v>50</v>
      </c>
      <c r="F20" s="2" t="s">
        <v>97</v>
      </c>
      <c r="G20" s="2" t="s">
        <v>98</v>
      </c>
      <c r="H20" s="12">
        <v>5.6718999999999999E-2</v>
      </c>
      <c r="I20" s="2">
        <v>1.22</v>
      </c>
      <c r="J20" s="2">
        <v>4.41</v>
      </c>
      <c r="K20" s="2">
        <v>32.700000000000003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9">
        <f t="shared" si="0"/>
        <v>6.9197179999999994E-4</v>
      </c>
      <c r="AB20" s="9">
        <f t="shared" si="1"/>
        <v>2.5013078999999998E-3</v>
      </c>
      <c r="AC20" s="10">
        <f t="shared" si="2"/>
        <v>1.8547113000000002</v>
      </c>
      <c r="AD20" s="10">
        <f t="shared" si="3"/>
        <v>0</v>
      </c>
      <c r="AE20" s="9">
        <f t="shared" si="4"/>
        <v>0</v>
      </c>
      <c r="AF20" s="9">
        <f t="shared" si="5"/>
        <v>3.1932796999999996E-3</v>
      </c>
      <c r="AG20" s="9">
        <f t="shared" si="6"/>
        <v>5.63</v>
      </c>
      <c r="AH20" s="11">
        <f t="shared" si="10"/>
        <v>6.9197179999999997E-2</v>
      </c>
      <c r="AI20" s="11">
        <f t="shared" si="10"/>
        <v>0.25013078999999999</v>
      </c>
      <c r="AJ20" s="11">
        <f t="shared" si="10"/>
        <v>1.8547113000000002</v>
      </c>
      <c r="AK20" s="11">
        <f t="shared" si="10"/>
        <v>0</v>
      </c>
      <c r="AL20" s="11">
        <f t="shared" si="10"/>
        <v>0</v>
      </c>
      <c r="AM20" s="2"/>
      <c r="AN20" s="2"/>
      <c r="AO20" s="2"/>
    </row>
    <row r="21" spans="1:41" x14ac:dyDescent="0.2">
      <c r="A21" s="2" t="s">
        <v>99</v>
      </c>
      <c r="B21" s="2" t="s">
        <v>93</v>
      </c>
      <c r="C21" s="2" t="s">
        <v>38</v>
      </c>
      <c r="D21" s="2" t="s">
        <v>62</v>
      </c>
      <c r="E21" s="2" t="s">
        <v>50</v>
      </c>
      <c r="F21" s="2" t="s">
        <v>100</v>
      </c>
      <c r="G21" s="2" t="s">
        <v>101</v>
      </c>
      <c r="H21" s="2">
        <v>5.8</v>
      </c>
      <c r="I21" s="13">
        <v>4</v>
      </c>
      <c r="J21" s="2">
        <v>0.5</v>
      </c>
      <c r="K21" s="2">
        <v>40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9">
        <f t="shared" si="0"/>
        <v>0.23199999999999998</v>
      </c>
      <c r="AB21" s="9">
        <f t="shared" si="1"/>
        <v>2.8999999999999998E-2</v>
      </c>
      <c r="AC21" s="10">
        <f t="shared" si="2"/>
        <v>232</v>
      </c>
      <c r="AD21" s="10">
        <f t="shared" si="3"/>
        <v>0</v>
      </c>
      <c r="AE21" s="9">
        <f t="shared" si="4"/>
        <v>0</v>
      </c>
      <c r="AF21" s="9">
        <f t="shared" si="5"/>
        <v>0.26100000000000001</v>
      </c>
      <c r="AG21" s="9">
        <f t="shared" si="6"/>
        <v>4.5</v>
      </c>
      <c r="AH21" s="11">
        <f t="shared" si="10"/>
        <v>23.2</v>
      </c>
      <c r="AI21" s="11">
        <f t="shared" si="10"/>
        <v>2.9</v>
      </c>
      <c r="AJ21" s="11">
        <f t="shared" si="10"/>
        <v>232</v>
      </c>
      <c r="AK21" s="11">
        <f t="shared" si="10"/>
        <v>0</v>
      </c>
      <c r="AL21" s="11">
        <f t="shared" si="10"/>
        <v>0</v>
      </c>
      <c r="AM21" s="2"/>
      <c r="AN21" s="2"/>
      <c r="AO21" s="2"/>
    </row>
    <row r="22" spans="1:41" x14ac:dyDescent="0.2">
      <c r="A22" s="2" t="s">
        <v>102</v>
      </c>
      <c r="B22" s="2" t="s">
        <v>93</v>
      </c>
      <c r="C22" s="2" t="s">
        <v>48</v>
      </c>
      <c r="D22" s="2"/>
      <c r="E22" s="2" t="s">
        <v>50</v>
      </c>
      <c r="F22" s="2" t="s">
        <v>103</v>
      </c>
      <c r="G22" s="2" t="s">
        <v>104</v>
      </c>
      <c r="H22" s="12">
        <v>0.87683100000000003</v>
      </c>
      <c r="I22" s="2"/>
      <c r="J22" s="2">
        <v>1.97</v>
      </c>
      <c r="K22" s="2">
        <v>6</v>
      </c>
      <c r="L22" s="2">
        <v>0.96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9">
        <f t="shared" si="0"/>
        <v>0</v>
      </c>
      <c r="AB22" s="9">
        <f t="shared" si="1"/>
        <v>1.7273570700000001E-2</v>
      </c>
      <c r="AC22" s="10">
        <f t="shared" si="2"/>
        <v>5.2609859999999999</v>
      </c>
      <c r="AD22" s="10">
        <f t="shared" si="3"/>
        <v>0</v>
      </c>
      <c r="AE22" s="9">
        <f t="shared" si="4"/>
        <v>8.4175776000000001E-3</v>
      </c>
      <c r="AF22" s="9">
        <f t="shared" si="5"/>
        <v>2.5691148300000001E-2</v>
      </c>
      <c r="AG22" s="9">
        <f t="shared" si="6"/>
        <v>2.9299999999999997</v>
      </c>
      <c r="AH22" s="11">
        <f t="shared" si="10"/>
        <v>0</v>
      </c>
      <c r="AI22" s="11">
        <f t="shared" si="10"/>
        <v>1.72735707</v>
      </c>
      <c r="AJ22" s="11">
        <f t="shared" si="10"/>
        <v>5.2609859999999999</v>
      </c>
      <c r="AK22" s="11">
        <f t="shared" si="10"/>
        <v>0.84175776000000002</v>
      </c>
      <c r="AL22" s="11">
        <f t="shared" si="10"/>
        <v>0</v>
      </c>
      <c r="AM22" s="2"/>
      <c r="AN22" s="2"/>
      <c r="AO22" s="2"/>
    </row>
    <row r="23" spans="1:41" x14ac:dyDescent="0.2">
      <c r="A23" s="2" t="s">
        <v>105</v>
      </c>
      <c r="B23" s="2" t="s">
        <v>93</v>
      </c>
      <c r="C23" s="2" t="s">
        <v>38</v>
      </c>
      <c r="D23" s="2" t="s">
        <v>62</v>
      </c>
      <c r="E23" s="2" t="s">
        <v>50</v>
      </c>
      <c r="F23" s="2" t="s">
        <v>55</v>
      </c>
      <c r="G23" s="2" t="s">
        <v>106</v>
      </c>
      <c r="H23" s="2">
        <v>0.91</v>
      </c>
      <c r="I23" s="2">
        <v>1.7</v>
      </c>
      <c r="J23" s="2">
        <v>4.2</v>
      </c>
      <c r="K23" s="13">
        <v>31.059375124956194</v>
      </c>
      <c r="L23" s="16">
        <v>0.22</v>
      </c>
      <c r="M23" s="16">
        <v>0.5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9">
        <f t="shared" si="0"/>
        <v>1.5469999999999999E-2</v>
      </c>
      <c r="AB23" s="9">
        <f t="shared" si="1"/>
        <v>3.8220000000000004E-2</v>
      </c>
      <c r="AC23" s="10">
        <f t="shared" si="2"/>
        <v>28.264031363710139</v>
      </c>
      <c r="AD23" s="10">
        <f t="shared" si="3"/>
        <v>0.45500000000000002</v>
      </c>
      <c r="AE23" s="9">
        <f t="shared" si="4"/>
        <v>2.0020000000000003E-3</v>
      </c>
      <c r="AF23" s="9">
        <f t="shared" si="5"/>
        <v>5.5692000000000005E-2</v>
      </c>
      <c r="AG23" s="9">
        <f t="shared" si="6"/>
        <v>6.12</v>
      </c>
      <c r="AH23" s="11">
        <f t="shared" si="10"/>
        <v>1.5469999999999999</v>
      </c>
      <c r="AI23" s="11">
        <f t="shared" si="10"/>
        <v>3.8220000000000005</v>
      </c>
      <c r="AJ23" s="11">
        <f t="shared" si="10"/>
        <v>28.264031363710139</v>
      </c>
      <c r="AK23" s="11">
        <f t="shared" si="10"/>
        <v>0.20020000000000002</v>
      </c>
      <c r="AL23" s="11">
        <f t="shared" si="10"/>
        <v>0.45500000000000002</v>
      </c>
      <c r="AM23" s="2"/>
      <c r="AN23" s="2"/>
      <c r="AO23" s="2"/>
    </row>
    <row r="24" spans="1:41" x14ac:dyDescent="0.2">
      <c r="A24" s="2" t="s">
        <v>107</v>
      </c>
      <c r="B24" s="2" t="s">
        <v>93</v>
      </c>
      <c r="C24" s="2" t="s">
        <v>108</v>
      </c>
      <c r="D24" s="2" t="s">
        <v>109</v>
      </c>
      <c r="E24" s="2" t="s">
        <v>50</v>
      </c>
      <c r="F24" s="2" t="s">
        <v>110</v>
      </c>
      <c r="G24" s="2" t="s">
        <v>111</v>
      </c>
      <c r="H24" s="2">
        <v>12.2</v>
      </c>
      <c r="I24" s="2">
        <v>0.56000000000000005</v>
      </c>
      <c r="J24" s="2"/>
      <c r="K24" s="2"/>
      <c r="L24" s="2">
        <v>0.49</v>
      </c>
      <c r="M24" s="2"/>
      <c r="N24" s="2"/>
      <c r="O24" s="2">
        <v>0.14000000000000001</v>
      </c>
      <c r="P24" s="2">
        <v>0.14000000000000001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9">
        <f t="shared" si="0"/>
        <v>6.8319999999999992E-2</v>
      </c>
      <c r="AB24" s="9">
        <f t="shared" si="1"/>
        <v>0</v>
      </c>
      <c r="AC24" s="10">
        <f t="shared" si="2"/>
        <v>0</v>
      </c>
      <c r="AD24" s="10">
        <f t="shared" si="3"/>
        <v>0</v>
      </c>
      <c r="AE24" s="9">
        <f t="shared" si="4"/>
        <v>5.978E-2</v>
      </c>
      <c r="AF24" s="9">
        <f t="shared" si="5"/>
        <v>0.12809999999999999</v>
      </c>
      <c r="AG24" s="9">
        <f t="shared" si="6"/>
        <v>1.05</v>
      </c>
      <c r="AH24" s="11">
        <f t="shared" si="10"/>
        <v>6.8319999999999999</v>
      </c>
      <c r="AI24" s="11">
        <f t="shared" si="10"/>
        <v>0</v>
      </c>
      <c r="AJ24" s="11">
        <f t="shared" si="10"/>
        <v>0</v>
      </c>
      <c r="AK24" s="11">
        <f t="shared" si="10"/>
        <v>5.9779999999999998</v>
      </c>
      <c r="AL24" s="11">
        <f t="shared" si="10"/>
        <v>0</v>
      </c>
      <c r="AM24" s="2"/>
      <c r="AN24" s="2"/>
      <c r="AO24" s="2"/>
    </row>
    <row r="25" spans="1:41" x14ac:dyDescent="0.2">
      <c r="A25" s="2" t="s">
        <v>112</v>
      </c>
      <c r="B25" s="2" t="s">
        <v>93</v>
      </c>
      <c r="C25" s="2" t="s">
        <v>48</v>
      </c>
      <c r="D25" s="2"/>
      <c r="E25" s="2" t="s">
        <v>50</v>
      </c>
      <c r="F25" s="2" t="s">
        <v>94</v>
      </c>
      <c r="G25" s="2" t="s">
        <v>95</v>
      </c>
      <c r="H25" s="12">
        <v>2.9766370000000002</v>
      </c>
      <c r="I25" s="9">
        <v>2.1415765161813343</v>
      </c>
      <c r="J25" s="9">
        <v>5.0579546595930767</v>
      </c>
      <c r="K25" s="13">
        <v>39.290663763740611</v>
      </c>
      <c r="L25" s="9">
        <v>1.5926444352859215</v>
      </c>
      <c r="M25" s="9">
        <v>0.40780120508843704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9">
        <f t="shared" si="0"/>
        <v>6.3746958963964581E-2</v>
      </c>
      <c r="AB25" s="9">
        <f t="shared" si="1"/>
        <v>0.15055694984067158</v>
      </c>
      <c r="AC25" s="10">
        <f t="shared" si="2"/>
        <v>116.95404351370956</v>
      </c>
      <c r="AD25" s="10">
        <f t="shared" si="3"/>
        <v>1.21387615571083</v>
      </c>
      <c r="AE25" s="9">
        <f t="shared" si="4"/>
        <v>4.74072435391618E-2</v>
      </c>
      <c r="AF25" s="9">
        <f t="shared" si="5"/>
        <v>0.26171115234379799</v>
      </c>
      <c r="AG25" s="9">
        <f t="shared" si="6"/>
        <v>8.7921756110603315</v>
      </c>
      <c r="AH25" s="11">
        <f t="shared" si="10"/>
        <v>6.3746958963964584</v>
      </c>
      <c r="AI25" s="11">
        <f t="shared" si="10"/>
        <v>15.055694984067157</v>
      </c>
      <c r="AJ25" s="11">
        <f t="shared" si="10"/>
        <v>116.95404351370956</v>
      </c>
      <c r="AK25" s="11">
        <f t="shared" si="10"/>
        <v>4.7407243539161801</v>
      </c>
      <c r="AL25" s="11">
        <f t="shared" si="10"/>
        <v>1.21387615571083</v>
      </c>
      <c r="AM25" s="2"/>
      <c r="AN25" s="2"/>
      <c r="AO25" s="2"/>
    </row>
    <row r="26" spans="1:41" x14ac:dyDescent="0.2">
      <c r="A26" s="2" t="s">
        <v>113</v>
      </c>
      <c r="B26" s="2" t="s">
        <v>93</v>
      </c>
      <c r="C26" s="2" t="s">
        <v>54</v>
      </c>
      <c r="D26" s="2" t="s">
        <v>77</v>
      </c>
      <c r="E26" s="2" t="s">
        <v>50</v>
      </c>
      <c r="F26" s="2" t="s">
        <v>114</v>
      </c>
      <c r="G26" s="2" t="s">
        <v>104</v>
      </c>
      <c r="H26" s="12">
        <v>9.5000000000000001E-2</v>
      </c>
      <c r="I26" s="2">
        <v>2.08</v>
      </c>
      <c r="J26" s="13"/>
      <c r="K26" s="14"/>
      <c r="L26" s="2"/>
      <c r="M26" s="9">
        <v>0.2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9">
        <f t="shared" si="0"/>
        <v>1.9759999999999999E-3</v>
      </c>
      <c r="AB26" s="9">
        <f t="shared" si="1"/>
        <v>0</v>
      </c>
      <c r="AC26" s="10">
        <f t="shared" si="2"/>
        <v>0</v>
      </c>
      <c r="AD26" s="10">
        <f t="shared" si="3"/>
        <v>1.9000000000000003E-2</v>
      </c>
      <c r="AE26" s="9">
        <f t="shared" si="4"/>
        <v>0</v>
      </c>
      <c r="AF26" s="9">
        <f t="shared" si="5"/>
        <v>1.9759999999999999E-3</v>
      </c>
      <c r="AG26" s="9">
        <f t="shared" si="6"/>
        <v>2.08</v>
      </c>
      <c r="AH26" s="11">
        <f t="shared" si="10"/>
        <v>0.1976</v>
      </c>
      <c r="AI26" s="11">
        <f t="shared" si="10"/>
        <v>0</v>
      </c>
      <c r="AJ26" s="11">
        <f t="shared" si="10"/>
        <v>0</v>
      </c>
      <c r="AK26" s="11">
        <f t="shared" si="10"/>
        <v>0</v>
      </c>
      <c r="AL26" s="11">
        <f t="shared" si="10"/>
        <v>1.9000000000000003E-2</v>
      </c>
      <c r="AM26" s="2"/>
      <c r="AN26" s="2"/>
      <c r="AO26" s="2"/>
    </row>
    <row r="27" spans="1:41" x14ac:dyDescent="0.2">
      <c r="A27" s="2" t="s">
        <v>115</v>
      </c>
      <c r="B27" s="2" t="s">
        <v>93</v>
      </c>
      <c r="C27" s="2" t="s">
        <v>48</v>
      </c>
      <c r="D27" s="2"/>
      <c r="E27" s="2" t="s">
        <v>50</v>
      </c>
      <c r="F27" s="2" t="s">
        <v>116</v>
      </c>
      <c r="G27" s="2" t="s">
        <v>117</v>
      </c>
      <c r="H27" s="12">
        <v>2.5</v>
      </c>
      <c r="I27" s="2">
        <v>1.2</v>
      </c>
      <c r="J27" s="13">
        <v>2</v>
      </c>
      <c r="K27" s="14">
        <v>36</v>
      </c>
      <c r="L27" s="2">
        <v>1.8</v>
      </c>
      <c r="M27" s="9">
        <v>0.14000000000000001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9">
        <f t="shared" si="0"/>
        <v>0.03</v>
      </c>
      <c r="AB27" s="9">
        <f t="shared" si="1"/>
        <v>0.05</v>
      </c>
      <c r="AC27" s="10">
        <f t="shared" si="2"/>
        <v>90</v>
      </c>
      <c r="AD27" s="10">
        <f t="shared" si="3"/>
        <v>0.35000000000000003</v>
      </c>
      <c r="AE27" s="9">
        <f t="shared" si="4"/>
        <v>4.4999999999999998E-2</v>
      </c>
      <c r="AF27" s="9">
        <f t="shared" si="5"/>
        <v>0.125</v>
      </c>
      <c r="AG27" s="9">
        <f t="shared" si="6"/>
        <v>5</v>
      </c>
      <c r="AH27" s="11">
        <f t="shared" si="10"/>
        <v>3</v>
      </c>
      <c r="AI27" s="11">
        <f t="shared" si="10"/>
        <v>5</v>
      </c>
      <c r="AJ27" s="11">
        <f t="shared" si="10"/>
        <v>90</v>
      </c>
      <c r="AK27" s="11">
        <f t="shared" si="10"/>
        <v>4.5</v>
      </c>
      <c r="AL27" s="11">
        <f t="shared" si="10"/>
        <v>0.35000000000000003</v>
      </c>
      <c r="AM27" s="2"/>
      <c r="AN27" s="2"/>
      <c r="AO27" s="2"/>
    </row>
    <row r="28" spans="1:41" x14ac:dyDescent="0.2">
      <c r="A28" s="2" t="s">
        <v>118</v>
      </c>
      <c r="B28" s="2" t="s">
        <v>93</v>
      </c>
      <c r="C28" s="2" t="s">
        <v>48</v>
      </c>
      <c r="D28" s="2"/>
      <c r="E28" s="2" t="s">
        <v>50</v>
      </c>
      <c r="F28" s="2" t="s">
        <v>119</v>
      </c>
      <c r="G28" s="2" t="s">
        <v>120</v>
      </c>
      <c r="H28" s="12">
        <v>2.5450490000000001</v>
      </c>
      <c r="I28" s="9">
        <v>1.1000000000000001</v>
      </c>
      <c r="J28" s="2">
        <v>3.75</v>
      </c>
      <c r="K28" s="2">
        <v>39.61</v>
      </c>
      <c r="L28" s="9">
        <v>0.4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9">
        <f t="shared" si="0"/>
        <v>2.7995539000000003E-2</v>
      </c>
      <c r="AB28" s="9">
        <f t="shared" si="1"/>
        <v>9.5439337500000013E-2</v>
      </c>
      <c r="AC28" s="10">
        <f t="shared" si="2"/>
        <v>100.80939089</v>
      </c>
      <c r="AD28" s="10">
        <f t="shared" si="3"/>
        <v>0</v>
      </c>
      <c r="AE28" s="9">
        <f t="shared" si="4"/>
        <v>1.0180196000000001E-2</v>
      </c>
      <c r="AF28" s="9">
        <f t="shared" si="5"/>
        <v>0.13361507250000002</v>
      </c>
      <c r="AG28" s="9">
        <f t="shared" si="6"/>
        <v>5.25</v>
      </c>
      <c r="AH28" s="11">
        <f t="shared" si="10"/>
        <v>2.7995539000000003</v>
      </c>
      <c r="AI28" s="11">
        <f t="shared" si="10"/>
        <v>9.5439337500000008</v>
      </c>
      <c r="AJ28" s="11">
        <f t="shared" si="10"/>
        <v>100.80939089</v>
      </c>
      <c r="AK28" s="11">
        <f t="shared" si="10"/>
        <v>1.0180196000000001</v>
      </c>
      <c r="AL28" s="11">
        <f t="shared" si="10"/>
        <v>0</v>
      </c>
      <c r="AM28" s="2"/>
      <c r="AN28" s="2"/>
      <c r="AO28" s="2"/>
    </row>
    <row r="29" spans="1:41" x14ac:dyDescent="0.2">
      <c r="A29" s="2" t="s">
        <v>121</v>
      </c>
      <c r="B29" s="2" t="s">
        <v>93</v>
      </c>
      <c r="C29" s="2" t="s">
        <v>48</v>
      </c>
      <c r="D29" s="2"/>
      <c r="E29" s="2" t="s">
        <v>50</v>
      </c>
      <c r="F29" s="2" t="s">
        <v>122</v>
      </c>
      <c r="G29" s="2" t="s">
        <v>106</v>
      </c>
      <c r="H29" s="2">
        <v>2.7709999999999999</v>
      </c>
      <c r="I29" s="2"/>
      <c r="J29" s="2">
        <v>9.6</v>
      </c>
      <c r="K29" s="2">
        <v>139</v>
      </c>
      <c r="L29" s="2">
        <v>1.9</v>
      </c>
      <c r="M29" s="2">
        <v>0.8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9">
        <f t="shared" si="0"/>
        <v>0</v>
      </c>
      <c r="AB29" s="9">
        <f t="shared" si="1"/>
        <v>0.26601599999999997</v>
      </c>
      <c r="AC29" s="10">
        <f t="shared" si="2"/>
        <v>385.16899999999998</v>
      </c>
      <c r="AD29" s="10">
        <f t="shared" si="3"/>
        <v>2.2168000000000001</v>
      </c>
      <c r="AE29" s="9">
        <f t="shared" si="4"/>
        <v>5.2649000000000001E-2</v>
      </c>
      <c r="AF29" s="9">
        <f t="shared" si="5"/>
        <v>0.31866499999999998</v>
      </c>
      <c r="AG29" s="9">
        <f t="shared" si="6"/>
        <v>11.5</v>
      </c>
      <c r="AH29" s="11">
        <f t="shared" si="10"/>
        <v>0</v>
      </c>
      <c r="AI29" s="11">
        <f t="shared" si="10"/>
        <v>26.601599999999998</v>
      </c>
      <c r="AJ29" s="11">
        <f t="shared" si="10"/>
        <v>385.16899999999998</v>
      </c>
      <c r="AK29" s="11">
        <f t="shared" si="10"/>
        <v>5.2648999999999999</v>
      </c>
      <c r="AL29" s="11">
        <f t="shared" si="10"/>
        <v>2.2168000000000001</v>
      </c>
      <c r="AM29" s="2"/>
      <c r="AN29" s="2"/>
      <c r="AO29" s="2"/>
    </row>
    <row r="30" spans="1:41" x14ac:dyDescent="0.2">
      <c r="A30" s="2" t="s">
        <v>123</v>
      </c>
      <c r="B30" s="2" t="s">
        <v>93</v>
      </c>
      <c r="C30" s="2" t="s">
        <v>54</v>
      </c>
      <c r="D30" s="2" t="s">
        <v>73</v>
      </c>
      <c r="E30" s="2" t="s">
        <v>50</v>
      </c>
      <c r="F30" s="2" t="s">
        <v>124</v>
      </c>
      <c r="G30" s="2" t="s">
        <v>106</v>
      </c>
      <c r="H30" s="13">
        <v>88</v>
      </c>
      <c r="I30" s="2">
        <v>0.28999999999999998</v>
      </c>
      <c r="J30" s="2">
        <v>0.39</v>
      </c>
      <c r="K30" s="2">
        <v>47.4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9">
        <f t="shared" si="0"/>
        <v>0.25519999999999998</v>
      </c>
      <c r="AB30" s="9">
        <f t="shared" si="1"/>
        <v>0.34320000000000001</v>
      </c>
      <c r="AC30" s="10">
        <f t="shared" si="2"/>
        <v>4171.2</v>
      </c>
      <c r="AD30" s="10">
        <f t="shared" si="3"/>
        <v>0</v>
      </c>
      <c r="AE30" s="9">
        <f t="shared" si="4"/>
        <v>0</v>
      </c>
      <c r="AF30" s="9">
        <f t="shared" si="5"/>
        <v>0.59840000000000004</v>
      </c>
      <c r="AG30" s="9">
        <f t="shared" si="6"/>
        <v>0.67999999999999994</v>
      </c>
      <c r="AH30" s="11">
        <f t="shared" si="10"/>
        <v>25.52</v>
      </c>
      <c r="AI30" s="11">
        <f t="shared" si="10"/>
        <v>34.32</v>
      </c>
      <c r="AJ30" s="11">
        <f t="shared" si="10"/>
        <v>4171.2</v>
      </c>
      <c r="AK30" s="11">
        <f t="shared" si="10"/>
        <v>0</v>
      </c>
      <c r="AL30" s="11">
        <f t="shared" si="10"/>
        <v>0</v>
      </c>
      <c r="AM30" s="2"/>
      <c r="AN30" s="2"/>
      <c r="AO30" s="2"/>
    </row>
    <row r="31" spans="1:41" x14ac:dyDescent="0.2">
      <c r="A31" s="2" t="s">
        <v>125</v>
      </c>
      <c r="B31" s="2" t="s">
        <v>93</v>
      </c>
      <c r="C31" s="2" t="s">
        <v>38</v>
      </c>
      <c r="D31" s="2" t="s">
        <v>62</v>
      </c>
      <c r="E31" s="2" t="s">
        <v>50</v>
      </c>
      <c r="F31" s="2" t="s">
        <v>126</v>
      </c>
      <c r="G31" s="2" t="s">
        <v>127</v>
      </c>
      <c r="H31" s="2">
        <v>21.7</v>
      </c>
      <c r="I31" s="13">
        <v>7</v>
      </c>
      <c r="J31" s="2">
        <v>9.1999999999999993</v>
      </c>
      <c r="K31" s="2">
        <v>89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9">
        <f t="shared" si="0"/>
        <v>1.5190000000000001</v>
      </c>
      <c r="AB31" s="9">
        <f t="shared" si="1"/>
        <v>1.9964</v>
      </c>
      <c r="AC31" s="10">
        <f t="shared" si="2"/>
        <v>1931.3</v>
      </c>
      <c r="AD31" s="10">
        <f t="shared" si="3"/>
        <v>0</v>
      </c>
      <c r="AE31" s="9">
        <f t="shared" si="4"/>
        <v>0</v>
      </c>
      <c r="AF31" s="9">
        <f t="shared" si="5"/>
        <v>3.5154000000000001</v>
      </c>
      <c r="AG31" s="9">
        <f t="shared" si="6"/>
        <v>16.2</v>
      </c>
      <c r="AH31" s="11">
        <f t="shared" si="10"/>
        <v>151.9</v>
      </c>
      <c r="AI31" s="11">
        <f t="shared" si="10"/>
        <v>199.64</v>
      </c>
      <c r="AJ31" s="11">
        <f t="shared" si="10"/>
        <v>1931.3</v>
      </c>
      <c r="AK31" s="11">
        <f t="shared" si="10"/>
        <v>0</v>
      </c>
      <c r="AL31" s="11">
        <f t="shared" si="10"/>
        <v>0</v>
      </c>
      <c r="AM31" s="2"/>
      <c r="AN31" s="2"/>
      <c r="AO31" s="2"/>
    </row>
    <row r="32" spans="1:41" x14ac:dyDescent="0.2">
      <c r="A32" s="2" t="s">
        <v>128</v>
      </c>
      <c r="B32" s="2" t="s">
        <v>93</v>
      </c>
      <c r="C32" s="2" t="s">
        <v>38</v>
      </c>
      <c r="D32" s="2" t="s">
        <v>62</v>
      </c>
      <c r="E32" s="2" t="s">
        <v>50</v>
      </c>
      <c r="F32" s="2" t="s">
        <v>129</v>
      </c>
      <c r="G32" s="2" t="s">
        <v>130</v>
      </c>
      <c r="H32" s="2">
        <v>16.503</v>
      </c>
      <c r="I32" s="13">
        <v>5.1473550263588432</v>
      </c>
      <c r="J32" s="13">
        <v>6.6099739441313696</v>
      </c>
      <c r="K32" s="14">
        <v>89.095800763497536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9">
        <f t="shared" si="0"/>
        <v>0.849468</v>
      </c>
      <c r="AB32" s="9">
        <f t="shared" si="1"/>
        <v>1.0908439999999999</v>
      </c>
      <c r="AC32" s="10">
        <f t="shared" si="2"/>
        <v>1470.348</v>
      </c>
      <c r="AD32" s="10">
        <f t="shared" si="3"/>
        <v>0</v>
      </c>
      <c r="AE32" s="9">
        <f t="shared" si="4"/>
        <v>0</v>
      </c>
      <c r="AF32" s="9">
        <f t="shared" si="5"/>
        <v>1.940312</v>
      </c>
      <c r="AG32" s="9">
        <f t="shared" si="6"/>
        <v>11.757328970490214</v>
      </c>
      <c r="AH32" s="11">
        <f t="shared" si="10"/>
        <v>84.946799999999996</v>
      </c>
      <c r="AI32" s="11">
        <f t="shared" si="10"/>
        <v>109.08439999999999</v>
      </c>
      <c r="AJ32" s="11">
        <f t="shared" si="10"/>
        <v>1470.348</v>
      </c>
      <c r="AK32" s="11">
        <f t="shared" si="10"/>
        <v>0</v>
      </c>
      <c r="AL32" s="11">
        <f t="shared" si="10"/>
        <v>0</v>
      </c>
      <c r="AM32" s="2"/>
      <c r="AN32" s="2"/>
      <c r="AO32" s="2"/>
    </row>
    <row r="33" spans="1:41" x14ac:dyDescent="0.2">
      <c r="A33" s="2" t="s">
        <v>131</v>
      </c>
      <c r="B33" s="2" t="s">
        <v>93</v>
      </c>
      <c r="C33" s="2" t="s">
        <v>132</v>
      </c>
      <c r="D33" s="2"/>
      <c r="E33" s="2" t="s">
        <v>50</v>
      </c>
      <c r="F33" s="2" t="s">
        <v>133</v>
      </c>
      <c r="G33" s="2" t="s">
        <v>134</v>
      </c>
      <c r="H33" s="2">
        <v>20.5</v>
      </c>
      <c r="I33" s="2">
        <v>1.1000000000000001</v>
      </c>
      <c r="J33" s="2">
        <v>2</v>
      </c>
      <c r="K33" s="2">
        <v>9</v>
      </c>
      <c r="L33" s="2">
        <v>0.1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9">
        <f t="shared" si="0"/>
        <v>0.22550000000000001</v>
      </c>
      <c r="AB33" s="9">
        <f t="shared" si="1"/>
        <v>0.41</v>
      </c>
      <c r="AC33" s="10">
        <f t="shared" si="2"/>
        <v>184.5</v>
      </c>
      <c r="AD33" s="10">
        <f t="shared" si="3"/>
        <v>0</v>
      </c>
      <c r="AE33" s="9">
        <f t="shared" si="4"/>
        <v>2.0500000000000004E-2</v>
      </c>
      <c r="AF33" s="9">
        <f t="shared" si="5"/>
        <v>0.65599999999999992</v>
      </c>
      <c r="AG33" s="9">
        <f t="shared" si="6"/>
        <v>3.2</v>
      </c>
      <c r="AH33" s="11">
        <f t="shared" si="10"/>
        <v>22.55</v>
      </c>
      <c r="AI33" s="11">
        <f t="shared" si="10"/>
        <v>41</v>
      </c>
      <c r="AJ33" s="11">
        <f t="shared" si="10"/>
        <v>184.5</v>
      </c>
      <c r="AK33" s="11">
        <f t="shared" si="10"/>
        <v>2.0500000000000003</v>
      </c>
      <c r="AL33" s="11">
        <f t="shared" si="10"/>
        <v>0</v>
      </c>
      <c r="AM33" s="2"/>
      <c r="AN33" s="2"/>
      <c r="AO33" s="2"/>
    </row>
    <row r="34" spans="1:41" x14ac:dyDescent="0.2">
      <c r="A34" s="2" t="s">
        <v>135</v>
      </c>
      <c r="B34" s="2" t="s">
        <v>93</v>
      </c>
      <c r="C34" s="2" t="s">
        <v>109</v>
      </c>
      <c r="D34" s="2"/>
      <c r="E34" s="2" t="s">
        <v>50</v>
      </c>
      <c r="F34" s="2" t="s">
        <v>136</v>
      </c>
      <c r="G34" s="2" t="s">
        <v>137</v>
      </c>
      <c r="H34" s="2">
        <v>54.5</v>
      </c>
      <c r="I34" s="9">
        <v>3.094935779816514</v>
      </c>
      <c r="J34" s="9">
        <v>0.60409174311926606</v>
      </c>
      <c r="K34" s="17">
        <v>12.143120567375886</v>
      </c>
      <c r="L34" s="9">
        <v>0.43106422018348628</v>
      </c>
      <c r="M34" s="2"/>
      <c r="N34" s="2"/>
      <c r="O34" s="12">
        <v>8.2073394495412857E-2</v>
      </c>
      <c r="P34" s="9">
        <v>9.862385321100918E-2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9">
        <f t="shared" si="0"/>
        <v>1.6867400000000001</v>
      </c>
      <c r="AB34" s="9">
        <f t="shared" si="1"/>
        <v>0.32923000000000002</v>
      </c>
      <c r="AC34" s="10">
        <f t="shared" si="2"/>
        <v>661.80007092198582</v>
      </c>
      <c r="AD34" s="10">
        <f t="shared" si="3"/>
        <v>0</v>
      </c>
      <c r="AE34" s="9">
        <f t="shared" si="4"/>
        <v>0.23493000000000003</v>
      </c>
      <c r="AF34" s="9">
        <f t="shared" si="5"/>
        <v>2.2509000000000001</v>
      </c>
      <c r="AG34" s="9">
        <f t="shared" si="6"/>
        <v>4.1300917431192667</v>
      </c>
      <c r="AH34" s="11">
        <f t="shared" ref="AH34:AL49" si="11">$H34*I34</f>
        <v>168.67400000000001</v>
      </c>
      <c r="AI34" s="11">
        <f t="shared" si="11"/>
        <v>32.923000000000002</v>
      </c>
      <c r="AJ34" s="11">
        <f t="shared" si="11"/>
        <v>661.80007092198582</v>
      </c>
      <c r="AK34" s="11">
        <f t="shared" si="11"/>
        <v>23.493000000000002</v>
      </c>
      <c r="AL34" s="11">
        <f t="shared" si="11"/>
        <v>0</v>
      </c>
      <c r="AM34" s="2"/>
      <c r="AN34" s="2"/>
      <c r="AO34" s="2"/>
    </row>
    <row r="35" spans="1:41" x14ac:dyDescent="0.2">
      <c r="A35" s="2" t="s">
        <v>138</v>
      </c>
      <c r="B35" s="2" t="s">
        <v>93</v>
      </c>
      <c r="C35" s="2" t="s">
        <v>38</v>
      </c>
      <c r="D35" s="2" t="s">
        <v>62</v>
      </c>
      <c r="E35" s="2" t="s">
        <v>50</v>
      </c>
      <c r="F35" s="2" t="s">
        <v>139</v>
      </c>
      <c r="G35" s="2" t="s">
        <v>137</v>
      </c>
      <c r="H35" s="13">
        <v>1</v>
      </c>
      <c r="I35" s="2">
        <v>6.5</v>
      </c>
      <c r="J35" s="13">
        <v>11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9">
        <f t="shared" si="0"/>
        <v>6.5000000000000002E-2</v>
      </c>
      <c r="AB35" s="9">
        <f t="shared" si="1"/>
        <v>0.11</v>
      </c>
      <c r="AC35" s="10">
        <f t="shared" si="2"/>
        <v>0</v>
      </c>
      <c r="AD35" s="10">
        <f t="shared" si="3"/>
        <v>0</v>
      </c>
      <c r="AE35" s="9">
        <f t="shared" si="4"/>
        <v>0</v>
      </c>
      <c r="AF35" s="9">
        <f t="shared" si="5"/>
        <v>0.17499999999999999</v>
      </c>
      <c r="AG35" s="9">
        <f t="shared" si="6"/>
        <v>17.5</v>
      </c>
      <c r="AH35" s="11">
        <f t="shared" si="11"/>
        <v>6.5</v>
      </c>
      <c r="AI35" s="11">
        <f t="shared" si="11"/>
        <v>11</v>
      </c>
      <c r="AJ35" s="11">
        <f t="shared" si="11"/>
        <v>0</v>
      </c>
      <c r="AK35" s="11">
        <f t="shared" si="11"/>
        <v>0</v>
      </c>
      <c r="AL35" s="11">
        <f t="shared" si="11"/>
        <v>0</v>
      </c>
      <c r="AM35" s="2"/>
      <c r="AN35" s="2"/>
      <c r="AO35" s="2"/>
    </row>
    <row r="36" spans="1:41" x14ac:dyDescent="0.2">
      <c r="A36" s="2" t="s">
        <v>140</v>
      </c>
      <c r="B36" s="2" t="s">
        <v>93</v>
      </c>
      <c r="C36" s="2" t="s">
        <v>48</v>
      </c>
      <c r="D36" s="2"/>
      <c r="E36" s="7" t="s">
        <v>40</v>
      </c>
      <c r="F36" s="2" t="s">
        <v>141</v>
      </c>
      <c r="G36" s="8" t="s">
        <v>142</v>
      </c>
      <c r="H36" s="2">
        <f>0.004+0.023+0.09</f>
        <v>0.11699999999999999</v>
      </c>
      <c r="I36" s="13">
        <f>(14.2*0.004+5.3*0.023+2.1*0.09)/$H36</f>
        <v>3.1427350427350431</v>
      </c>
      <c r="J36" s="13">
        <f>(34.5*0.004+11.3*0.023+7.4*0.09)/$H36</f>
        <v>9.0931623931623946</v>
      </c>
      <c r="K36" s="14">
        <f>(92*0.004+41*0.023+47*0.09)/$H36</f>
        <v>47.358974358974358</v>
      </c>
      <c r="L36" s="9">
        <f>(0.81*0.004+0.79*0.023+0*0.09)/$H36</f>
        <v>0.18299145299145303</v>
      </c>
      <c r="M36" s="9">
        <f>(3.75*0.004+2.52*0.023+0*0.09)/$H36</f>
        <v>0.62358974358974362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9">
        <f t="shared" si="0"/>
        <v>3.6770000000000001E-3</v>
      </c>
      <c r="AB36" s="9">
        <f t="shared" si="1"/>
        <v>1.0639000000000001E-2</v>
      </c>
      <c r="AC36" s="10">
        <f t="shared" si="2"/>
        <v>5.5409999999999995</v>
      </c>
      <c r="AD36" s="10">
        <f t="shared" si="3"/>
        <v>7.2959999999999997E-2</v>
      </c>
      <c r="AE36" s="9">
        <f t="shared" si="4"/>
        <v>2.1410000000000003E-4</v>
      </c>
      <c r="AF36" s="9">
        <f t="shared" si="5"/>
        <v>1.4530100000000001E-2</v>
      </c>
      <c r="AG36" s="9">
        <f t="shared" si="6"/>
        <v>12.418888888888892</v>
      </c>
      <c r="AH36" s="11">
        <f t="shared" si="11"/>
        <v>0.36770000000000003</v>
      </c>
      <c r="AI36" s="11">
        <f t="shared" si="11"/>
        <v>1.0639000000000001</v>
      </c>
      <c r="AJ36" s="11">
        <f t="shared" si="11"/>
        <v>5.5409999999999995</v>
      </c>
      <c r="AK36" s="11">
        <f t="shared" si="11"/>
        <v>2.1410000000000002E-2</v>
      </c>
      <c r="AL36" s="11">
        <f t="shared" si="11"/>
        <v>7.2959999999999997E-2</v>
      </c>
      <c r="AM36" s="2"/>
      <c r="AN36" s="2"/>
      <c r="AO36" s="2"/>
    </row>
    <row r="37" spans="1:41" x14ac:dyDescent="0.2">
      <c r="A37" s="2" t="s">
        <v>143</v>
      </c>
      <c r="B37" s="2" t="s">
        <v>93</v>
      </c>
      <c r="C37" s="2" t="s">
        <v>48</v>
      </c>
      <c r="D37" s="2"/>
      <c r="E37" s="2" t="s">
        <v>50</v>
      </c>
      <c r="F37" s="2" t="s">
        <v>144</v>
      </c>
      <c r="G37" s="2" t="s">
        <v>145</v>
      </c>
      <c r="H37" s="2">
        <v>3.1749999999999998</v>
      </c>
      <c r="I37" s="2">
        <v>0.76</v>
      </c>
      <c r="J37" s="2">
        <v>3.3</v>
      </c>
      <c r="K37" s="2">
        <v>101</v>
      </c>
      <c r="L37" s="2">
        <v>0.19</v>
      </c>
      <c r="M37" s="2">
        <v>2.1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9">
        <f t="shared" si="0"/>
        <v>2.4129999999999999E-2</v>
      </c>
      <c r="AB37" s="9">
        <f t="shared" si="1"/>
        <v>0.10477499999999999</v>
      </c>
      <c r="AC37" s="10">
        <f t="shared" si="2"/>
        <v>320.67499999999995</v>
      </c>
      <c r="AD37" s="10">
        <f t="shared" si="3"/>
        <v>6.6674999999999995</v>
      </c>
      <c r="AE37" s="9">
        <f t="shared" si="4"/>
        <v>6.0324999999999997E-3</v>
      </c>
      <c r="AF37" s="9">
        <f t="shared" si="5"/>
        <v>0.13493749999999999</v>
      </c>
      <c r="AG37" s="9">
        <f t="shared" si="6"/>
        <v>4.25</v>
      </c>
      <c r="AH37" s="11">
        <f t="shared" si="11"/>
        <v>2.4129999999999998</v>
      </c>
      <c r="AI37" s="11">
        <f t="shared" si="11"/>
        <v>10.477499999999999</v>
      </c>
      <c r="AJ37" s="11">
        <f t="shared" si="11"/>
        <v>320.67499999999995</v>
      </c>
      <c r="AK37" s="11">
        <f t="shared" si="11"/>
        <v>0.60324999999999995</v>
      </c>
      <c r="AL37" s="11">
        <f t="shared" si="11"/>
        <v>6.6674999999999995</v>
      </c>
      <c r="AM37" s="2"/>
      <c r="AN37" s="2"/>
      <c r="AO37" s="2"/>
    </row>
    <row r="38" spans="1:41" x14ac:dyDescent="0.2">
      <c r="A38" s="2" t="s">
        <v>146</v>
      </c>
      <c r="B38" s="2" t="s">
        <v>93</v>
      </c>
      <c r="C38" s="2" t="s">
        <v>38</v>
      </c>
      <c r="D38" s="2" t="s">
        <v>62</v>
      </c>
      <c r="E38" s="2" t="s">
        <v>50</v>
      </c>
      <c r="F38" s="2" t="s">
        <v>147</v>
      </c>
      <c r="G38" s="2" t="s">
        <v>106</v>
      </c>
      <c r="H38" s="13">
        <v>96.3</v>
      </c>
      <c r="I38" s="9">
        <v>4.865659397715473</v>
      </c>
      <c r="J38" s="9">
        <v>2.9767912772585667</v>
      </c>
      <c r="K38" s="14">
        <v>163.6957424714434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9">
        <f t="shared" si="0"/>
        <v>4.6856300000000006</v>
      </c>
      <c r="AB38" s="9">
        <f t="shared" si="1"/>
        <v>2.8666499999999995</v>
      </c>
      <c r="AC38" s="10">
        <f t="shared" si="2"/>
        <v>15763.899999999998</v>
      </c>
      <c r="AD38" s="10">
        <f t="shared" si="3"/>
        <v>0</v>
      </c>
      <c r="AE38" s="9">
        <f t="shared" si="4"/>
        <v>0</v>
      </c>
      <c r="AF38" s="9">
        <f t="shared" si="5"/>
        <v>7.5522799999999997</v>
      </c>
      <c r="AG38" s="9">
        <f t="shared" si="6"/>
        <v>7.8424506749740397</v>
      </c>
      <c r="AH38" s="11">
        <f t="shared" si="11"/>
        <v>468.56300000000005</v>
      </c>
      <c r="AI38" s="11">
        <f t="shared" si="11"/>
        <v>286.66499999999996</v>
      </c>
      <c r="AJ38" s="11">
        <f t="shared" si="11"/>
        <v>15763.899999999998</v>
      </c>
      <c r="AK38" s="11">
        <f t="shared" si="11"/>
        <v>0</v>
      </c>
      <c r="AL38" s="11">
        <f t="shared" si="11"/>
        <v>0</v>
      </c>
      <c r="AM38" s="2"/>
      <c r="AN38" s="2"/>
      <c r="AO38" s="2"/>
    </row>
    <row r="39" spans="1:41" x14ac:dyDescent="0.2">
      <c r="A39" s="2" t="s">
        <v>148</v>
      </c>
      <c r="B39" s="2" t="s">
        <v>93</v>
      </c>
      <c r="C39" s="2" t="s">
        <v>54</v>
      </c>
      <c r="D39" s="2" t="s">
        <v>77</v>
      </c>
      <c r="E39" s="2" t="s">
        <v>50</v>
      </c>
      <c r="F39" s="2" t="s">
        <v>41</v>
      </c>
      <c r="G39" s="2" t="s">
        <v>149</v>
      </c>
      <c r="H39" s="12">
        <v>3.4950000000000002E-2</v>
      </c>
      <c r="I39" s="2">
        <v>6.2</v>
      </c>
      <c r="J39" s="2">
        <v>1.37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>
        <v>36.6</v>
      </c>
      <c r="Z39" s="2" t="s">
        <v>150</v>
      </c>
      <c r="AA39" s="9">
        <f t="shared" si="0"/>
        <v>2.1669000000000002E-3</v>
      </c>
      <c r="AB39" s="9">
        <f t="shared" si="1"/>
        <v>4.7881500000000006E-4</v>
      </c>
      <c r="AC39" s="10">
        <f t="shared" si="2"/>
        <v>0</v>
      </c>
      <c r="AD39" s="10">
        <f t="shared" si="3"/>
        <v>0</v>
      </c>
      <c r="AE39" s="9">
        <f t="shared" si="4"/>
        <v>0</v>
      </c>
      <c r="AF39" s="9">
        <f t="shared" si="5"/>
        <v>2.6457150000000003E-3</v>
      </c>
      <c r="AG39" s="9">
        <f t="shared" si="6"/>
        <v>7.57</v>
      </c>
      <c r="AH39" s="11">
        <f t="shared" si="11"/>
        <v>0.21669000000000002</v>
      </c>
      <c r="AI39" s="11">
        <f t="shared" si="11"/>
        <v>4.7881500000000007E-2</v>
      </c>
      <c r="AJ39" s="11">
        <f t="shared" si="11"/>
        <v>0</v>
      </c>
      <c r="AK39" s="11">
        <f t="shared" si="11"/>
        <v>0</v>
      </c>
      <c r="AL39" s="11">
        <f t="shared" si="11"/>
        <v>0</v>
      </c>
      <c r="AM39" s="2"/>
      <c r="AN39" s="2"/>
      <c r="AO39" s="2"/>
    </row>
    <row r="40" spans="1:41" x14ac:dyDescent="0.2">
      <c r="A40" s="2" t="s">
        <v>151</v>
      </c>
      <c r="B40" s="2" t="s">
        <v>93</v>
      </c>
      <c r="C40" s="2" t="s">
        <v>38</v>
      </c>
      <c r="D40" s="2" t="s">
        <v>62</v>
      </c>
      <c r="E40" s="2" t="s">
        <v>50</v>
      </c>
      <c r="F40" s="2" t="s">
        <v>152</v>
      </c>
      <c r="G40" s="2" t="s">
        <v>106</v>
      </c>
      <c r="H40" s="2">
        <v>17.600000000000001</v>
      </c>
      <c r="I40" s="13">
        <v>10.059090909090909</v>
      </c>
      <c r="J40" s="13">
        <v>1.4846590909090907</v>
      </c>
      <c r="K40" s="14">
        <v>37.284090909090907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9">
        <f t="shared" si="0"/>
        <v>1.7704000000000002</v>
      </c>
      <c r="AB40" s="9">
        <f t="shared" si="1"/>
        <v>0.26129999999999998</v>
      </c>
      <c r="AC40" s="10">
        <f t="shared" si="2"/>
        <v>656.2</v>
      </c>
      <c r="AD40" s="10">
        <f t="shared" si="3"/>
        <v>0</v>
      </c>
      <c r="AE40" s="9">
        <f t="shared" si="4"/>
        <v>0</v>
      </c>
      <c r="AF40" s="9">
        <f t="shared" si="5"/>
        <v>2.0317000000000003</v>
      </c>
      <c r="AG40" s="9">
        <f t="shared" si="6"/>
        <v>11.543749999999999</v>
      </c>
      <c r="AH40" s="11">
        <f t="shared" si="11"/>
        <v>177.04000000000002</v>
      </c>
      <c r="AI40" s="11">
        <f t="shared" si="11"/>
        <v>26.13</v>
      </c>
      <c r="AJ40" s="11">
        <f t="shared" si="11"/>
        <v>656.2</v>
      </c>
      <c r="AK40" s="11">
        <f t="shared" si="11"/>
        <v>0</v>
      </c>
      <c r="AL40" s="11">
        <f t="shared" si="11"/>
        <v>0</v>
      </c>
      <c r="AM40" s="2"/>
      <c r="AN40" s="2"/>
      <c r="AO40" s="2"/>
    </row>
    <row r="41" spans="1:41" x14ac:dyDescent="0.2">
      <c r="A41" s="2" t="s">
        <v>153</v>
      </c>
      <c r="B41" s="2" t="s">
        <v>93</v>
      </c>
      <c r="C41" s="2" t="s">
        <v>48</v>
      </c>
      <c r="D41" s="2"/>
      <c r="E41" s="2" t="s">
        <v>50</v>
      </c>
      <c r="F41" s="2" t="s">
        <v>154</v>
      </c>
      <c r="G41" s="2" t="s">
        <v>95</v>
      </c>
      <c r="H41" s="2">
        <v>1.22</v>
      </c>
      <c r="I41" s="2">
        <v>0.4</v>
      </c>
      <c r="J41" s="2">
        <v>0.7</v>
      </c>
      <c r="K41" s="2">
        <v>8.1</v>
      </c>
      <c r="L41" s="2">
        <v>0.5</v>
      </c>
      <c r="M41" s="2">
        <v>0.8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9">
        <f t="shared" si="0"/>
        <v>4.8799999999999998E-3</v>
      </c>
      <c r="AB41" s="9">
        <f t="shared" si="1"/>
        <v>8.539999999999999E-3</v>
      </c>
      <c r="AC41" s="10">
        <f t="shared" si="2"/>
        <v>9.8819999999999997</v>
      </c>
      <c r="AD41" s="10">
        <f t="shared" si="3"/>
        <v>0.97599999999999998</v>
      </c>
      <c r="AE41" s="9">
        <f t="shared" si="4"/>
        <v>6.0999999999999995E-3</v>
      </c>
      <c r="AF41" s="9">
        <f t="shared" si="5"/>
        <v>1.9519999999999996E-2</v>
      </c>
      <c r="AG41" s="9">
        <f t="shared" si="6"/>
        <v>1.6</v>
      </c>
      <c r="AH41" s="11">
        <f t="shared" si="11"/>
        <v>0.48799999999999999</v>
      </c>
      <c r="AI41" s="11">
        <f t="shared" si="11"/>
        <v>0.85399999999999998</v>
      </c>
      <c r="AJ41" s="11">
        <f t="shared" si="11"/>
        <v>9.8819999999999997</v>
      </c>
      <c r="AK41" s="11">
        <f t="shared" si="11"/>
        <v>0.61</v>
      </c>
      <c r="AL41" s="11">
        <f t="shared" si="11"/>
        <v>0.97599999999999998</v>
      </c>
      <c r="AM41" s="2"/>
      <c r="AN41" s="2"/>
      <c r="AO41" s="2"/>
    </row>
    <row r="42" spans="1:41" x14ac:dyDescent="0.2">
      <c r="A42" s="2" t="s">
        <v>155</v>
      </c>
      <c r="B42" s="2" t="s">
        <v>93</v>
      </c>
      <c r="C42" s="2" t="s">
        <v>48</v>
      </c>
      <c r="D42" s="2"/>
      <c r="E42" s="2" t="s">
        <v>50</v>
      </c>
      <c r="F42" s="2" t="s">
        <v>97</v>
      </c>
      <c r="G42" s="2" t="s">
        <v>98</v>
      </c>
      <c r="H42" s="12">
        <v>3.061798</v>
      </c>
      <c r="I42" s="9">
        <v>2.1</v>
      </c>
      <c r="J42" s="2">
        <v>1.48</v>
      </c>
      <c r="K42" s="2">
        <v>45.7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9">
        <f t="shared" si="0"/>
        <v>6.429775800000001E-2</v>
      </c>
      <c r="AB42" s="9">
        <f t="shared" si="1"/>
        <v>4.5314610399999997E-2</v>
      </c>
      <c r="AC42" s="10">
        <f t="shared" si="2"/>
        <v>139.9241686</v>
      </c>
      <c r="AD42" s="10">
        <f t="shared" si="3"/>
        <v>0</v>
      </c>
      <c r="AE42" s="9">
        <f t="shared" si="4"/>
        <v>0</v>
      </c>
      <c r="AF42" s="9">
        <f t="shared" si="5"/>
        <v>0.10961236840000001</v>
      </c>
      <c r="AG42" s="9">
        <f t="shared" si="6"/>
        <v>3.58</v>
      </c>
      <c r="AH42" s="11">
        <f t="shared" si="11"/>
        <v>6.4297758000000007</v>
      </c>
      <c r="AI42" s="11">
        <f t="shared" si="11"/>
        <v>4.5314610399999999</v>
      </c>
      <c r="AJ42" s="11">
        <f t="shared" si="11"/>
        <v>139.9241686</v>
      </c>
      <c r="AK42" s="11">
        <f t="shared" si="11"/>
        <v>0</v>
      </c>
      <c r="AL42" s="11">
        <f t="shared" si="11"/>
        <v>0</v>
      </c>
      <c r="AM42" s="2"/>
      <c r="AN42" s="2"/>
      <c r="AO42" s="2"/>
    </row>
    <row r="43" spans="1:41" x14ac:dyDescent="0.2">
      <c r="A43" s="2" t="s">
        <v>156</v>
      </c>
      <c r="B43" s="2" t="s">
        <v>93</v>
      </c>
      <c r="C43" s="2" t="s">
        <v>157</v>
      </c>
      <c r="D43" s="2"/>
      <c r="E43" s="2" t="s">
        <v>50</v>
      </c>
      <c r="F43" s="2" t="s">
        <v>158</v>
      </c>
      <c r="G43" s="2" t="s">
        <v>159</v>
      </c>
      <c r="H43" s="12">
        <v>3.1304010000000004</v>
      </c>
      <c r="I43" s="9">
        <v>1.2571781378807376</v>
      </c>
      <c r="J43" s="9">
        <v>0.56374705029802885</v>
      </c>
      <c r="K43" s="13">
        <v>95.442836173384833</v>
      </c>
      <c r="L43" s="9">
        <v>0.17848237015002227</v>
      </c>
      <c r="M43" s="2"/>
      <c r="N43" s="2"/>
      <c r="O43" s="2"/>
      <c r="P43" s="2"/>
      <c r="Q43" s="9">
        <v>0.21094990066767802</v>
      </c>
      <c r="R43" s="13">
        <v>5.7457573326867708</v>
      </c>
      <c r="S43" s="13"/>
      <c r="T43" s="2"/>
      <c r="U43" s="2"/>
      <c r="V43" s="2"/>
      <c r="W43" s="2"/>
      <c r="X43" s="2"/>
      <c r="Y43" s="2"/>
      <c r="Z43" s="2"/>
      <c r="AA43" s="9">
        <f t="shared" si="0"/>
        <v>3.9354716999999997E-2</v>
      </c>
      <c r="AB43" s="9">
        <f t="shared" si="1"/>
        <v>1.7647543300000002E-2</v>
      </c>
      <c r="AC43" s="10">
        <f t="shared" si="2"/>
        <v>298.7743498000001</v>
      </c>
      <c r="AD43" s="10">
        <f t="shared" si="3"/>
        <v>0</v>
      </c>
      <c r="AE43" s="9">
        <f t="shared" si="4"/>
        <v>5.5872138999999996E-3</v>
      </c>
      <c r="AF43" s="9">
        <f t="shared" si="5"/>
        <v>6.2589474199999995E-2</v>
      </c>
      <c r="AG43" s="9">
        <f t="shared" si="6"/>
        <v>1.9994075583287887</v>
      </c>
      <c r="AH43" s="11">
        <f t="shared" si="11"/>
        <v>3.9354716999999995</v>
      </c>
      <c r="AI43" s="11">
        <f t="shared" si="11"/>
        <v>1.7647543300000001</v>
      </c>
      <c r="AJ43" s="11">
        <f t="shared" si="11"/>
        <v>298.7743498000001</v>
      </c>
      <c r="AK43" s="11">
        <f t="shared" si="11"/>
        <v>0.55872138999999998</v>
      </c>
      <c r="AL43" s="11">
        <f t="shared" si="11"/>
        <v>0</v>
      </c>
      <c r="AM43" s="2"/>
      <c r="AN43" s="2"/>
      <c r="AO43" s="2"/>
    </row>
    <row r="44" spans="1:41" x14ac:dyDescent="0.2">
      <c r="A44" s="2" t="s">
        <v>160</v>
      </c>
      <c r="B44" s="2" t="s">
        <v>93</v>
      </c>
      <c r="C44" s="2" t="s">
        <v>38</v>
      </c>
      <c r="D44" s="2" t="s">
        <v>62</v>
      </c>
      <c r="E44" s="2" t="s">
        <v>50</v>
      </c>
      <c r="F44" s="2" t="s">
        <v>139</v>
      </c>
      <c r="G44" s="2" t="s">
        <v>137</v>
      </c>
      <c r="H44" s="2">
        <v>7.8</v>
      </c>
      <c r="I44" s="13">
        <v>1</v>
      </c>
      <c r="J44" s="2">
        <v>4.2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9">
        <f t="shared" si="0"/>
        <v>7.8E-2</v>
      </c>
      <c r="AB44" s="9">
        <f t="shared" si="1"/>
        <v>0.3276</v>
      </c>
      <c r="AC44" s="10">
        <f t="shared" si="2"/>
        <v>0</v>
      </c>
      <c r="AD44" s="10">
        <f t="shared" si="3"/>
        <v>0</v>
      </c>
      <c r="AE44" s="9">
        <f t="shared" si="4"/>
        <v>0</v>
      </c>
      <c r="AF44" s="9">
        <f t="shared" si="5"/>
        <v>0.40560000000000002</v>
      </c>
      <c r="AG44" s="9">
        <f t="shared" si="6"/>
        <v>5.2</v>
      </c>
      <c r="AH44" s="11">
        <f t="shared" si="11"/>
        <v>7.8</v>
      </c>
      <c r="AI44" s="11">
        <f t="shared" si="11"/>
        <v>32.76</v>
      </c>
      <c r="AJ44" s="11">
        <f t="shared" si="11"/>
        <v>0</v>
      </c>
      <c r="AK44" s="11">
        <f t="shared" si="11"/>
        <v>0</v>
      </c>
      <c r="AL44" s="11">
        <f t="shared" si="11"/>
        <v>0</v>
      </c>
      <c r="AM44" s="2"/>
      <c r="AN44" s="2"/>
      <c r="AO44" s="2"/>
    </row>
    <row r="45" spans="1:41" x14ac:dyDescent="0.2">
      <c r="A45" s="2" t="s">
        <v>161</v>
      </c>
      <c r="B45" s="2" t="s">
        <v>93</v>
      </c>
      <c r="C45" s="2" t="s">
        <v>48</v>
      </c>
      <c r="D45" s="2"/>
      <c r="E45" s="7" t="s">
        <v>40</v>
      </c>
      <c r="F45" s="2" t="s">
        <v>162</v>
      </c>
      <c r="G45" s="2" t="s">
        <v>134</v>
      </c>
      <c r="H45" s="2">
        <v>0.76200000000000001</v>
      </c>
      <c r="I45" s="2">
        <v>0.3</v>
      </c>
      <c r="J45" s="2">
        <v>9.99</v>
      </c>
      <c r="K45" s="2">
        <v>14.5</v>
      </c>
      <c r="L45" s="2">
        <v>1.77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9">
        <f t="shared" si="0"/>
        <v>2.2859999999999998E-3</v>
      </c>
      <c r="AB45" s="9">
        <f t="shared" si="1"/>
        <v>7.6123800000000005E-2</v>
      </c>
      <c r="AC45" s="10">
        <f t="shared" si="2"/>
        <v>11.048999999999999</v>
      </c>
      <c r="AD45" s="10">
        <f t="shared" si="3"/>
        <v>0</v>
      </c>
      <c r="AE45" s="9">
        <f t="shared" si="4"/>
        <v>1.34874E-2</v>
      </c>
      <c r="AF45" s="9">
        <f t="shared" si="5"/>
        <v>9.1897199999999998E-2</v>
      </c>
      <c r="AG45" s="9">
        <f t="shared" si="6"/>
        <v>12.06</v>
      </c>
      <c r="AH45" s="11">
        <f t="shared" si="11"/>
        <v>0.2286</v>
      </c>
      <c r="AI45" s="11">
        <f t="shared" si="11"/>
        <v>7.6123799999999999</v>
      </c>
      <c r="AJ45" s="11">
        <f t="shared" si="11"/>
        <v>11.048999999999999</v>
      </c>
      <c r="AK45" s="11">
        <f t="shared" si="11"/>
        <v>1.34874</v>
      </c>
      <c r="AL45" s="11">
        <f t="shared" si="11"/>
        <v>0</v>
      </c>
      <c r="AM45" s="2"/>
      <c r="AN45" s="2"/>
      <c r="AO45" s="2"/>
    </row>
    <row r="46" spans="1:41" x14ac:dyDescent="0.2">
      <c r="A46" s="2" t="s">
        <v>163</v>
      </c>
      <c r="B46" s="2" t="s">
        <v>93</v>
      </c>
      <c r="C46" s="2" t="s">
        <v>48</v>
      </c>
      <c r="D46" s="2"/>
      <c r="E46" s="2" t="s">
        <v>50</v>
      </c>
      <c r="F46" s="2" t="s">
        <v>164</v>
      </c>
      <c r="G46" s="2" t="s">
        <v>95</v>
      </c>
      <c r="H46" s="2">
        <v>1.75</v>
      </c>
      <c r="I46" s="2"/>
      <c r="J46" s="2">
        <v>2.0499999999999998</v>
      </c>
      <c r="K46" s="2">
        <v>8.5</v>
      </c>
      <c r="L46" s="2">
        <v>1.71</v>
      </c>
      <c r="M46" s="2">
        <v>0.24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9">
        <f t="shared" si="0"/>
        <v>0</v>
      </c>
      <c r="AB46" s="9">
        <f t="shared" si="1"/>
        <v>3.5874999999999997E-2</v>
      </c>
      <c r="AC46" s="10">
        <f t="shared" si="2"/>
        <v>14.875</v>
      </c>
      <c r="AD46" s="10">
        <f t="shared" si="3"/>
        <v>0.42</v>
      </c>
      <c r="AE46" s="9">
        <f t="shared" si="4"/>
        <v>2.9924999999999997E-2</v>
      </c>
      <c r="AF46" s="9">
        <f t="shared" si="5"/>
        <v>6.5799999999999997E-2</v>
      </c>
      <c r="AG46" s="9">
        <f t="shared" si="6"/>
        <v>3.76</v>
      </c>
      <c r="AH46" s="11">
        <f t="shared" si="11"/>
        <v>0</v>
      </c>
      <c r="AI46" s="11">
        <f t="shared" si="11"/>
        <v>3.5874999999999995</v>
      </c>
      <c r="AJ46" s="11">
        <f t="shared" si="11"/>
        <v>14.875</v>
      </c>
      <c r="AK46" s="11">
        <f t="shared" si="11"/>
        <v>2.9924999999999997</v>
      </c>
      <c r="AL46" s="11">
        <f t="shared" si="11"/>
        <v>0.42</v>
      </c>
      <c r="AM46" s="2"/>
      <c r="AN46" s="2"/>
      <c r="AO46" s="2"/>
    </row>
    <row r="47" spans="1:41" x14ac:dyDescent="0.2">
      <c r="A47" s="2" t="s">
        <v>165</v>
      </c>
      <c r="B47" s="2" t="s">
        <v>93</v>
      </c>
      <c r="C47" s="2" t="s">
        <v>166</v>
      </c>
      <c r="D47" s="2" t="s">
        <v>167</v>
      </c>
      <c r="E47" s="2" t="s">
        <v>50</v>
      </c>
      <c r="F47" s="2" t="s">
        <v>168</v>
      </c>
      <c r="G47" s="2" t="s">
        <v>101</v>
      </c>
      <c r="H47" s="2">
        <v>19.93</v>
      </c>
      <c r="I47" s="2">
        <v>0.2</v>
      </c>
      <c r="J47" s="2">
        <v>0.5</v>
      </c>
      <c r="K47" s="2">
        <v>16.399999999999999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9">
        <f t="shared" si="0"/>
        <v>3.986E-2</v>
      </c>
      <c r="AB47" s="9">
        <f t="shared" si="1"/>
        <v>9.9650000000000002E-2</v>
      </c>
      <c r="AC47" s="10">
        <f t="shared" si="2"/>
        <v>326.85199999999998</v>
      </c>
      <c r="AD47" s="10">
        <f t="shared" si="3"/>
        <v>0</v>
      </c>
      <c r="AE47" s="9">
        <f t="shared" si="4"/>
        <v>0</v>
      </c>
      <c r="AF47" s="9">
        <f t="shared" si="5"/>
        <v>0.13951</v>
      </c>
      <c r="AG47" s="9">
        <f t="shared" si="6"/>
        <v>0.7</v>
      </c>
      <c r="AH47" s="11">
        <f t="shared" si="11"/>
        <v>3.9860000000000002</v>
      </c>
      <c r="AI47" s="11">
        <f t="shared" si="11"/>
        <v>9.9649999999999999</v>
      </c>
      <c r="AJ47" s="11">
        <f t="shared" si="11"/>
        <v>326.85199999999998</v>
      </c>
      <c r="AK47" s="11">
        <f t="shared" si="11"/>
        <v>0</v>
      </c>
      <c r="AL47" s="11">
        <f t="shared" si="11"/>
        <v>0</v>
      </c>
      <c r="AM47" s="2"/>
      <c r="AN47" s="2"/>
      <c r="AO47" s="2"/>
    </row>
    <row r="48" spans="1:41" x14ac:dyDescent="0.2">
      <c r="A48" s="2" t="s">
        <v>169</v>
      </c>
      <c r="B48" s="2" t="s">
        <v>93</v>
      </c>
      <c r="C48" s="2" t="s">
        <v>38</v>
      </c>
      <c r="D48" s="2" t="s">
        <v>62</v>
      </c>
      <c r="E48" s="2" t="s">
        <v>50</v>
      </c>
      <c r="F48" s="2" t="s">
        <v>152</v>
      </c>
      <c r="G48" s="2" t="s">
        <v>106</v>
      </c>
      <c r="H48" s="2">
        <v>63</v>
      </c>
      <c r="I48" s="13">
        <v>1.8079365079365077</v>
      </c>
      <c r="J48" s="13">
        <v>12.095238095238095</v>
      </c>
      <c r="K48" s="14">
        <v>31.523809523809526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9">
        <f t="shared" si="0"/>
        <v>1.139</v>
      </c>
      <c r="AB48" s="9">
        <f t="shared" si="1"/>
        <v>7.62</v>
      </c>
      <c r="AC48" s="10">
        <f t="shared" si="2"/>
        <v>1986</v>
      </c>
      <c r="AD48" s="10">
        <f t="shared" si="3"/>
        <v>0</v>
      </c>
      <c r="AE48" s="9">
        <f t="shared" si="4"/>
        <v>0</v>
      </c>
      <c r="AF48" s="9">
        <f t="shared" si="5"/>
        <v>8.7590000000000003</v>
      </c>
      <c r="AG48" s="9">
        <f t="shared" si="6"/>
        <v>13.903174603174602</v>
      </c>
      <c r="AH48" s="11">
        <f t="shared" si="11"/>
        <v>113.89999999999999</v>
      </c>
      <c r="AI48" s="11">
        <f t="shared" si="11"/>
        <v>762</v>
      </c>
      <c r="AJ48" s="11">
        <f t="shared" si="11"/>
        <v>1986</v>
      </c>
      <c r="AK48" s="11">
        <f t="shared" si="11"/>
        <v>0</v>
      </c>
      <c r="AL48" s="11">
        <f t="shared" si="11"/>
        <v>0</v>
      </c>
      <c r="AM48" s="2"/>
      <c r="AN48" s="2"/>
      <c r="AO48" s="2"/>
    </row>
    <row r="49" spans="1:41" x14ac:dyDescent="0.2">
      <c r="A49" s="2" t="s">
        <v>170</v>
      </c>
      <c r="B49" s="2" t="s">
        <v>93</v>
      </c>
      <c r="C49" s="2" t="s">
        <v>48</v>
      </c>
      <c r="D49" s="2"/>
      <c r="E49" s="2" t="s">
        <v>50</v>
      </c>
      <c r="F49" s="2" t="s">
        <v>171</v>
      </c>
      <c r="G49" s="2" t="s">
        <v>104</v>
      </c>
      <c r="H49" s="2">
        <v>3.4</v>
      </c>
      <c r="I49" s="9">
        <v>0.64700000000000002</v>
      </c>
      <c r="J49" s="9">
        <v>1.6970000000000001</v>
      </c>
      <c r="K49" s="2">
        <v>14</v>
      </c>
      <c r="L49" s="9">
        <v>0.65600000000000003</v>
      </c>
      <c r="M49" s="2">
        <v>2.1999999999999999E-2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9">
        <f t="shared" si="0"/>
        <v>2.1998000000000004E-2</v>
      </c>
      <c r="AB49" s="9">
        <f t="shared" si="1"/>
        <v>5.7697999999999999E-2</v>
      </c>
      <c r="AC49" s="10">
        <f t="shared" si="2"/>
        <v>47.6</v>
      </c>
      <c r="AD49" s="10">
        <f t="shared" si="3"/>
        <v>7.4799999999999991E-2</v>
      </c>
      <c r="AE49" s="9">
        <f t="shared" si="4"/>
        <v>2.2304000000000001E-2</v>
      </c>
      <c r="AF49" s="9">
        <f t="shared" si="5"/>
        <v>0.10200000000000001</v>
      </c>
      <c r="AG49" s="9">
        <f t="shared" si="6"/>
        <v>3.0000000000000004</v>
      </c>
      <c r="AH49" s="11">
        <f t="shared" si="11"/>
        <v>2.1998000000000002</v>
      </c>
      <c r="AI49" s="11">
        <f t="shared" si="11"/>
        <v>5.7698</v>
      </c>
      <c r="AJ49" s="11">
        <f t="shared" si="11"/>
        <v>47.6</v>
      </c>
      <c r="AK49" s="11">
        <f t="shared" si="11"/>
        <v>2.2303999999999999</v>
      </c>
      <c r="AL49" s="11">
        <f t="shared" si="11"/>
        <v>7.4799999999999991E-2</v>
      </c>
      <c r="AM49" s="2"/>
      <c r="AN49" s="2"/>
      <c r="AO49" s="2"/>
    </row>
    <row r="50" spans="1:41" x14ac:dyDescent="0.2">
      <c r="A50" s="2" t="s">
        <v>172</v>
      </c>
      <c r="B50" s="2" t="s">
        <v>93</v>
      </c>
      <c r="C50" s="2" t="s">
        <v>38</v>
      </c>
      <c r="D50" s="2"/>
      <c r="E50" s="2" t="s">
        <v>50</v>
      </c>
      <c r="F50" s="2" t="s">
        <v>41</v>
      </c>
      <c r="G50" s="2" t="s">
        <v>173</v>
      </c>
      <c r="H50" s="2">
        <v>17</v>
      </c>
      <c r="I50" s="2">
        <v>1.2</v>
      </c>
      <c r="J50" s="2"/>
      <c r="K50" s="2">
        <v>10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9">
        <f t="shared" si="0"/>
        <v>0.20399999999999999</v>
      </c>
      <c r="AB50" s="9">
        <f t="shared" si="1"/>
        <v>0</v>
      </c>
      <c r="AC50" s="10">
        <f t="shared" si="2"/>
        <v>170</v>
      </c>
      <c r="AD50" s="10">
        <f t="shared" si="3"/>
        <v>0</v>
      </c>
      <c r="AE50" s="9">
        <f t="shared" si="4"/>
        <v>0</v>
      </c>
      <c r="AF50" s="9">
        <f t="shared" si="5"/>
        <v>0.20399999999999999</v>
      </c>
      <c r="AG50" s="9">
        <f t="shared" si="6"/>
        <v>1.2</v>
      </c>
      <c r="AH50" s="11">
        <f t="shared" ref="AH50:AL65" si="12">$H50*I50</f>
        <v>20.399999999999999</v>
      </c>
      <c r="AI50" s="11">
        <f t="shared" si="12"/>
        <v>0</v>
      </c>
      <c r="AJ50" s="11">
        <f t="shared" si="12"/>
        <v>170</v>
      </c>
      <c r="AK50" s="11">
        <f t="shared" si="12"/>
        <v>0</v>
      </c>
      <c r="AL50" s="11">
        <f t="shared" si="12"/>
        <v>0</v>
      </c>
      <c r="AM50" s="2"/>
      <c r="AN50" s="2"/>
      <c r="AO50" s="2"/>
    </row>
    <row r="51" spans="1:41" x14ac:dyDescent="0.2">
      <c r="A51" s="2" t="s">
        <v>174</v>
      </c>
      <c r="B51" s="2" t="s">
        <v>93</v>
      </c>
      <c r="C51" s="2" t="s">
        <v>48</v>
      </c>
      <c r="D51" s="2"/>
      <c r="E51" s="2" t="s">
        <v>50</v>
      </c>
      <c r="F51" s="2" t="s">
        <v>175</v>
      </c>
      <c r="G51" s="2" t="s">
        <v>104</v>
      </c>
      <c r="H51" s="2">
        <v>4.7</v>
      </c>
      <c r="I51" s="2">
        <v>0.2</v>
      </c>
      <c r="J51" s="2">
        <v>4.5</v>
      </c>
      <c r="K51" s="2">
        <v>19</v>
      </c>
      <c r="L51" s="2">
        <v>0.33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9">
        <f t="shared" si="0"/>
        <v>9.4000000000000004E-3</v>
      </c>
      <c r="AB51" s="9">
        <f t="shared" si="1"/>
        <v>0.21150000000000002</v>
      </c>
      <c r="AC51" s="10">
        <f t="shared" si="2"/>
        <v>89.3</v>
      </c>
      <c r="AD51" s="10">
        <f t="shared" si="3"/>
        <v>0</v>
      </c>
      <c r="AE51" s="9">
        <f t="shared" si="4"/>
        <v>1.5510000000000001E-2</v>
      </c>
      <c r="AF51" s="9">
        <f t="shared" si="5"/>
        <v>0.23641000000000001</v>
      </c>
      <c r="AG51" s="9">
        <f t="shared" si="6"/>
        <v>5.03</v>
      </c>
      <c r="AH51" s="11">
        <f t="shared" si="12"/>
        <v>0.94000000000000006</v>
      </c>
      <c r="AI51" s="11">
        <f t="shared" si="12"/>
        <v>21.150000000000002</v>
      </c>
      <c r="AJ51" s="11">
        <f t="shared" si="12"/>
        <v>89.3</v>
      </c>
      <c r="AK51" s="11">
        <f t="shared" si="12"/>
        <v>1.5510000000000002</v>
      </c>
      <c r="AL51" s="11">
        <f t="shared" si="12"/>
        <v>0</v>
      </c>
      <c r="AM51" s="2"/>
      <c r="AN51" s="2"/>
      <c r="AO51" s="2"/>
    </row>
    <row r="52" spans="1:41" x14ac:dyDescent="0.2">
      <c r="A52" s="2" t="s">
        <v>176</v>
      </c>
      <c r="B52" s="2" t="s">
        <v>93</v>
      </c>
      <c r="C52" s="2" t="s">
        <v>48</v>
      </c>
      <c r="D52" s="2"/>
      <c r="E52" s="2" t="s">
        <v>50</v>
      </c>
      <c r="F52" s="2" t="s">
        <v>129</v>
      </c>
      <c r="G52" s="2" t="s">
        <v>177</v>
      </c>
      <c r="H52" s="2">
        <v>17.399999999999999</v>
      </c>
      <c r="I52" s="13">
        <v>4.9344827586206899</v>
      </c>
      <c r="J52" s="13">
        <v>7.7603448275862075</v>
      </c>
      <c r="K52" s="13">
        <v>73.580459770114956</v>
      </c>
      <c r="L52" s="16">
        <v>0.18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9">
        <f t="shared" si="0"/>
        <v>0.85860000000000003</v>
      </c>
      <c r="AB52" s="9">
        <f t="shared" si="1"/>
        <v>1.3503000000000001</v>
      </c>
      <c r="AC52" s="10">
        <f t="shared" si="2"/>
        <v>1280.3000000000002</v>
      </c>
      <c r="AD52" s="10">
        <f t="shared" si="3"/>
        <v>0</v>
      </c>
      <c r="AE52" s="9">
        <f t="shared" si="4"/>
        <v>3.1319999999999994E-2</v>
      </c>
      <c r="AF52" s="9">
        <f t="shared" si="5"/>
        <v>2.2402199999999999</v>
      </c>
      <c r="AG52" s="9">
        <f t="shared" si="6"/>
        <v>12.874827586206898</v>
      </c>
      <c r="AH52" s="11">
        <f t="shared" si="12"/>
        <v>85.86</v>
      </c>
      <c r="AI52" s="11">
        <f t="shared" si="12"/>
        <v>135.03</v>
      </c>
      <c r="AJ52" s="11">
        <f t="shared" si="12"/>
        <v>1280.3000000000002</v>
      </c>
      <c r="AK52" s="11">
        <f t="shared" si="12"/>
        <v>3.1319999999999997</v>
      </c>
      <c r="AL52" s="11">
        <f t="shared" si="12"/>
        <v>0</v>
      </c>
      <c r="AM52" s="2"/>
      <c r="AN52" s="2"/>
      <c r="AO52" s="2"/>
    </row>
    <row r="53" spans="1:41" x14ac:dyDescent="0.2">
      <c r="A53" s="2" t="s">
        <v>178</v>
      </c>
      <c r="B53" s="2" t="s">
        <v>93</v>
      </c>
      <c r="C53" s="2" t="s">
        <v>157</v>
      </c>
      <c r="D53" s="2"/>
      <c r="E53" s="7" t="s">
        <v>40</v>
      </c>
      <c r="F53" s="2" t="s">
        <v>144</v>
      </c>
      <c r="G53" s="2" t="s">
        <v>71</v>
      </c>
      <c r="H53" s="2">
        <v>7.4200000000000004E-3</v>
      </c>
      <c r="I53" s="2">
        <v>6.7</v>
      </c>
      <c r="J53" s="2">
        <v>3.7</v>
      </c>
      <c r="K53" s="2">
        <v>343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9">
        <f t="shared" si="0"/>
        <v>4.9713999999999997E-4</v>
      </c>
      <c r="AB53" s="9">
        <f t="shared" si="1"/>
        <v>2.7454000000000004E-4</v>
      </c>
      <c r="AC53" s="10">
        <f t="shared" si="2"/>
        <v>2.5450600000000003</v>
      </c>
      <c r="AD53" s="10">
        <f t="shared" si="3"/>
        <v>0</v>
      </c>
      <c r="AE53" s="9">
        <f t="shared" si="4"/>
        <v>0</v>
      </c>
      <c r="AF53" s="9">
        <f t="shared" si="5"/>
        <v>7.7168000000000007E-4</v>
      </c>
      <c r="AG53" s="9">
        <f t="shared" si="6"/>
        <v>10.4</v>
      </c>
      <c r="AH53" s="11">
        <f t="shared" si="12"/>
        <v>4.9714000000000001E-2</v>
      </c>
      <c r="AI53" s="11">
        <f t="shared" si="12"/>
        <v>2.7454000000000003E-2</v>
      </c>
      <c r="AJ53" s="11">
        <f t="shared" si="12"/>
        <v>2.5450600000000003</v>
      </c>
      <c r="AK53" s="11">
        <f t="shared" si="12"/>
        <v>0</v>
      </c>
      <c r="AL53" s="11">
        <f t="shared" si="12"/>
        <v>0</v>
      </c>
      <c r="AM53" s="2"/>
      <c r="AN53" s="2"/>
      <c r="AO53" s="2"/>
    </row>
    <row r="54" spans="1:41" x14ac:dyDescent="0.2">
      <c r="A54" s="2" t="s">
        <v>179</v>
      </c>
      <c r="B54" s="2" t="s">
        <v>93</v>
      </c>
      <c r="C54" s="2" t="s">
        <v>38</v>
      </c>
      <c r="D54" s="2" t="s">
        <v>62</v>
      </c>
      <c r="E54" s="2" t="s">
        <v>50</v>
      </c>
      <c r="F54" s="2" t="s">
        <v>180</v>
      </c>
      <c r="G54" s="2" t="s">
        <v>106</v>
      </c>
      <c r="H54" s="2">
        <v>11.868</v>
      </c>
      <c r="I54" s="9">
        <v>2</v>
      </c>
      <c r="J54" s="2">
        <v>3.24</v>
      </c>
      <c r="K54" s="2">
        <v>11.14</v>
      </c>
      <c r="L54" s="2">
        <v>0.1</v>
      </c>
      <c r="M54" s="2">
        <v>0.3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9">
        <f t="shared" si="0"/>
        <v>0.23736000000000002</v>
      </c>
      <c r="AB54" s="9">
        <f t="shared" si="1"/>
        <v>0.38452320000000001</v>
      </c>
      <c r="AC54" s="10">
        <f t="shared" si="2"/>
        <v>132.20952</v>
      </c>
      <c r="AD54" s="10">
        <f t="shared" si="3"/>
        <v>3.5604</v>
      </c>
      <c r="AE54" s="9">
        <f t="shared" si="4"/>
        <v>1.1868E-2</v>
      </c>
      <c r="AF54" s="9">
        <f t="shared" si="5"/>
        <v>0.63375120000000007</v>
      </c>
      <c r="AG54" s="9">
        <f t="shared" si="6"/>
        <v>5.34</v>
      </c>
      <c r="AH54" s="11">
        <f t="shared" si="12"/>
        <v>23.736000000000001</v>
      </c>
      <c r="AI54" s="11">
        <f t="shared" si="12"/>
        <v>38.45232</v>
      </c>
      <c r="AJ54" s="11">
        <f t="shared" si="12"/>
        <v>132.20952</v>
      </c>
      <c r="AK54" s="11">
        <f t="shared" si="12"/>
        <v>1.1868000000000001</v>
      </c>
      <c r="AL54" s="11">
        <f t="shared" si="12"/>
        <v>3.5604</v>
      </c>
      <c r="AM54" s="2"/>
      <c r="AN54" s="2"/>
      <c r="AO54" s="2"/>
    </row>
    <row r="55" spans="1:41" x14ac:dyDescent="0.2">
      <c r="A55" s="2" t="s">
        <v>181</v>
      </c>
      <c r="B55" s="2" t="s">
        <v>93</v>
      </c>
      <c r="C55" s="2" t="s">
        <v>157</v>
      </c>
      <c r="D55" s="2"/>
      <c r="E55" s="2" t="s">
        <v>50</v>
      </c>
      <c r="F55" s="2" t="s">
        <v>41</v>
      </c>
      <c r="G55" s="2" t="s">
        <v>159</v>
      </c>
      <c r="H55" s="2">
        <v>0.56200000000000006</v>
      </c>
      <c r="I55" s="2"/>
      <c r="J55" s="2">
        <v>1.4</v>
      </c>
      <c r="K55" s="2">
        <v>36.4</v>
      </c>
      <c r="L55" s="2"/>
      <c r="M55" s="2"/>
      <c r="N55" s="2"/>
      <c r="O55" s="2"/>
      <c r="P55" s="2"/>
      <c r="Q55" s="2">
        <v>0.5</v>
      </c>
      <c r="R55" s="2"/>
      <c r="S55" s="2"/>
      <c r="T55" s="2"/>
      <c r="U55" s="2"/>
      <c r="V55" s="2"/>
      <c r="W55" s="2"/>
      <c r="X55" s="2"/>
      <c r="Y55" s="2"/>
      <c r="Z55" s="2"/>
      <c r="AA55" s="9">
        <f t="shared" si="0"/>
        <v>0</v>
      </c>
      <c r="AB55" s="9">
        <f t="shared" si="1"/>
        <v>7.868E-3</v>
      </c>
      <c r="AC55" s="10">
        <f t="shared" si="2"/>
        <v>20.456800000000001</v>
      </c>
      <c r="AD55" s="10">
        <f t="shared" si="3"/>
        <v>0</v>
      </c>
      <c r="AE55" s="9">
        <f t="shared" si="4"/>
        <v>0</v>
      </c>
      <c r="AF55" s="9">
        <f t="shared" si="5"/>
        <v>7.868E-3</v>
      </c>
      <c r="AG55" s="9">
        <f t="shared" si="6"/>
        <v>1.4</v>
      </c>
      <c r="AH55" s="11">
        <f t="shared" si="12"/>
        <v>0</v>
      </c>
      <c r="AI55" s="11">
        <f t="shared" si="12"/>
        <v>0.78680000000000005</v>
      </c>
      <c r="AJ55" s="11">
        <f t="shared" si="12"/>
        <v>20.456800000000001</v>
      </c>
      <c r="AK55" s="11">
        <f t="shared" si="12"/>
        <v>0</v>
      </c>
      <c r="AL55" s="11">
        <f t="shared" si="12"/>
        <v>0</v>
      </c>
      <c r="AM55" s="2"/>
      <c r="AN55" s="2"/>
      <c r="AO55" s="2"/>
    </row>
    <row r="56" spans="1:41" x14ac:dyDescent="0.2">
      <c r="A56" s="2" t="s">
        <v>182</v>
      </c>
      <c r="B56" s="2" t="s">
        <v>93</v>
      </c>
      <c r="C56" s="2" t="s">
        <v>38</v>
      </c>
      <c r="D56" s="2" t="s">
        <v>39</v>
      </c>
      <c r="E56" s="2" t="s">
        <v>50</v>
      </c>
      <c r="F56" s="2" t="s">
        <v>126</v>
      </c>
      <c r="G56" s="2" t="s">
        <v>95</v>
      </c>
      <c r="H56" s="2">
        <v>0.69399999999999995</v>
      </c>
      <c r="I56" s="2">
        <v>1.4</v>
      </c>
      <c r="J56" s="2">
        <v>30.2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9">
        <f t="shared" si="0"/>
        <v>9.7159999999999989E-3</v>
      </c>
      <c r="AB56" s="9">
        <f t="shared" si="1"/>
        <v>0.20958799999999997</v>
      </c>
      <c r="AC56" s="10">
        <f t="shared" si="2"/>
        <v>0</v>
      </c>
      <c r="AD56" s="10">
        <f t="shared" si="3"/>
        <v>0</v>
      </c>
      <c r="AE56" s="9">
        <f t="shared" si="4"/>
        <v>0</v>
      </c>
      <c r="AF56" s="9">
        <f t="shared" si="5"/>
        <v>0.21930399999999997</v>
      </c>
      <c r="AG56" s="9">
        <f t="shared" si="6"/>
        <v>31.599999999999998</v>
      </c>
      <c r="AH56" s="11">
        <f t="shared" si="12"/>
        <v>0.97159999999999991</v>
      </c>
      <c r="AI56" s="11">
        <f t="shared" si="12"/>
        <v>20.958799999999997</v>
      </c>
      <c r="AJ56" s="11">
        <f t="shared" si="12"/>
        <v>0</v>
      </c>
      <c r="AK56" s="11">
        <f t="shared" si="12"/>
        <v>0</v>
      </c>
      <c r="AL56" s="11">
        <f t="shared" si="12"/>
        <v>0</v>
      </c>
      <c r="AM56" s="2"/>
      <c r="AN56" s="2"/>
      <c r="AO56" s="2"/>
    </row>
    <row r="57" spans="1:41" x14ac:dyDescent="0.2">
      <c r="A57" s="2" t="s">
        <v>183</v>
      </c>
      <c r="B57" s="2" t="s">
        <v>93</v>
      </c>
      <c r="C57" s="2" t="s">
        <v>48</v>
      </c>
      <c r="D57" s="2"/>
      <c r="E57" s="2" t="s">
        <v>50</v>
      </c>
      <c r="F57" s="2" t="s">
        <v>184</v>
      </c>
      <c r="G57" s="2" t="s">
        <v>106</v>
      </c>
      <c r="H57" s="2">
        <v>0.42499999999999999</v>
      </c>
      <c r="I57" s="13">
        <v>6.2588235294117638</v>
      </c>
      <c r="J57" s="13">
        <v>11.352941176470589</v>
      </c>
      <c r="K57" s="14">
        <v>112.29411764705883</v>
      </c>
      <c r="L57" s="13">
        <v>0.4882352941176471</v>
      </c>
      <c r="M57" s="13">
        <v>2.2705882352941176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9">
        <f t="shared" si="0"/>
        <v>2.6599999999999999E-2</v>
      </c>
      <c r="AB57" s="9">
        <f t="shared" si="1"/>
        <v>4.8250000000000001E-2</v>
      </c>
      <c r="AC57" s="10">
        <f t="shared" si="2"/>
        <v>47.725000000000001</v>
      </c>
      <c r="AD57" s="10">
        <f t="shared" si="3"/>
        <v>0.96499999999999997</v>
      </c>
      <c r="AE57" s="9">
        <f t="shared" si="4"/>
        <v>2.075E-3</v>
      </c>
      <c r="AF57" s="9">
        <f t="shared" si="5"/>
        <v>7.6924999999999993E-2</v>
      </c>
      <c r="AG57" s="9">
        <f t="shared" si="6"/>
        <v>18.099999999999998</v>
      </c>
      <c r="AH57" s="11">
        <f t="shared" si="12"/>
        <v>2.6599999999999997</v>
      </c>
      <c r="AI57" s="11">
        <f t="shared" si="12"/>
        <v>4.8250000000000002</v>
      </c>
      <c r="AJ57" s="11">
        <f t="shared" si="12"/>
        <v>47.725000000000001</v>
      </c>
      <c r="AK57" s="11">
        <f t="shared" si="12"/>
        <v>0.20750000000000002</v>
      </c>
      <c r="AL57" s="11">
        <f t="shared" si="12"/>
        <v>0.96499999999999997</v>
      </c>
      <c r="AM57" s="2"/>
      <c r="AN57" s="2"/>
      <c r="AO57" s="2"/>
    </row>
    <row r="58" spans="1:41" x14ac:dyDescent="0.2">
      <c r="A58" s="2" t="s">
        <v>185</v>
      </c>
      <c r="B58" s="2" t="s">
        <v>93</v>
      </c>
      <c r="C58" s="2" t="s">
        <v>48</v>
      </c>
      <c r="D58" s="2"/>
      <c r="E58" s="2" t="s">
        <v>50</v>
      </c>
      <c r="F58" s="2" t="s">
        <v>152</v>
      </c>
      <c r="G58" s="2" t="s">
        <v>106</v>
      </c>
      <c r="H58" s="13">
        <v>26.1</v>
      </c>
      <c r="I58" s="13">
        <v>0.28505747126436776</v>
      </c>
      <c r="J58" s="13">
        <v>3.8551724137931029</v>
      </c>
      <c r="K58" s="14">
        <v>35.222222222222221</v>
      </c>
      <c r="L58" s="13">
        <v>2.2329501915708816</v>
      </c>
      <c r="M58" s="13">
        <v>0.66091954022988486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9">
        <f t="shared" si="0"/>
        <v>7.439999999999998E-2</v>
      </c>
      <c r="AB58" s="9">
        <f t="shared" si="1"/>
        <v>1.0062</v>
      </c>
      <c r="AC58" s="10">
        <f t="shared" si="2"/>
        <v>919.30000000000007</v>
      </c>
      <c r="AD58" s="10">
        <f t="shared" si="3"/>
        <v>17.249999999999996</v>
      </c>
      <c r="AE58" s="9">
        <f t="shared" si="4"/>
        <v>0.58280000000000021</v>
      </c>
      <c r="AF58" s="9">
        <f t="shared" si="5"/>
        <v>1.6634000000000002</v>
      </c>
      <c r="AG58" s="9">
        <f t="shared" si="6"/>
        <v>6.3731800766283522</v>
      </c>
      <c r="AH58" s="11">
        <f t="shared" si="12"/>
        <v>7.4399999999999986</v>
      </c>
      <c r="AI58" s="11">
        <f t="shared" si="12"/>
        <v>100.61999999999999</v>
      </c>
      <c r="AJ58" s="11">
        <f t="shared" si="12"/>
        <v>919.30000000000007</v>
      </c>
      <c r="AK58" s="11">
        <f t="shared" si="12"/>
        <v>58.280000000000015</v>
      </c>
      <c r="AL58" s="11">
        <f t="shared" si="12"/>
        <v>17.249999999999996</v>
      </c>
      <c r="AM58" s="2"/>
      <c r="AN58" s="2"/>
      <c r="AO58" s="2"/>
    </row>
    <row r="59" spans="1:41" x14ac:dyDescent="0.2">
      <c r="A59" s="2" t="s">
        <v>186</v>
      </c>
      <c r="B59" s="2" t="s">
        <v>93</v>
      </c>
      <c r="C59" s="2" t="s">
        <v>157</v>
      </c>
      <c r="D59" s="2" t="s">
        <v>187</v>
      </c>
      <c r="E59" s="2" t="s">
        <v>50</v>
      </c>
      <c r="F59" s="2" t="s">
        <v>41</v>
      </c>
      <c r="G59" s="2" t="s">
        <v>104</v>
      </c>
      <c r="H59" s="2">
        <v>0.45</v>
      </c>
      <c r="I59" s="2">
        <v>1.5</v>
      </c>
      <c r="J59" s="2">
        <v>1.25</v>
      </c>
      <c r="K59" s="2">
        <v>100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9">
        <f t="shared" si="0"/>
        <v>6.7500000000000008E-3</v>
      </c>
      <c r="AB59" s="9">
        <f t="shared" si="1"/>
        <v>5.6249999999999998E-3</v>
      </c>
      <c r="AC59" s="10">
        <f t="shared" si="2"/>
        <v>45</v>
      </c>
      <c r="AD59" s="10">
        <f t="shared" si="3"/>
        <v>0</v>
      </c>
      <c r="AE59" s="9">
        <f t="shared" si="4"/>
        <v>0</v>
      </c>
      <c r="AF59" s="9">
        <f t="shared" si="5"/>
        <v>1.2375000000000001E-2</v>
      </c>
      <c r="AG59" s="9">
        <f t="shared" si="6"/>
        <v>2.75</v>
      </c>
      <c r="AH59" s="11">
        <f t="shared" si="12"/>
        <v>0.67500000000000004</v>
      </c>
      <c r="AI59" s="11">
        <f t="shared" si="12"/>
        <v>0.5625</v>
      </c>
      <c r="AJ59" s="11">
        <f t="shared" si="12"/>
        <v>45</v>
      </c>
      <c r="AK59" s="11">
        <f t="shared" si="12"/>
        <v>0</v>
      </c>
      <c r="AL59" s="11">
        <f t="shared" si="12"/>
        <v>0</v>
      </c>
      <c r="AM59" s="2"/>
      <c r="AN59" s="2"/>
      <c r="AO59" s="2"/>
    </row>
    <row r="60" spans="1:41" x14ac:dyDescent="0.2">
      <c r="A60" s="2" t="s">
        <v>188</v>
      </c>
      <c r="B60" s="2" t="s">
        <v>93</v>
      </c>
      <c r="C60" s="2" t="s">
        <v>132</v>
      </c>
      <c r="D60" s="2"/>
      <c r="E60" s="2" t="s">
        <v>50</v>
      </c>
      <c r="F60" s="2" t="s">
        <v>189</v>
      </c>
      <c r="G60" s="2" t="s">
        <v>104</v>
      </c>
      <c r="H60" s="2">
        <v>6.7000000000000004E-2</v>
      </c>
      <c r="I60" s="2">
        <v>0.73</v>
      </c>
      <c r="J60" s="2">
        <v>0.25</v>
      </c>
      <c r="K60" s="2">
        <v>16</v>
      </c>
      <c r="L60" s="2"/>
      <c r="M60" s="2">
        <v>4.97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9">
        <f t="shared" si="0"/>
        <v>4.8910000000000002E-4</v>
      </c>
      <c r="AB60" s="9">
        <f t="shared" si="1"/>
        <v>1.6750000000000001E-4</v>
      </c>
      <c r="AC60" s="10">
        <f t="shared" si="2"/>
        <v>1.0720000000000001</v>
      </c>
      <c r="AD60" s="10">
        <f t="shared" si="3"/>
        <v>0.33299000000000001</v>
      </c>
      <c r="AE60" s="9">
        <f t="shared" si="4"/>
        <v>0</v>
      </c>
      <c r="AF60" s="9">
        <f t="shared" si="5"/>
        <v>6.5660000000000002E-4</v>
      </c>
      <c r="AG60" s="9">
        <f t="shared" si="6"/>
        <v>0.98</v>
      </c>
      <c r="AH60" s="11">
        <f t="shared" si="12"/>
        <v>4.8910000000000002E-2</v>
      </c>
      <c r="AI60" s="11">
        <f t="shared" si="12"/>
        <v>1.6750000000000001E-2</v>
      </c>
      <c r="AJ60" s="11">
        <f t="shared" si="12"/>
        <v>1.0720000000000001</v>
      </c>
      <c r="AK60" s="11">
        <f t="shared" si="12"/>
        <v>0</v>
      </c>
      <c r="AL60" s="11">
        <f t="shared" si="12"/>
        <v>0.33299000000000001</v>
      </c>
      <c r="AM60" s="2"/>
      <c r="AN60" s="2"/>
      <c r="AO60" s="2"/>
    </row>
    <row r="61" spans="1:41" x14ac:dyDescent="0.2">
      <c r="A61" s="2" t="s">
        <v>190</v>
      </c>
      <c r="B61" s="2" t="s">
        <v>93</v>
      </c>
      <c r="C61" s="2" t="s">
        <v>48</v>
      </c>
      <c r="D61" s="2"/>
      <c r="E61" s="2" t="s">
        <v>50</v>
      </c>
      <c r="F61" s="2" t="s">
        <v>191</v>
      </c>
      <c r="G61" s="2" t="s">
        <v>192</v>
      </c>
      <c r="H61" s="2">
        <v>0.2</v>
      </c>
      <c r="I61" s="2"/>
      <c r="J61" s="2">
        <v>5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9">
        <f t="shared" si="0"/>
        <v>0</v>
      </c>
      <c r="AB61" s="9">
        <f t="shared" si="1"/>
        <v>0.01</v>
      </c>
      <c r="AC61" s="10">
        <f t="shared" si="2"/>
        <v>0</v>
      </c>
      <c r="AD61" s="10">
        <f t="shared" si="3"/>
        <v>0</v>
      </c>
      <c r="AE61" s="9">
        <f t="shared" si="4"/>
        <v>0</v>
      </c>
      <c r="AF61" s="9">
        <f t="shared" si="5"/>
        <v>0.01</v>
      </c>
      <c r="AG61" s="9">
        <f t="shared" si="6"/>
        <v>5</v>
      </c>
      <c r="AH61" s="11">
        <f t="shared" si="12"/>
        <v>0</v>
      </c>
      <c r="AI61" s="11">
        <f t="shared" si="12"/>
        <v>1</v>
      </c>
      <c r="AJ61" s="11">
        <f t="shared" si="12"/>
        <v>0</v>
      </c>
      <c r="AK61" s="11">
        <f t="shared" si="12"/>
        <v>0</v>
      </c>
      <c r="AL61" s="11">
        <f t="shared" si="12"/>
        <v>0</v>
      </c>
      <c r="AM61" s="2"/>
      <c r="AN61" s="2"/>
      <c r="AO61" s="2"/>
    </row>
    <row r="62" spans="1:41" x14ac:dyDescent="0.2">
      <c r="A62" s="2" t="s">
        <v>193</v>
      </c>
      <c r="B62" s="2" t="s">
        <v>93</v>
      </c>
      <c r="C62" s="2" t="s">
        <v>48</v>
      </c>
      <c r="D62" s="2"/>
      <c r="E62" s="2" t="s">
        <v>50</v>
      </c>
      <c r="F62" s="2" t="s">
        <v>184</v>
      </c>
      <c r="G62" s="2" t="s">
        <v>106</v>
      </c>
      <c r="H62" s="2">
        <v>0.75</v>
      </c>
      <c r="I62" s="13">
        <v>4.1320000000000006</v>
      </c>
      <c r="J62" s="13">
        <v>6.9906666666666668</v>
      </c>
      <c r="K62" s="14">
        <v>104.06666666666668</v>
      </c>
      <c r="L62" s="13">
        <v>0.3706666666666667</v>
      </c>
      <c r="M62" s="13">
        <v>1.3293333333333335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9">
        <f t="shared" si="0"/>
        <v>3.0990000000000004E-2</v>
      </c>
      <c r="AB62" s="9">
        <f t="shared" si="1"/>
        <v>5.2430000000000004E-2</v>
      </c>
      <c r="AC62" s="10">
        <f t="shared" si="2"/>
        <v>78.050000000000011</v>
      </c>
      <c r="AD62" s="10">
        <f t="shared" si="3"/>
        <v>0.99700000000000011</v>
      </c>
      <c r="AE62" s="9">
        <f t="shared" si="4"/>
        <v>2.7800000000000004E-3</v>
      </c>
      <c r="AF62" s="9">
        <f t="shared" si="5"/>
        <v>8.6200000000000013E-2</v>
      </c>
      <c r="AG62" s="9">
        <f t="shared" si="6"/>
        <v>11.493333333333334</v>
      </c>
      <c r="AH62" s="11">
        <f t="shared" si="12"/>
        <v>3.0990000000000002</v>
      </c>
      <c r="AI62" s="11">
        <f t="shared" si="12"/>
        <v>5.2430000000000003</v>
      </c>
      <c r="AJ62" s="11">
        <f t="shared" si="12"/>
        <v>78.050000000000011</v>
      </c>
      <c r="AK62" s="11">
        <f t="shared" si="12"/>
        <v>0.27800000000000002</v>
      </c>
      <c r="AL62" s="11">
        <f t="shared" si="12"/>
        <v>0.99700000000000011</v>
      </c>
      <c r="AM62" s="2"/>
      <c r="AN62" s="2"/>
      <c r="AO62" s="2"/>
    </row>
    <row r="63" spans="1:41" x14ac:dyDescent="0.2">
      <c r="A63" s="2" t="s">
        <v>194</v>
      </c>
      <c r="B63" s="2" t="s">
        <v>93</v>
      </c>
      <c r="C63" s="16" t="s">
        <v>195</v>
      </c>
      <c r="D63" s="16" t="s">
        <v>195</v>
      </c>
      <c r="E63" s="16" t="s">
        <v>196</v>
      </c>
      <c r="F63" s="2" t="s">
        <v>197</v>
      </c>
      <c r="G63" s="2" t="s">
        <v>198</v>
      </c>
      <c r="H63" s="2">
        <v>9.5</v>
      </c>
      <c r="I63" s="13">
        <v>3</v>
      </c>
      <c r="J63" s="2">
        <v>2.5</v>
      </c>
      <c r="K63" s="2">
        <v>104</v>
      </c>
      <c r="L63" s="2">
        <v>0.2</v>
      </c>
      <c r="M63" s="2">
        <v>2.6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9">
        <f t="shared" si="0"/>
        <v>0.28499999999999998</v>
      </c>
      <c r="AB63" s="9">
        <f t="shared" si="1"/>
        <v>0.23749999999999999</v>
      </c>
      <c r="AC63" s="10">
        <f t="shared" si="2"/>
        <v>988</v>
      </c>
      <c r="AD63" s="10">
        <f t="shared" si="3"/>
        <v>24.7</v>
      </c>
      <c r="AE63" s="9">
        <f t="shared" si="4"/>
        <v>1.9000000000000003E-2</v>
      </c>
      <c r="AF63" s="9">
        <f t="shared" si="5"/>
        <v>0.54149999999999998</v>
      </c>
      <c r="AG63" s="9">
        <f t="shared" si="6"/>
        <v>5.7</v>
      </c>
      <c r="AH63" s="11">
        <f t="shared" si="12"/>
        <v>28.5</v>
      </c>
      <c r="AI63" s="11">
        <f t="shared" si="12"/>
        <v>23.75</v>
      </c>
      <c r="AJ63" s="11">
        <f t="shared" si="12"/>
        <v>988</v>
      </c>
      <c r="AK63" s="11">
        <f t="shared" si="12"/>
        <v>1.9000000000000001</v>
      </c>
      <c r="AL63" s="11">
        <f t="shared" si="12"/>
        <v>24.7</v>
      </c>
      <c r="AM63" s="2"/>
      <c r="AN63" s="2"/>
      <c r="AO63" s="2"/>
    </row>
    <row r="64" spans="1:41" x14ac:dyDescent="0.2">
      <c r="A64" s="2" t="s">
        <v>199</v>
      </c>
      <c r="B64" s="2" t="s">
        <v>93</v>
      </c>
      <c r="C64" s="2" t="s">
        <v>38</v>
      </c>
      <c r="D64" s="2" t="s">
        <v>62</v>
      </c>
      <c r="E64" s="2" t="s">
        <v>50</v>
      </c>
      <c r="F64" s="2" t="s">
        <v>200</v>
      </c>
      <c r="G64" s="2" t="s">
        <v>106</v>
      </c>
      <c r="H64" s="2">
        <v>2.444</v>
      </c>
      <c r="I64" s="2">
        <v>2.8</v>
      </c>
      <c r="J64" s="2">
        <v>3.8</v>
      </c>
      <c r="K64" s="2">
        <v>16.7</v>
      </c>
      <c r="L64" s="2">
        <v>0.2</v>
      </c>
      <c r="M64" s="2">
        <v>4.0999999999999996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9">
        <f t="shared" si="0"/>
        <v>6.8431999999999993E-2</v>
      </c>
      <c r="AB64" s="9">
        <f t="shared" si="1"/>
        <v>9.2871999999999982E-2</v>
      </c>
      <c r="AC64" s="10">
        <f t="shared" si="2"/>
        <v>40.814799999999998</v>
      </c>
      <c r="AD64" s="10">
        <f t="shared" si="3"/>
        <v>10.020399999999999</v>
      </c>
      <c r="AE64" s="9">
        <f t="shared" si="4"/>
        <v>4.888E-3</v>
      </c>
      <c r="AF64" s="9">
        <f t="shared" si="5"/>
        <v>0.16619199999999998</v>
      </c>
      <c r="AG64" s="9">
        <f t="shared" si="6"/>
        <v>6.8</v>
      </c>
      <c r="AH64" s="11">
        <f t="shared" si="12"/>
        <v>6.8431999999999995</v>
      </c>
      <c r="AI64" s="11">
        <f t="shared" si="12"/>
        <v>9.2871999999999986</v>
      </c>
      <c r="AJ64" s="11">
        <f t="shared" si="12"/>
        <v>40.814799999999998</v>
      </c>
      <c r="AK64" s="11">
        <f t="shared" si="12"/>
        <v>0.48880000000000001</v>
      </c>
      <c r="AL64" s="11">
        <f t="shared" si="12"/>
        <v>10.020399999999999</v>
      </c>
      <c r="AM64" s="2"/>
      <c r="AN64" s="2"/>
      <c r="AO64" s="2"/>
    </row>
    <row r="65" spans="1:41" x14ac:dyDescent="0.2">
      <c r="A65" s="2" t="s">
        <v>201</v>
      </c>
      <c r="B65" s="2" t="s">
        <v>93</v>
      </c>
      <c r="C65" s="2" t="s">
        <v>48</v>
      </c>
      <c r="D65" s="2"/>
      <c r="E65" s="2" t="s">
        <v>50</v>
      </c>
      <c r="F65" s="2" t="s">
        <v>202</v>
      </c>
      <c r="G65" s="2" t="s">
        <v>149</v>
      </c>
      <c r="H65" s="2">
        <v>0.215</v>
      </c>
      <c r="I65" s="2">
        <v>1.5</v>
      </c>
      <c r="J65" s="2">
        <v>1.3</v>
      </c>
      <c r="K65" s="2">
        <v>23</v>
      </c>
      <c r="L65" s="2"/>
      <c r="M65" s="2">
        <v>3.5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9">
        <f t="shared" si="0"/>
        <v>3.225E-3</v>
      </c>
      <c r="AB65" s="9">
        <f t="shared" si="1"/>
        <v>2.7950000000000002E-3</v>
      </c>
      <c r="AC65" s="10">
        <f t="shared" si="2"/>
        <v>4.9450000000000003</v>
      </c>
      <c r="AD65" s="10">
        <f t="shared" si="3"/>
        <v>0.75249999999999995</v>
      </c>
      <c r="AE65" s="9">
        <f t="shared" si="4"/>
        <v>0</v>
      </c>
      <c r="AF65" s="9">
        <f t="shared" si="5"/>
        <v>6.0200000000000002E-3</v>
      </c>
      <c r="AG65" s="9">
        <f t="shared" si="6"/>
        <v>2.8</v>
      </c>
      <c r="AH65" s="11">
        <f t="shared" si="12"/>
        <v>0.32250000000000001</v>
      </c>
      <c r="AI65" s="11">
        <f t="shared" si="12"/>
        <v>0.27950000000000003</v>
      </c>
      <c r="AJ65" s="11">
        <f t="shared" si="12"/>
        <v>4.9450000000000003</v>
      </c>
      <c r="AK65" s="11">
        <f t="shared" si="12"/>
        <v>0</v>
      </c>
      <c r="AL65" s="11">
        <f t="shared" si="12"/>
        <v>0.75249999999999995</v>
      </c>
      <c r="AM65" s="2"/>
      <c r="AN65" s="2"/>
      <c r="AO65" s="2"/>
    </row>
    <row r="66" spans="1:41" x14ac:dyDescent="0.2">
      <c r="A66" s="2" t="s">
        <v>203</v>
      </c>
      <c r="B66" s="2" t="s">
        <v>93</v>
      </c>
      <c r="C66" s="2" t="s">
        <v>38</v>
      </c>
      <c r="D66" s="2" t="s">
        <v>62</v>
      </c>
      <c r="E66" s="2" t="s">
        <v>50</v>
      </c>
      <c r="F66" s="2" t="s">
        <v>204</v>
      </c>
      <c r="G66" s="2" t="s">
        <v>205</v>
      </c>
      <c r="H66" s="2">
        <v>4.7</v>
      </c>
      <c r="I66" s="13">
        <v>2.0170212765957447</v>
      </c>
      <c r="J66" s="13">
        <v>4.8106382978723401</v>
      </c>
      <c r="K66" s="13">
        <v>48.106382978723396</v>
      </c>
      <c r="L66" s="2">
        <v>0.2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9">
        <f t="shared" si="0"/>
        <v>9.4800000000000009E-2</v>
      </c>
      <c r="AB66" s="9">
        <f t="shared" si="1"/>
        <v>0.2261</v>
      </c>
      <c r="AC66" s="10">
        <f t="shared" si="2"/>
        <v>226.09999999999997</v>
      </c>
      <c r="AD66" s="10">
        <f t="shared" si="3"/>
        <v>0</v>
      </c>
      <c r="AE66" s="9">
        <f t="shared" si="4"/>
        <v>9.4000000000000004E-3</v>
      </c>
      <c r="AF66" s="9">
        <f t="shared" si="5"/>
        <v>0.33030000000000004</v>
      </c>
      <c r="AG66" s="9">
        <f t="shared" si="6"/>
        <v>7.0276595744680845</v>
      </c>
      <c r="AH66" s="11">
        <f t="shared" ref="AH66:AL81" si="13">$H66*I66</f>
        <v>9.48</v>
      </c>
      <c r="AI66" s="11">
        <f t="shared" si="13"/>
        <v>22.61</v>
      </c>
      <c r="AJ66" s="11">
        <f t="shared" si="13"/>
        <v>226.09999999999997</v>
      </c>
      <c r="AK66" s="11">
        <f t="shared" si="13"/>
        <v>0.94000000000000006</v>
      </c>
      <c r="AL66" s="11">
        <f t="shared" si="13"/>
        <v>0</v>
      </c>
      <c r="AM66" s="2"/>
      <c r="AN66" s="2"/>
      <c r="AO66" s="2"/>
    </row>
    <row r="67" spans="1:41" x14ac:dyDescent="0.2">
      <c r="A67" s="2" t="s">
        <v>206</v>
      </c>
      <c r="B67" s="2" t="s">
        <v>93</v>
      </c>
      <c r="C67" s="2" t="s">
        <v>48</v>
      </c>
      <c r="D67" s="2"/>
      <c r="E67" s="2" t="s">
        <v>50</v>
      </c>
      <c r="F67" s="2" t="s">
        <v>122</v>
      </c>
      <c r="G67" s="2" t="s">
        <v>106</v>
      </c>
      <c r="H67" s="2">
        <v>0.47499999999999998</v>
      </c>
      <c r="I67" s="2"/>
      <c r="J67" s="2">
        <v>2.8</v>
      </c>
      <c r="K67" s="2">
        <v>39</v>
      </c>
      <c r="L67" s="2">
        <v>2.2000000000000002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9">
        <f t="shared" si="0"/>
        <v>0</v>
      </c>
      <c r="AB67" s="9">
        <f t="shared" si="1"/>
        <v>1.3299999999999999E-2</v>
      </c>
      <c r="AC67" s="10">
        <f t="shared" si="2"/>
        <v>18.524999999999999</v>
      </c>
      <c r="AD67" s="10">
        <f t="shared" si="3"/>
        <v>0</v>
      </c>
      <c r="AE67" s="9">
        <f t="shared" si="4"/>
        <v>1.0449999999999999E-2</v>
      </c>
      <c r="AF67" s="9">
        <f t="shared" si="5"/>
        <v>2.375E-2</v>
      </c>
      <c r="AG67" s="9">
        <f t="shared" si="6"/>
        <v>5</v>
      </c>
      <c r="AH67" s="11">
        <f t="shared" si="13"/>
        <v>0</v>
      </c>
      <c r="AI67" s="11">
        <f t="shared" si="13"/>
        <v>1.3299999999999998</v>
      </c>
      <c r="AJ67" s="11">
        <f t="shared" si="13"/>
        <v>18.524999999999999</v>
      </c>
      <c r="AK67" s="11">
        <f t="shared" si="13"/>
        <v>1.0449999999999999</v>
      </c>
      <c r="AL67" s="11">
        <f t="shared" si="13"/>
        <v>0</v>
      </c>
      <c r="AM67" s="2"/>
      <c r="AN67" s="2"/>
      <c r="AO67" s="2"/>
    </row>
    <row r="68" spans="1:41" x14ac:dyDescent="0.2">
      <c r="A68" s="2" t="s">
        <v>207</v>
      </c>
      <c r="B68" s="2" t="s">
        <v>93</v>
      </c>
      <c r="C68" s="2" t="s">
        <v>48</v>
      </c>
      <c r="D68" s="2" t="s">
        <v>208</v>
      </c>
      <c r="E68" s="2" t="s">
        <v>50</v>
      </c>
      <c r="F68" s="2" t="s">
        <v>209</v>
      </c>
      <c r="G68" s="2" t="s">
        <v>95</v>
      </c>
      <c r="H68" s="13">
        <v>1</v>
      </c>
      <c r="I68" s="2">
        <v>2.58</v>
      </c>
      <c r="J68" s="2">
        <v>2.21</v>
      </c>
      <c r="K68" s="2">
        <v>73.2</v>
      </c>
      <c r="L68" s="2">
        <v>0.89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9">
        <f t="shared" si="0"/>
        <v>2.58E-2</v>
      </c>
      <c r="AB68" s="9">
        <f t="shared" si="1"/>
        <v>2.2099999999999998E-2</v>
      </c>
      <c r="AC68" s="10">
        <f t="shared" si="2"/>
        <v>73.2</v>
      </c>
      <c r="AD68" s="10">
        <f t="shared" si="3"/>
        <v>0</v>
      </c>
      <c r="AE68" s="9">
        <f t="shared" si="4"/>
        <v>8.8999999999999999E-3</v>
      </c>
      <c r="AF68" s="9">
        <f t="shared" si="5"/>
        <v>5.6799999999999996E-2</v>
      </c>
      <c r="AG68" s="9">
        <f t="shared" si="6"/>
        <v>5.68</v>
      </c>
      <c r="AH68" s="11">
        <f t="shared" si="13"/>
        <v>2.58</v>
      </c>
      <c r="AI68" s="11">
        <f t="shared" si="13"/>
        <v>2.21</v>
      </c>
      <c r="AJ68" s="11">
        <f t="shared" si="13"/>
        <v>73.2</v>
      </c>
      <c r="AK68" s="11">
        <f t="shared" si="13"/>
        <v>0.89</v>
      </c>
      <c r="AL68" s="11">
        <f t="shared" si="13"/>
        <v>0</v>
      </c>
      <c r="AM68" s="2"/>
      <c r="AN68" s="2"/>
      <c r="AO68" s="2"/>
    </row>
    <row r="69" spans="1:41" x14ac:dyDescent="0.2">
      <c r="A69" s="2" t="s">
        <v>210</v>
      </c>
      <c r="B69" s="2" t="s">
        <v>93</v>
      </c>
      <c r="C69" s="2" t="s">
        <v>38</v>
      </c>
      <c r="D69" s="2" t="s">
        <v>39</v>
      </c>
      <c r="E69" s="2" t="s">
        <v>50</v>
      </c>
      <c r="F69" s="2" t="s">
        <v>211</v>
      </c>
      <c r="G69" s="2" t="s">
        <v>106</v>
      </c>
      <c r="H69" s="2">
        <v>10.4</v>
      </c>
      <c r="I69" s="2">
        <v>0.2</v>
      </c>
      <c r="J69" s="2">
        <v>2.7</v>
      </c>
      <c r="K69" s="2">
        <v>1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9">
        <f t="shared" si="0"/>
        <v>2.0799999999999999E-2</v>
      </c>
      <c r="AB69" s="9">
        <f t="shared" si="1"/>
        <v>0.28079999999999999</v>
      </c>
      <c r="AC69" s="10">
        <f t="shared" si="2"/>
        <v>10.4</v>
      </c>
      <c r="AD69" s="10">
        <f t="shared" si="3"/>
        <v>0</v>
      </c>
      <c r="AE69" s="9">
        <f t="shared" si="4"/>
        <v>0</v>
      </c>
      <c r="AF69" s="9">
        <f t="shared" si="5"/>
        <v>0.30159999999999998</v>
      </c>
      <c r="AG69" s="9">
        <f t="shared" si="6"/>
        <v>2.9000000000000004</v>
      </c>
      <c r="AH69" s="11">
        <f t="shared" si="13"/>
        <v>2.08</v>
      </c>
      <c r="AI69" s="11">
        <f t="shared" si="13"/>
        <v>28.080000000000002</v>
      </c>
      <c r="AJ69" s="11">
        <f t="shared" si="13"/>
        <v>10.4</v>
      </c>
      <c r="AK69" s="11">
        <f t="shared" si="13"/>
        <v>0</v>
      </c>
      <c r="AL69" s="11">
        <f t="shared" si="13"/>
        <v>0</v>
      </c>
      <c r="AM69" s="2"/>
      <c r="AN69" s="2"/>
      <c r="AO69" s="2"/>
    </row>
    <row r="70" spans="1:41" x14ac:dyDescent="0.2">
      <c r="A70" s="2" t="s">
        <v>212</v>
      </c>
      <c r="B70" s="2" t="s">
        <v>93</v>
      </c>
      <c r="C70" s="2" t="s">
        <v>48</v>
      </c>
      <c r="D70" s="2"/>
      <c r="E70" s="2" t="s">
        <v>50</v>
      </c>
      <c r="F70" s="2" t="s">
        <v>213</v>
      </c>
      <c r="G70" s="2" t="s">
        <v>106</v>
      </c>
      <c r="H70" s="2">
        <v>6.3</v>
      </c>
      <c r="I70" s="2"/>
      <c r="J70" s="2">
        <v>3.3</v>
      </c>
      <c r="K70" s="2">
        <v>12.1</v>
      </c>
      <c r="L70" s="2">
        <v>0.5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9">
        <f t="shared" si="0"/>
        <v>0</v>
      </c>
      <c r="AB70" s="9">
        <f t="shared" si="1"/>
        <v>0.2079</v>
      </c>
      <c r="AC70" s="10">
        <f t="shared" si="2"/>
        <v>76.22999999999999</v>
      </c>
      <c r="AD70" s="10">
        <f t="shared" si="3"/>
        <v>0</v>
      </c>
      <c r="AE70" s="9">
        <f t="shared" si="4"/>
        <v>3.15E-2</v>
      </c>
      <c r="AF70" s="9">
        <f t="shared" si="5"/>
        <v>0.2394</v>
      </c>
      <c r="AG70" s="9">
        <f t="shared" si="6"/>
        <v>3.8</v>
      </c>
      <c r="AH70" s="11">
        <f t="shared" si="13"/>
        <v>0</v>
      </c>
      <c r="AI70" s="11">
        <f t="shared" si="13"/>
        <v>20.79</v>
      </c>
      <c r="AJ70" s="11">
        <f t="shared" si="13"/>
        <v>76.22999999999999</v>
      </c>
      <c r="AK70" s="11">
        <f t="shared" si="13"/>
        <v>3.15</v>
      </c>
      <c r="AL70" s="11">
        <f t="shared" si="13"/>
        <v>0</v>
      </c>
      <c r="AM70" s="2"/>
      <c r="AN70" s="2"/>
      <c r="AO70" s="2"/>
    </row>
    <row r="71" spans="1:41" x14ac:dyDescent="0.2">
      <c r="A71" s="2" t="s">
        <v>214</v>
      </c>
      <c r="B71" s="2" t="s">
        <v>93</v>
      </c>
      <c r="C71" s="2" t="s">
        <v>66</v>
      </c>
      <c r="D71" s="2" t="s">
        <v>215</v>
      </c>
      <c r="E71" s="2" t="s">
        <v>50</v>
      </c>
      <c r="F71" s="2" t="s">
        <v>216</v>
      </c>
      <c r="G71" s="2" t="s">
        <v>101</v>
      </c>
      <c r="H71" s="2">
        <v>2.75</v>
      </c>
      <c r="I71" s="13">
        <v>1</v>
      </c>
      <c r="J71" s="2">
        <v>1.3</v>
      </c>
      <c r="K71" s="2">
        <v>24</v>
      </c>
      <c r="L71" s="2">
        <v>0.18</v>
      </c>
      <c r="M71" s="2">
        <v>0.5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9">
        <f t="shared" si="0"/>
        <v>2.75E-2</v>
      </c>
      <c r="AB71" s="9">
        <f t="shared" si="1"/>
        <v>3.5750000000000004E-2</v>
      </c>
      <c r="AC71" s="10">
        <f t="shared" si="2"/>
        <v>66</v>
      </c>
      <c r="AD71" s="10">
        <f t="shared" si="3"/>
        <v>1.375</v>
      </c>
      <c r="AE71" s="9">
        <f t="shared" si="4"/>
        <v>4.9499999999999995E-3</v>
      </c>
      <c r="AF71" s="9">
        <f t="shared" si="5"/>
        <v>6.8199999999999997E-2</v>
      </c>
      <c r="AG71" s="9">
        <f t="shared" si="6"/>
        <v>2.48</v>
      </c>
      <c r="AH71" s="11">
        <f t="shared" si="13"/>
        <v>2.75</v>
      </c>
      <c r="AI71" s="11">
        <f t="shared" si="13"/>
        <v>3.5750000000000002</v>
      </c>
      <c r="AJ71" s="11">
        <f t="shared" si="13"/>
        <v>66</v>
      </c>
      <c r="AK71" s="11">
        <f t="shared" si="13"/>
        <v>0.495</v>
      </c>
      <c r="AL71" s="11">
        <f t="shared" si="13"/>
        <v>1.375</v>
      </c>
      <c r="AM71" s="2"/>
      <c r="AN71" s="2"/>
      <c r="AO71" s="2"/>
    </row>
    <row r="72" spans="1:41" x14ac:dyDescent="0.2">
      <c r="A72" s="2" t="s">
        <v>217</v>
      </c>
      <c r="B72" s="2" t="s">
        <v>93</v>
      </c>
      <c r="C72" s="2" t="s">
        <v>48</v>
      </c>
      <c r="D72" s="2"/>
      <c r="E72" s="2" t="s">
        <v>50</v>
      </c>
      <c r="F72" s="2" t="s">
        <v>218</v>
      </c>
      <c r="G72" s="2" t="s">
        <v>101</v>
      </c>
      <c r="H72" s="2">
        <v>21.8</v>
      </c>
      <c r="I72" s="9">
        <v>0.44935779816513766</v>
      </c>
      <c r="J72" s="13">
        <v>0.9422018348623854</v>
      </c>
      <c r="K72" s="14">
        <v>47.027522935779814</v>
      </c>
      <c r="L72" s="2"/>
      <c r="M72" s="9">
        <v>0.12449541284403672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9">
        <f t="shared" si="0"/>
        <v>9.7960000000000005E-2</v>
      </c>
      <c r="AB72" s="9">
        <f t="shared" si="1"/>
        <v>0.20540000000000003</v>
      </c>
      <c r="AC72" s="10">
        <f t="shared" si="2"/>
        <v>1025.2</v>
      </c>
      <c r="AD72" s="10">
        <f t="shared" si="3"/>
        <v>2.7140000000000004</v>
      </c>
      <c r="AE72" s="9">
        <f t="shared" si="4"/>
        <v>0</v>
      </c>
      <c r="AF72" s="9">
        <f t="shared" si="5"/>
        <v>0.30336000000000002</v>
      </c>
      <c r="AG72" s="9">
        <f t="shared" si="6"/>
        <v>1.3915596330275231</v>
      </c>
      <c r="AH72" s="11">
        <f t="shared" si="13"/>
        <v>9.7960000000000012</v>
      </c>
      <c r="AI72" s="11">
        <f t="shared" si="13"/>
        <v>20.540000000000003</v>
      </c>
      <c r="AJ72" s="11">
        <f t="shared" si="13"/>
        <v>1025.2</v>
      </c>
      <c r="AK72" s="11">
        <f t="shared" si="13"/>
        <v>0</v>
      </c>
      <c r="AL72" s="11">
        <f t="shared" si="13"/>
        <v>2.7140000000000004</v>
      </c>
      <c r="AM72" s="2"/>
      <c r="AN72" s="2"/>
      <c r="AO72" s="2"/>
    </row>
    <row r="73" spans="1:41" x14ac:dyDescent="0.2">
      <c r="A73" s="2" t="s">
        <v>219</v>
      </c>
      <c r="B73" s="2" t="s">
        <v>93</v>
      </c>
      <c r="C73" s="2" t="s">
        <v>48</v>
      </c>
      <c r="D73" s="2"/>
      <c r="E73" s="2" t="s">
        <v>50</v>
      </c>
      <c r="F73" s="2" t="s">
        <v>220</v>
      </c>
      <c r="G73" s="2" t="s">
        <v>192</v>
      </c>
      <c r="H73" s="2">
        <v>5.75</v>
      </c>
      <c r="I73" s="2"/>
      <c r="J73" s="9">
        <v>0.34747826086956524</v>
      </c>
      <c r="K73" s="9">
        <v>2.3021043478260865</v>
      </c>
      <c r="L73" s="9">
        <v>1.0313043478260868</v>
      </c>
      <c r="M73" s="9">
        <v>5.0504347826086954E-2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9">
        <f t="shared" si="0"/>
        <v>0</v>
      </c>
      <c r="AB73" s="9">
        <f t="shared" si="1"/>
        <v>1.9980000000000001E-2</v>
      </c>
      <c r="AC73" s="10">
        <f t="shared" si="2"/>
        <v>13.237099999999998</v>
      </c>
      <c r="AD73" s="10">
        <f t="shared" si="3"/>
        <v>0.29039999999999999</v>
      </c>
      <c r="AE73" s="9">
        <f t="shared" si="4"/>
        <v>5.9299999999999992E-2</v>
      </c>
      <c r="AF73" s="9">
        <f t="shared" si="5"/>
        <v>7.9279999999999989E-2</v>
      </c>
      <c r="AG73" s="9">
        <f t="shared" si="6"/>
        <v>1.3787826086956521</v>
      </c>
      <c r="AH73" s="11">
        <f t="shared" si="13"/>
        <v>0</v>
      </c>
      <c r="AI73" s="11">
        <f t="shared" si="13"/>
        <v>1.9980000000000002</v>
      </c>
      <c r="AJ73" s="11">
        <f t="shared" si="13"/>
        <v>13.237099999999998</v>
      </c>
      <c r="AK73" s="11">
        <f t="shared" si="13"/>
        <v>5.9299999999999988</v>
      </c>
      <c r="AL73" s="11">
        <f t="shared" si="13"/>
        <v>0.29039999999999999</v>
      </c>
      <c r="AM73" s="2"/>
      <c r="AN73" s="2"/>
      <c r="AO73" s="2"/>
    </row>
    <row r="74" spans="1:41" x14ac:dyDescent="0.2">
      <c r="A74" s="2" t="s">
        <v>221</v>
      </c>
      <c r="B74" s="2" t="s">
        <v>93</v>
      </c>
      <c r="C74" s="2" t="s">
        <v>48</v>
      </c>
      <c r="D74" s="2"/>
      <c r="E74" s="2" t="s">
        <v>50</v>
      </c>
      <c r="F74" s="2" t="s">
        <v>222</v>
      </c>
      <c r="G74" s="2" t="s">
        <v>223</v>
      </c>
      <c r="H74" s="2">
        <v>5.1579999999999995</v>
      </c>
      <c r="I74" s="2"/>
      <c r="J74" s="9">
        <v>1.8769988367584336</v>
      </c>
      <c r="K74" s="2"/>
      <c r="L74" s="9">
        <v>0.14899961225281116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9">
        <f t="shared" si="0"/>
        <v>0</v>
      </c>
      <c r="AB74" s="9">
        <f t="shared" si="1"/>
        <v>9.6815599999999988E-2</v>
      </c>
      <c r="AC74" s="10">
        <f t="shared" si="2"/>
        <v>0</v>
      </c>
      <c r="AD74" s="10">
        <f t="shared" si="3"/>
        <v>0</v>
      </c>
      <c r="AE74" s="9">
        <f t="shared" si="4"/>
        <v>7.6853999999999985E-3</v>
      </c>
      <c r="AF74" s="9">
        <f t="shared" si="5"/>
        <v>0.10450099999999998</v>
      </c>
      <c r="AG74" s="9">
        <f t="shared" si="6"/>
        <v>2.0259984490112446</v>
      </c>
      <c r="AH74" s="11">
        <f t="shared" si="13"/>
        <v>0</v>
      </c>
      <c r="AI74" s="11">
        <f t="shared" si="13"/>
        <v>9.6815599999999993</v>
      </c>
      <c r="AJ74" s="11">
        <f t="shared" si="13"/>
        <v>0</v>
      </c>
      <c r="AK74" s="11">
        <f t="shared" si="13"/>
        <v>0.76853999999999989</v>
      </c>
      <c r="AL74" s="11">
        <f t="shared" si="13"/>
        <v>0</v>
      </c>
      <c r="AM74" s="2"/>
      <c r="AN74" s="2"/>
      <c r="AO74" s="2"/>
    </row>
    <row r="75" spans="1:41" x14ac:dyDescent="0.2">
      <c r="A75" s="2" t="s">
        <v>224</v>
      </c>
      <c r="B75" s="2" t="s">
        <v>93</v>
      </c>
      <c r="C75" s="2" t="s">
        <v>38</v>
      </c>
      <c r="D75" s="2" t="s">
        <v>62</v>
      </c>
      <c r="E75" s="2" t="s">
        <v>50</v>
      </c>
      <c r="F75" s="2" t="s">
        <v>63</v>
      </c>
      <c r="G75" s="2" t="s">
        <v>225</v>
      </c>
      <c r="H75" s="2">
        <v>14.27</v>
      </c>
      <c r="I75" s="13">
        <v>5.7275122634898388</v>
      </c>
      <c r="J75" s="13">
        <v>16.069796776454101</v>
      </c>
      <c r="K75" s="14">
        <v>97.498948843728101</v>
      </c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9">
        <f t="shared" si="0"/>
        <v>0.81731600000000004</v>
      </c>
      <c r="AB75" s="9">
        <f t="shared" si="1"/>
        <v>2.2931600000000003</v>
      </c>
      <c r="AC75" s="10">
        <f t="shared" si="2"/>
        <v>1391.31</v>
      </c>
      <c r="AD75" s="10">
        <f t="shared" si="3"/>
        <v>0</v>
      </c>
      <c r="AE75" s="9">
        <f t="shared" si="4"/>
        <v>0</v>
      </c>
      <c r="AF75" s="9">
        <f t="shared" si="5"/>
        <v>3.1104760000000002</v>
      </c>
      <c r="AG75" s="9">
        <f t="shared" si="6"/>
        <v>21.79730903994394</v>
      </c>
      <c r="AH75" s="11">
        <f t="shared" si="13"/>
        <v>81.7316</v>
      </c>
      <c r="AI75" s="11">
        <f t="shared" si="13"/>
        <v>229.31600000000003</v>
      </c>
      <c r="AJ75" s="11">
        <f t="shared" si="13"/>
        <v>1391.31</v>
      </c>
      <c r="AK75" s="11">
        <f t="shared" si="13"/>
        <v>0</v>
      </c>
      <c r="AL75" s="11">
        <f t="shared" si="13"/>
        <v>0</v>
      </c>
      <c r="AM75" s="2"/>
      <c r="AN75" s="2"/>
      <c r="AO75" s="2"/>
    </row>
    <row r="76" spans="1:41" x14ac:dyDescent="0.2">
      <c r="A76" s="2" t="s">
        <v>226</v>
      </c>
      <c r="B76" s="2" t="s">
        <v>93</v>
      </c>
      <c r="C76" s="2" t="s">
        <v>38</v>
      </c>
      <c r="D76" s="2" t="s">
        <v>39</v>
      </c>
      <c r="E76" s="2" t="s">
        <v>50</v>
      </c>
      <c r="F76" s="2" t="s">
        <v>227</v>
      </c>
      <c r="G76" s="2" t="s">
        <v>104</v>
      </c>
      <c r="H76" s="2">
        <v>14.99</v>
      </c>
      <c r="I76" s="2">
        <v>4.28</v>
      </c>
      <c r="J76" s="9">
        <v>4.6859999999999999</v>
      </c>
      <c r="K76" s="2">
        <v>16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9">
        <f t="shared" si="0"/>
        <v>0.64157200000000003</v>
      </c>
      <c r="AB76" s="9">
        <f t="shared" si="1"/>
        <v>0.70243139999999993</v>
      </c>
      <c r="AC76" s="10">
        <f t="shared" si="2"/>
        <v>239.84</v>
      </c>
      <c r="AD76" s="10">
        <f t="shared" si="3"/>
        <v>0</v>
      </c>
      <c r="AE76" s="9">
        <f t="shared" si="4"/>
        <v>0</v>
      </c>
      <c r="AF76" s="9">
        <f t="shared" si="5"/>
        <v>1.3440034000000001</v>
      </c>
      <c r="AG76" s="9">
        <f t="shared" si="6"/>
        <v>8.9660000000000011</v>
      </c>
      <c r="AH76" s="11">
        <f t="shared" si="13"/>
        <v>64.157200000000003</v>
      </c>
      <c r="AI76" s="11">
        <f t="shared" si="13"/>
        <v>70.243139999999997</v>
      </c>
      <c r="AJ76" s="11">
        <f t="shared" si="13"/>
        <v>239.84</v>
      </c>
      <c r="AK76" s="11">
        <f t="shared" si="13"/>
        <v>0</v>
      </c>
      <c r="AL76" s="11">
        <f t="shared" si="13"/>
        <v>0</v>
      </c>
      <c r="AM76" s="2"/>
      <c r="AN76" s="2"/>
      <c r="AO76" s="2"/>
    </row>
    <row r="77" spans="1:41" x14ac:dyDescent="0.2">
      <c r="A77" s="2" t="s">
        <v>228</v>
      </c>
      <c r="B77" s="2" t="s">
        <v>93</v>
      </c>
      <c r="C77" s="2" t="s">
        <v>48</v>
      </c>
      <c r="D77" s="2"/>
      <c r="E77" s="2" t="s">
        <v>50</v>
      </c>
      <c r="F77" s="2" t="s">
        <v>229</v>
      </c>
      <c r="G77" s="2" t="s">
        <v>106</v>
      </c>
      <c r="H77" s="2">
        <v>1.8</v>
      </c>
      <c r="I77" s="2">
        <v>1.4</v>
      </c>
      <c r="J77" s="2">
        <v>5.0999999999999996</v>
      </c>
      <c r="K77" s="2">
        <v>82</v>
      </c>
      <c r="L77" s="2">
        <v>0.2</v>
      </c>
      <c r="M77" s="2">
        <v>0.26</v>
      </c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9">
        <f t="shared" si="0"/>
        <v>2.52E-2</v>
      </c>
      <c r="AB77" s="9">
        <f t="shared" si="1"/>
        <v>9.1799999999999993E-2</v>
      </c>
      <c r="AC77" s="10">
        <f t="shared" si="2"/>
        <v>147.6</v>
      </c>
      <c r="AD77" s="10">
        <f t="shared" si="3"/>
        <v>0.46800000000000003</v>
      </c>
      <c r="AE77" s="9">
        <f t="shared" si="4"/>
        <v>3.6000000000000003E-3</v>
      </c>
      <c r="AF77" s="9">
        <f t="shared" si="5"/>
        <v>0.1206</v>
      </c>
      <c r="AG77" s="9">
        <f t="shared" si="6"/>
        <v>6.7</v>
      </c>
      <c r="AH77" s="11">
        <f t="shared" si="13"/>
        <v>2.52</v>
      </c>
      <c r="AI77" s="11">
        <f t="shared" si="13"/>
        <v>9.18</v>
      </c>
      <c r="AJ77" s="11">
        <f t="shared" si="13"/>
        <v>147.6</v>
      </c>
      <c r="AK77" s="11">
        <f t="shared" si="13"/>
        <v>0.36000000000000004</v>
      </c>
      <c r="AL77" s="11">
        <f t="shared" si="13"/>
        <v>0.46800000000000003</v>
      </c>
      <c r="AM77" s="2"/>
      <c r="AN77" s="2"/>
      <c r="AO77" s="2"/>
    </row>
    <row r="78" spans="1:41" x14ac:dyDescent="0.2">
      <c r="A78" s="2" t="s">
        <v>230</v>
      </c>
      <c r="B78" s="2" t="s">
        <v>93</v>
      </c>
      <c r="C78" s="2" t="s">
        <v>48</v>
      </c>
      <c r="D78" s="2"/>
      <c r="E78" s="2" t="s">
        <v>50</v>
      </c>
      <c r="F78" s="2" t="s">
        <v>231</v>
      </c>
      <c r="G78" s="2" t="s">
        <v>106</v>
      </c>
      <c r="H78" s="9">
        <v>6.6199999999999992</v>
      </c>
      <c r="I78" s="13">
        <v>1.420392749244713</v>
      </c>
      <c r="J78" s="13">
        <v>2.4244712990936557</v>
      </c>
      <c r="K78" s="14">
        <v>69.141993957703932</v>
      </c>
      <c r="L78" s="13">
        <v>0.19592145015105741</v>
      </c>
      <c r="M78" s="13">
        <v>1.4836858006042297</v>
      </c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9">
        <f t="shared" si="0"/>
        <v>9.4029999999999989E-2</v>
      </c>
      <c r="AB78" s="9">
        <f t="shared" si="1"/>
        <v>0.16049999999999998</v>
      </c>
      <c r="AC78" s="10">
        <f t="shared" si="2"/>
        <v>457.71999999999997</v>
      </c>
      <c r="AD78" s="10">
        <f t="shared" si="3"/>
        <v>9.8219999999999992</v>
      </c>
      <c r="AE78" s="9">
        <f t="shared" si="4"/>
        <v>1.2969999999999999E-2</v>
      </c>
      <c r="AF78" s="9">
        <f t="shared" si="5"/>
        <v>0.26749999999999996</v>
      </c>
      <c r="AG78" s="9">
        <f t="shared" si="6"/>
        <v>4.0407854984894263</v>
      </c>
      <c r="AH78" s="11">
        <f t="shared" si="13"/>
        <v>9.4029999999999987</v>
      </c>
      <c r="AI78" s="11">
        <f t="shared" si="13"/>
        <v>16.049999999999997</v>
      </c>
      <c r="AJ78" s="11">
        <f t="shared" si="13"/>
        <v>457.71999999999997</v>
      </c>
      <c r="AK78" s="11">
        <f t="shared" si="13"/>
        <v>1.2969999999999999</v>
      </c>
      <c r="AL78" s="11">
        <f t="shared" si="13"/>
        <v>9.8219999999999992</v>
      </c>
      <c r="AM78" s="2"/>
      <c r="AN78" s="2"/>
      <c r="AO78" s="2"/>
    </row>
    <row r="79" spans="1:41" x14ac:dyDescent="0.2">
      <c r="A79" s="2" t="s">
        <v>232</v>
      </c>
      <c r="B79" s="2" t="s">
        <v>93</v>
      </c>
      <c r="C79" s="2" t="s">
        <v>48</v>
      </c>
      <c r="D79" s="2"/>
      <c r="E79" s="2" t="s">
        <v>50</v>
      </c>
      <c r="F79" s="2" t="s">
        <v>213</v>
      </c>
      <c r="G79" s="2" t="s">
        <v>106</v>
      </c>
      <c r="H79" s="2">
        <v>0.65700000000000003</v>
      </c>
      <c r="I79" s="2">
        <v>0.3</v>
      </c>
      <c r="J79" s="2">
        <v>3.7</v>
      </c>
      <c r="K79" s="2">
        <v>35.9</v>
      </c>
      <c r="L79" s="2">
        <v>1.8</v>
      </c>
      <c r="M79" s="2">
        <v>0.8</v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9">
        <f t="shared" si="0"/>
        <v>1.9710000000000001E-3</v>
      </c>
      <c r="AB79" s="9">
        <f t="shared" si="1"/>
        <v>2.4309000000000004E-2</v>
      </c>
      <c r="AC79" s="10">
        <f t="shared" si="2"/>
        <v>23.586300000000001</v>
      </c>
      <c r="AD79" s="10">
        <f t="shared" si="3"/>
        <v>0.52560000000000007</v>
      </c>
      <c r="AE79" s="9">
        <f t="shared" si="4"/>
        <v>1.1826000000000001E-2</v>
      </c>
      <c r="AF79" s="9">
        <f t="shared" si="5"/>
        <v>3.8106000000000008E-2</v>
      </c>
      <c r="AG79" s="9">
        <f t="shared" si="6"/>
        <v>5.8</v>
      </c>
      <c r="AH79" s="11">
        <f t="shared" si="13"/>
        <v>0.1971</v>
      </c>
      <c r="AI79" s="11">
        <f t="shared" si="13"/>
        <v>2.4309000000000003</v>
      </c>
      <c r="AJ79" s="11">
        <f t="shared" si="13"/>
        <v>23.586300000000001</v>
      </c>
      <c r="AK79" s="11">
        <f t="shared" si="13"/>
        <v>1.1826000000000001</v>
      </c>
      <c r="AL79" s="11">
        <f t="shared" si="13"/>
        <v>0.52560000000000007</v>
      </c>
      <c r="AM79" s="2"/>
      <c r="AN79" s="2"/>
      <c r="AO79" s="2"/>
    </row>
    <row r="80" spans="1:41" x14ac:dyDescent="0.2">
      <c r="A80" s="2" t="s">
        <v>233</v>
      </c>
      <c r="B80" s="2" t="s">
        <v>93</v>
      </c>
      <c r="C80" s="2" t="s">
        <v>38</v>
      </c>
      <c r="D80" s="2" t="s">
        <v>234</v>
      </c>
      <c r="E80" s="2" t="s">
        <v>50</v>
      </c>
      <c r="F80" s="2" t="s">
        <v>235</v>
      </c>
      <c r="G80" s="2" t="s">
        <v>106</v>
      </c>
      <c r="H80" s="2">
        <v>51.1</v>
      </c>
      <c r="I80" s="13">
        <v>4.3146771037181981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9">
        <f t="shared" si="0"/>
        <v>2.2047999999999992</v>
      </c>
      <c r="AB80" s="9">
        <f t="shared" si="1"/>
        <v>0</v>
      </c>
      <c r="AC80" s="10">
        <f t="shared" si="2"/>
        <v>0</v>
      </c>
      <c r="AD80" s="10">
        <f t="shared" si="3"/>
        <v>0</v>
      </c>
      <c r="AE80" s="9">
        <f t="shared" si="4"/>
        <v>0</v>
      </c>
      <c r="AF80" s="9">
        <f t="shared" si="5"/>
        <v>2.2047999999999992</v>
      </c>
      <c r="AG80" s="9">
        <f t="shared" si="6"/>
        <v>4.3146771037181981</v>
      </c>
      <c r="AH80" s="11">
        <f t="shared" si="13"/>
        <v>220.47999999999993</v>
      </c>
      <c r="AI80" s="11">
        <f t="shared" si="13"/>
        <v>0</v>
      </c>
      <c r="AJ80" s="11">
        <f t="shared" si="13"/>
        <v>0</v>
      </c>
      <c r="AK80" s="11">
        <f t="shared" si="13"/>
        <v>0</v>
      </c>
      <c r="AL80" s="11">
        <f t="shared" si="13"/>
        <v>0</v>
      </c>
      <c r="AM80" s="2"/>
      <c r="AN80" s="2"/>
      <c r="AO80" s="2"/>
    </row>
    <row r="81" spans="1:41" x14ac:dyDescent="0.2">
      <c r="A81" s="2" t="s">
        <v>236</v>
      </c>
      <c r="B81" s="2" t="s">
        <v>93</v>
      </c>
      <c r="C81" s="2" t="s">
        <v>48</v>
      </c>
      <c r="D81" s="2"/>
      <c r="E81" s="2" t="s">
        <v>50</v>
      </c>
      <c r="F81" s="2" t="s">
        <v>237</v>
      </c>
      <c r="G81" s="2" t="s">
        <v>106</v>
      </c>
      <c r="H81" s="12">
        <v>1.3540000000000001</v>
      </c>
      <c r="I81" s="2"/>
      <c r="J81" s="2">
        <v>6.04</v>
      </c>
      <c r="K81" s="2">
        <v>3.4</v>
      </c>
      <c r="L81" s="2">
        <v>0.25</v>
      </c>
      <c r="M81" s="2">
        <v>0.25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9">
        <f t="shared" si="0"/>
        <v>0</v>
      </c>
      <c r="AB81" s="9">
        <f t="shared" si="1"/>
        <v>8.1781599999999996E-2</v>
      </c>
      <c r="AC81" s="10">
        <f t="shared" si="2"/>
        <v>4.6036000000000001</v>
      </c>
      <c r="AD81" s="10">
        <f t="shared" si="3"/>
        <v>0.33850000000000002</v>
      </c>
      <c r="AE81" s="9">
        <f t="shared" si="4"/>
        <v>3.3850000000000004E-3</v>
      </c>
      <c r="AF81" s="9">
        <f t="shared" si="5"/>
        <v>8.5166599999999995E-2</v>
      </c>
      <c r="AG81" s="9">
        <f t="shared" si="6"/>
        <v>6.29</v>
      </c>
      <c r="AH81" s="11">
        <f t="shared" si="13"/>
        <v>0</v>
      </c>
      <c r="AI81" s="11">
        <f t="shared" si="13"/>
        <v>8.1781600000000001</v>
      </c>
      <c r="AJ81" s="11">
        <f t="shared" si="13"/>
        <v>4.6036000000000001</v>
      </c>
      <c r="AK81" s="11">
        <f t="shared" si="13"/>
        <v>0.33850000000000002</v>
      </c>
      <c r="AL81" s="11">
        <f t="shared" si="13"/>
        <v>0.33850000000000002</v>
      </c>
      <c r="AM81" s="2"/>
      <c r="AN81" s="2"/>
      <c r="AO81" s="2"/>
    </row>
    <row r="82" spans="1:41" x14ac:dyDescent="0.2">
      <c r="A82" s="2" t="s">
        <v>238</v>
      </c>
      <c r="B82" s="2" t="s">
        <v>93</v>
      </c>
      <c r="C82" s="2" t="s">
        <v>38</v>
      </c>
      <c r="D82" s="2" t="s">
        <v>62</v>
      </c>
      <c r="E82" s="7" t="s">
        <v>40</v>
      </c>
      <c r="F82" s="2" t="s">
        <v>41</v>
      </c>
      <c r="G82" s="8" t="s">
        <v>239</v>
      </c>
      <c r="H82" s="2">
        <v>1.8</v>
      </c>
      <c r="I82" s="2"/>
      <c r="J82" s="2">
        <v>4.4000000000000004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9">
        <f t="shared" si="0"/>
        <v>0</v>
      </c>
      <c r="AB82" s="9">
        <f t="shared" si="1"/>
        <v>7.9200000000000007E-2</v>
      </c>
      <c r="AC82" s="10">
        <f t="shared" si="2"/>
        <v>0</v>
      </c>
      <c r="AD82" s="10">
        <f t="shared" si="3"/>
        <v>0</v>
      </c>
      <c r="AE82" s="9">
        <f t="shared" si="4"/>
        <v>0</v>
      </c>
      <c r="AF82" s="9">
        <f t="shared" si="5"/>
        <v>7.9200000000000007E-2</v>
      </c>
      <c r="AG82" s="9">
        <f t="shared" si="6"/>
        <v>4.4000000000000004</v>
      </c>
      <c r="AH82" s="11">
        <f t="shared" ref="AH82:AL97" si="14">$H82*I82</f>
        <v>0</v>
      </c>
      <c r="AI82" s="11">
        <f t="shared" si="14"/>
        <v>7.9200000000000008</v>
      </c>
      <c r="AJ82" s="11">
        <f t="shared" si="14"/>
        <v>0</v>
      </c>
      <c r="AK82" s="11">
        <f t="shared" si="14"/>
        <v>0</v>
      </c>
      <c r="AL82" s="11">
        <f t="shared" si="14"/>
        <v>0</v>
      </c>
      <c r="AM82" s="2"/>
      <c r="AN82" s="2"/>
      <c r="AO82" s="2"/>
    </row>
    <row r="83" spans="1:41" x14ac:dyDescent="0.2">
      <c r="A83" s="2" t="s">
        <v>240</v>
      </c>
      <c r="B83" s="2" t="s">
        <v>93</v>
      </c>
      <c r="C83" s="2" t="s">
        <v>48</v>
      </c>
      <c r="D83" s="2"/>
      <c r="E83" s="2" t="s">
        <v>50</v>
      </c>
      <c r="F83" s="2" t="s">
        <v>97</v>
      </c>
      <c r="G83" s="2" t="s">
        <v>98</v>
      </c>
      <c r="H83" s="2">
        <v>0.57399999999999995</v>
      </c>
      <c r="I83" s="9">
        <v>5.0999999999999996</v>
      </c>
      <c r="J83" s="9">
        <v>1.9</v>
      </c>
      <c r="K83" s="13">
        <v>60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9">
        <f t="shared" si="0"/>
        <v>2.9273999999999994E-2</v>
      </c>
      <c r="AB83" s="9">
        <f t="shared" si="1"/>
        <v>1.0905999999999997E-2</v>
      </c>
      <c r="AC83" s="10">
        <f t="shared" si="2"/>
        <v>34.44</v>
      </c>
      <c r="AD83" s="10">
        <f t="shared" si="3"/>
        <v>0</v>
      </c>
      <c r="AE83" s="9">
        <f t="shared" si="4"/>
        <v>0</v>
      </c>
      <c r="AF83" s="9">
        <f t="shared" si="5"/>
        <v>4.0179999999999993E-2</v>
      </c>
      <c r="AG83" s="9">
        <f t="shared" si="6"/>
        <v>7</v>
      </c>
      <c r="AH83" s="11">
        <f t="shared" si="14"/>
        <v>2.9273999999999996</v>
      </c>
      <c r="AI83" s="11">
        <f t="shared" si="14"/>
        <v>1.0905999999999998</v>
      </c>
      <c r="AJ83" s="11">
        <f t="shared" si="14"/>
        <v>34.44</v>
      </c>
      <c r="AK83" s="11">
        <f t="shared" si="14"/>
        <v>0</v>
      </c>
      <c r="AL83" s="11">
        <f t="shared" si="14"/>
        <v>0</v>
      </c>
      <c r="AM83" s="2"/>
      <c r="AN83" s="2"/>
      <c r="AO83" s="2"/>
    </row>
    <row r="84" spans="1:41" x14ac:dyDescent="0.2">
      <c r="A84" s="2" t="s">
        <v>241</v>
      </c>
      <c r="B84" s="2" t="s">
        <v>93</v>
      </c>
      <c r="C84" s="2" t="s">
        <v>157</v>
      </c>
      <c r="D84" s="2"/>
      <c r="E84" s="2" t="s">
        <v>50</v>
      </c>
      <c r="F84" s="2" t="s">
        <v>242</v>
      </c>
      <c r="G84" s="2" t="s">
        <v>243</v>
      </c>
      <c r="H84" s="2">
        <v>4.9000000000000004</v>
      </c>
      <c r="I84" s="2"/>
      <c r="J84" s="13">
        <v>0.59673469387755107</v>
      </c>
      <c r="K84" s="13">
        <v>8.2673469387755105</v>
      </c>
      <c r="L84" s="13">
        <v>0.3448979591836735</v>
      </c>
      <c r="M84" s="13">
        <v>0.5714285714285714</v>
      </c>
      <c r="N84" s="2"/>
      <c r="O84" s="2"/>
      <c r="P84" s="2"/>
      <c r="Q84" s="2"/>
      <c r="R84" s="2"/>
      <c r="S84" s="2"/>
      <c r="T84" s="2">
        <v>25.4</v>
      </c>
      <c r="U84" s="2"/>
      <c r="V84" s="2"/>
      <c r="W84" s="2"/>
      <c r="X84" s="2"/>
      <c r="Y84" s="2"/>
      <c r="Z84" s="2"/>
      <c r="AA84" s="9">
        <f t="shared" si="0"/>
        <v>0</v>
      </c>
      <c r="AB84" s="9">
        <f t="shared" si="1"/>
        <v>2.9240000000000002E-2</v>
      </c>
      <c r="AC84" s="10">
        <f t="shared" si="2"/>
        <v>40.510000000000005</v>
      </c>
      <c r="AD84" s="10">
        <f t="shared" si="3"/>
        <v>2.8000000000000003</v>
      </c>
      <c r="AE84" s="9">
        <f t="shared" si="4"/>
        <v>1.6900000000000002E-2</v>
      </c>
      <c r="AF84" s="9">
        <f t="shared" si="5"/>
        <v>4.614E-2</v>
      </c>
      <c r="AG84" s="9">
        <f t="shared" si="6"/>
        <v>0.94163265306122457</v>
      </c>
      <c r="AH84" s="11">
        <f t="shared" si="14"/>
        <v>0</v>
      </c>
      <c r="AI84" s="11">
        <f t="shared" si="14"/>
        <v>2.9240000000000004</v>
      </c>
      <c r="AJ84" s="11">
        <f t="shared" si="14"/>
        <v>40.510000000000005</v>
      </c>
      <c r="AK84" s="11">
        <f t="shared" si="14"/>
        <v>1.6900000000000002</v>
      </c>
      <c r="AL84" s="11">
        <f t="shared" si="14"/>
        <v>2.8000000000000003</v>
      </c>
      <c r="AM84" s="2"/>
      <c r="AN84" s="2"/>
      <c r="AO84" s="2"/>
    </row>
    <row r="85" spans="1:41" x14ac:dyDescent="0.2">
      <c r="A85" s="2" t="s">
        <v>244</v>
      </c>
      <c r="B85" s="2" t="s">
        <v>93</v>
      </c>
      <c r="C85" s="2" t="s">
        <v>38</v>
      </c>
      <c r="D85" s="2" t="s">
        <v>62</v>
      </c>
      <c r="E85" s="2" t="s">
        <v>50</v>
      </c>
      <c r="F85" s="2" t="s">
        <v>63</v>
      </c>
      <c r="G85" s="2" t="s">
        <v>225</v>
      </c>
      <c r="H85" s="2">
        <v>194</v>
      </c>
      <c r="I85" s="13">
        <v>4.0495360824742272</v>
      </c>
      <c r="J85" s="13">
        <v>9.2061855670103085</v>
      </c>
      <c r="K85" s="13">
        <v>40.968041237113397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9">
        <f t="shared" si="0"/>
        <v>7.8561000000000014</v>
      </c>
      <c r="AB85" s="9">
        <f t="shared" si="1"/>
        <v>17.86</v>
      </c>
      <c r="AC85" s="10">
        <f t="shared" si="2"/>
        <v>7947.7999999999993</v>
      </c>
      <c r="AD85" s="10">
        <f t="shared" si="3"/>
        <v>0</v>
      </c>
      <c r="AE85" s="9">
        <f t="shared" si="4"/>
        <v>0</v>
      </c>
      <c r="AF85" s="9">
        <f t="shared" si="5"/>
        <v>25.716100000000001</v>
      </c>
      <c r="AG85" s="9">
        <f t="shared" si="6"/>
        <v>13.255721649484535</v>
      </c>
      <c r="AH85" s="11">
        <f t="shared" si="14"/>
        <v>785.61000000000013</v>
      </c>
      <c r="AI85" s="11">
        <f t="shared" si="14"/>
        <v>1785.9999999999998</v>
      </c>
      <c r="AJ85" s="11">
        <f t="shared" si="14"/>
        <v>7947.7999999999993</v>
      </c>
      <c r="AK85" s="11">
        <f t="shared" si="14"/>
        <v>0</v>
      </c>
      <c r="AL85" s="11">
        <f t="shared" si="14"/>
        <v>0</v>
      </c>
      <c r="AM85" s="2"/>
      <c r="AN85" s="2"/>
      <c r="AO85" s="2"/>
    </row>
    <row r="86" spans="1:41" x14ac:dyDescent="0.2">
      <c r="A86" s="2" t="s">
        <v>245</v>
      </c>
      <c r="B86" s="2" t="s">
        <v>93</v>
      </c>
      <c r="C86" s="2" t="s">
        <v>38</v>
      </c>
      <c r="D86" s="2" t="s">
        <v>62</v>
      </c>
      <c r="E86" s="2" t="s">
        <v>50</v>
      </c>
      <c r="F86" s="2" t="s">
        <v>55</v>
      </c>
      <c r="G86" s="2" t="s">
        <v>106</v>
      </c>
      <c r="H86" s="2">
        <v>7.7</v>
      </c>
      <c r="I86" s="2">
        <v>2.6</v>
      </c>
      <c r="J86" s="2">
        <v>3.1</v>
      </c>
      <c r="K86" s="2">
        <v>27</v>
      </c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9">
        <f t="shared" si="0"/>
        <v>0.20019999999999999</v>
      </c>
      <c r="AB86" s="9">
        <f t="shared" si="1"/>
        <v>0.23870000000000002</v>
      </c>
      <c r="AC86" s="10">
        <f t="shared" si="2"/>
        <v>207.9</v>
      </c>
      <c r="AD86" s="10">
        <f t="shared" si="3"/>
        <v>0</v>
      </c>
      <c r="AE86" s="9">
        <f t="shared" si="4"/>
        <v>0</v>
      </c>
      <c r="AF86" s="9">
        <f t="shared" si="5"/>
        <v>0.43890000000000001</v>
      </c>
      <c r="AG86" s="9">
        <f t="shared" si="6"/>
        <v>5.7</v>
      </c>
      <c r="AH86" s="11">
        <f t="shared" si="14"/>
        <v>20.02</v>
      </c>
      <c r="AI86" s="11">
        <f t="shared" si="14"/>
        <v>23.87</v>
      </c>
      <c r="AJ86" s="11">
        <f t="shared" si="14"/>
        <v>207.9</v>
      </c>
      <c r="AK86" s="11">
        <f t="shared" si="14"/>
        <v>0</v>
      </c>
      <c r="AL86" s="11">
        <f t="shared" si="14"/>
        <v>0</v>
      </c>
      <c r="AM86" s="2"/>
      <c r="AN86" s="2"/>
      <c r="AO86" s="2"/>
    </row>
    <row r="87" spans="1:41" x14ac:dyDescent="0.2">
      <c r="A87" s="2" t="s">
        <v>246</v>
      </c>
      <c r="B87" s="2" t="s">
        <v>93</v>
      </c>
      <c r="C87" s="2" t="s">
        <v>247</v>
      </c>
      <c r="D87" s="2" t="s">
        <v>248</v>
      </c>
      <c r="E87" s="2" t="s">
        <v>50</v>
      </c>
      <c r="F87" s="2" t="s">
        <v>249</v>
      </c>
      <c r="G87" s="2" t="s">
        <v>250</v>
      </c>
      <c r="H87" s="2">
        <f>6.5+0.2+0.015</f>
        <v>6.7149999999999999</v>
      </c>
      <c r="I87" s="9">
        <f>(0.02*6.5+0.02*0.2+0.01*0.015)/$H87</f>
        <v>1.9977661950856294E-2</v>
      </c>
      <c r="J87" s="9">
        <f>(0.14*6.5+0.24*0.2+0*0.015)/$H87</f>
        <v>0.14266567386448253</v>
      </c>
      <c r="K87" s="13">
        <f>(8.3*6.5+8.2*0.2+25*0.015)/$H87</f>
        <v>8.3343261355174985</v>
      </c>
      <c r="L87" s="9">
        <f>(0.33*6.5+0.44*0.2+2.29*0.015)/$H87</f>
        <v>0.33765450483991066</v>
      </c>
      <c r="M87" s="9">
        <f>(0.08*6.5+0.13*0.2+0.63*0.015)/$H87</f>
        <v>8.271779597915116E-2</v>
      </c>
      <c r="N87" s="2"/>
      <c r="O87" s="2"/>
      <c r="P87" s="18">
        <f>(0.0081*6.5+0.0091*0.2+0.0021*0.015)/$H87</f>
        <v>8.1163812360387187E-3</v>
      </c>
      <c r="Q87" s="2"/>
      <c r="R87" s="2"/>
      <c r="S87" s="9">
        <f>(1.34*6.5+0.85*0.2+6.49*0.015)/$H87</f>
        <v>1.3369099032017873</v>
      </c>
      <c r="T87" s="2"/>
      <c r="U87" s="2"/>
      <c r="V87" s="2"/>
      <c r="W87" s="2"/>
      <c r="X87" s="2"/>
      <c r="Y87" s="13">
        <f>(23.3*6.5+15.1*0.2+83.9*0.015)/$H87</f>
        <v>23.191139240506335</v>
      </c>
      <c r="Z87" s="2" t="s">
        <v>251</v>
      </c>
      <c r="AA87" s="9">
        <f t="shared" si="0"/>
        <v>1.3415000000000002E-3</v>
      </c>
      <c r="AB87" s="9">
        <f t="shared" si="1"/>
        <v>9.5800000000000017E-3</v>
      </c>
      <c r="AC87" s="10">
        <f t="shared" si="2"/>
        <v>55.965000000000003</v>
      </c>
      <c r="AD87" s="10">
        <f t="shared" si="3"/>
        <v>0.55545</v>
      </c>
      <c r="AE87" s="9">
        <f t="shared" si="4"/>
        <v>2.2673499999999999E-2</v>
      </c>
      <c r="AF87" s="9">
        <f t="shared" si="5"/>
        <v>3.3595E-2</v>
      </c>
      <c r="AG87" s="9">
        <f t="shared" si="6"/>
        <v>0.50029784065524951</v>
      </c>
      <c r="AH87" s="11">
        <f t="shared" si="14"/>
        <v>0.13415000000000002</v>
      </c>
      <c r="AI87" s="11">
        <f t="shared" si="14"/>
        <v>0.95800000000000018</v>
      </c>
      <c r="AJ87" s="11">
        <f t="shared" si="14"/>
        <v>55.965000000000003</v>
      </c>
      <c r="AK87" s="11">
        <f t="shared" si="14"/>
        <v>2.26735</v>
      </c>
      <c r="AL87" s="11">
        <f t="shared" si="14"/>
        <v>0.55545</v>
      </c>
      <c r="AM87" s="2"/>
      <c r="AN87" s="2"/>
      <c r="AO87" s="2"/>
    </row>
    <row r="88" spans="1:41" x14ac:dyDescent="0.2">
      <c r="A88" s="2" t="s">
        <v>252</v>
      </c>
      <c r="B88" s="2" t="s">
        <v>93</v>
      </c>
      <c r="C88" s="2" t="s">
        <v>48</v>
      </c>
      <c r="D88" s="2"/>
      <c r="E88" s="2" t="s">
        <v>50</v>
      </c>
      <c r="F88" s="2" t="s">
        <v>213</v>
      </c>
      <c r="G88" s="2" t="s">
        <v>106</v>
      </c>
      <c r="H88" s="2">
        <v>4.6070000000000002</v>
      </c>
      <c r="I88" s="2">
        <v>0.5</v>
      </c>
      <c r="J88" s="2">
        <v>1.3</v>
      </c>
      <c r="K88" s="2">
        <v>24.1</v>
      </c>
      <c r="L88" s="2">
        <v>0.9</v>
      </c>
      <c r="M88" s="2">
        <v>0.1</v>
      </c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9">
        <f t="shared" si="0"/>
        <v>2.3035E-2</v>
      </c>
      <c r="AB88" s="9">
        <f t="shared" si="1"/>
        <v>5.9891000000000007E-2</v>
      </c>
      <c r="AC88" s="10">
        <f t="shared" si="2"/>
        <v>111.02870000000001</v>
      </c>
      <c r="AD88" s="10">
        <f t="shared" si="3"/>
        <v>0.46070000000000005</v>
      </c>
      <c r="AE88" s="9">
        <f t="shared" si="4"/>
        <v>4.1463E-2</v>
      </c>
      <c r="AF88" s="9">
        <f t="shared" si="5"/>
        <v>0.124389</v>
      </c>
      <c r="AG88" s="9">
        <f t="shared" si="6"/>
        <v>2.7</v>
      </c>
      <c r="AH88" s="11">
        <f t="shared" si="14"/>
        <v>2.3035000000000001</v>
      </c>
      <c r="AI88" s="11">
        <f t="shared" si="14"/>
        <v>5.9891000000000005</v>
      </c>
      <c r="AJ88" s="11">
        <f t="shared" si="14"/>
        <v>111.02870000000001</v>
      </c>
      <c r="AK88" s="11">
        <f t="shared" si="14"/>
        <v>4.1463000000000001</v>
      </c>
      <c r="AL88" s="11">
        <f t="shared" si="14"/>
        <v>0.46070000000000005</v>
      </c>
      <c r="AM88" s="2"/>
      <c r="AN88" s="2"/>
      <c r="AO88" s="2"/>
    </row>
    <row r="89" spans="1:41" x14ac:dyDescent="0.2">
      <c r="A89" s="2" t="s">
        <v>253</v>
      </c>
      <c r="B89" s="2" t="s">
        <v>93</v>
      </c>
      <c r="C89" s="2" t="s">
        <v>157</v>
      </c>
      <c r="D89" s="2"/>
      <c r="E89" s="2" t="s">
        <v>50</v>
      </c>
      <c r="F89" s="2" t="s">
        <v>204</v>
      </c>
      <c r="G89" s="2" t="s">
        <v>254</v>
      </c>
      <c r="H89" s="2">
        <v>1.93</v>
      </c>
      <c r="I89" s="2">
        <v>0.3</v>
      </c>
      <c r="J89" s="2">
        <v>5.4</v>
      </c>
      <c r="K89" s="2">
        <v>21</v>
      </c>
      <c r="L89" s="2">
        <v>0.6</v>
      </c>
      <c r="M89" s="2">
        <v>0.1</v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9">
        <f t="shared" si="0"/>
        <v>5.79E-3</v>
      </c>
      <c r="AB89" s="9">
        <f t="shared" si="1"/>
        <v>0.10422000000000001</v>
      </c>
      <c r="AC89" s="10">
        <f t="shared" si="2"/>
        <v>40.53</v>
      </c>
      <c r="AD89" s="10">
        <f t="shared" si="3"/>
        <v>0.193</v>
      </c>
      <c r="AE89" s="9">
        <f t="shared" si="4"/>
        <v>1.158E-2</v>
      </c>
      <c r="AF89" s="9">
        <f t="shared" si="5"/>
        <v>0.12159</v>
      </c>
      <c r="AG89" s="9">
        <f t="shared" si="6"/>
        <v>6.3</v>
      </c>
      <c r="AH89" s="11">
        <f t="shared" si="14"/>
        <v>0.57899999999999996</v>
      </c>
      <c r="AI89" s="11">
        <f t="shared" si="14"/>
        <v>10.422000000000001</v>
      </c>
      <c r="AJ89" s="11">
        <f t="shared" si="14"/>
        <v>40.53</v>
      </c>
      <c r="AK89" s="11">
        <f t="shared" si="14"/>
        <v>1.1579999999999999</v>
      </c>
      <c r="AL89" s="11">
        <f t="shared" si="14"/>
        <v>0.193</v>
      </c>
      <c r="AM89" s="2"/>
      <c r="AN89" s="2"/>
      <c r="AO89" s="2"/>
    </row>
    <row r="90" spans="1:41" x14ac:dyDescent="0.2">
      <c r="A90" s="2" t="s">
        <v>255</v>
      </c>
      <c r="B90" s="2" t="s">
        <v>93</v>
      </c>
      <c r="C90" s="2" t="s">
        <v>66</v>
      </c>
      <c r="D90" s="2" t="s">
        <v>256</v>
      </c>
      <c r="E90" s="2" t="s">
        <v>50</v>
      </c>
      <c r="F90" s="2" t="s">
        <v>257</v>
      </c>
      <c r="G90" s="2" t="s">
        <v>104</v>
      </c>
      <c r="H90" s="12">
        <v>0.124</v>
      </c>
      <c r="I90" s="9">
        <v>0.53870967741935483</v>
      </c>
      <c r="J90" s="13">
        <v>2.6612903225806455</v>
      </c>
      <c r="K90" s="14">
        <v>25.258064516129032</v>
      </c>
      <c r="L90" s="9">
        <v>0.31048387096774194</v>
      </c>
      <c r="M90" s="9">
        <v>0.19564516129032258</v>
      </c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9">
        <f t="shared" si="0"/>
        <v>6.6799999999999997E-4</v>
      </c>
      <c r="AB90" s="9">
        <f t="shared" si="1"/>
        <v>3.3E-3</v>
      </c>
      <c r="AC90" s="10">
        <f t="shared" si="2"/>
        <v>3.1320000000000001</v>
      </c>
      <c r="AD90" s="10">
        <f t="shared" si="3"/>
        <v>2.426E-2</v>
      </c>
      <c r="AE90" s="9">
        <f t="shared" si="4"/>
        <v>3.8499999999999998E-4</v>
      </c>
      <c r="AF90" s="9">
        <f t="shared" si="5"/>
        <v>4.3530000000000001E-3</v>
      </c>
      <c r="AG90" s="9">
        <f t="shared" si="6"/>
        <v>3.5104838709677422</v>
      </c>
      <c r="AH90" s="11">
        <f t="shared" si="14"/>
        <v>6.6799999999999998E-2</v>
      </c>
      <c r="AI90" s="11">
        <f t="shared" si="14"/>
        <v>0.33</v>
      </c>
      <c r="AJ90" s="11">
        <f t="shared" si="14"/>
        <v>3.1320000000000001</v>
      </c>
      <c r="AK90" s="11">
        <f t="shared" si="14"/>
        <v>3.85E-2</v>
      </c>
      <c r="AL90" s="11">
        <f t="shared" si="14"/>
        <v>2.426E-2</v>
      </c>
      <c r="AM90" s="2"/>
      <c r="AN90" s="2"/>
      <c r="AO90" s="2"/>
    </row>
    <row r="91" spans="1:41" x14ac:dyDescent="0.2">
      <c r="A91" s="2" t="s">
        <v>258</v>
      </c>
      <c r="B91" s="2" t="s">
        <v>93</v>
      </c>
      <c r="C91" s="2" t="s">
        <v>48</v>
      </c>
      <c r="D91" s="2"/>
      <c r="E91" s="2" t="s">
        <v>50</v>
      </c>
      <c r="F91" s="2" t="s">
        <v>259</v>
      </c>
      <c r="G91" s="2" t="s">
        <v>260</v>
      </c>
      <c r="H91" s="2">
        <v>1.3</v>
      </c>
      <c r="I91" s="2"/>
      <c r="J91" s="2">
        <v>0.4</v>
      </c>
      <c r="K91" s="2">
        <v>6</v>
      </c>
      <c r="L91" s="13">
        <v>2</v>
      </c>
      <c r="M91" s="2">
        <v>0.5</v>
      </c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9">
        <f t="shared" si="0"/>
        <v>0</v>
      </c>
      <c r="AB91" s="9">
        <f t="shared" si="1"/>
        <v>5.1999999999999998E-3</v>
      </c>
      <c r="AC91" s="10">
        <f t="shared" si="2"/>
        <v>7.8000000000000007</v>
      </c>
      <c r="AD91" s="10">
        <f t="shared" si="3"/>
        <v>0.65</v>
      </c>
      <c r="AE91" s="9">
        <f t="shared" si="4"/>
        <v>2.6000000000000002E-2</v>
      </c>
      <c r="AF91" s="9">
        <f t="shared" si="5"/>
        <v>3.1200000000000002E-2</v>
      </c>
      <c r="AG91" s="9">
        <f t="shared" si="6"/>
        <v>2.4</v>
      </c>
      <c r="AH91" s="11">
        <f t="shared" si="14"/>
        <v>0</v>
      </c>
      <c r="AI91" s="11">
        <f t="shared" si="14"/>
        <v>0.52</v>
      </c>
      <c r="AJ91" s="11">
        <f t="shared" si="14"/>
        <v>7.8000000000000007</v>
      </c>
      <c r="AK91" s="11">
        <f t="shared" si="14"/>
        <v>2.6</v>
      </c>
      <c r="AL91" s="11">
        <f t="shared" si="14"/>
        <v>0.65</v>
      </c>
      <c r="AM91" s="2"/>
      <c r="AN91" s="2"/>
      <c r="AO91" s="2"/>
    </row>
    <row r="92" spans="1:41" x14ac:dyDescent="0.2">
      <c r="A92" s="2" t="s">
        <v>261</v>
      </c>
      <c r="B92" s="2" t="s">
        <v>93</v>
      </c>
      <c r="C92" s="2" t="s">
        <v>48</v>
      </c>
      <c r="D92" s="2"/>
      <c r="E92" s="7" t="s">
        <v>40</v>
      </c>
      <c r="F92" s="2" t="s">
        <v>144</v>
      </c>
      <c r="G92" s="2" t="s">
        <v>145</v>
      </c>
      <c r="H92" s="2">
        <v>0.65</v>
      </c>
      <c r="I92" s="13">
        <v>2</v>
      </c>
      <c r="J92" s="13">
        <v>9</v>
      </c>
      <c r="K92" s="2">
        <v>280</v>
      </c>
      <c r="L92" s="2">
        <v>0.5</v>
      </c>
      <c r="M92" s="2">
        <v>1.7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9">
        <f t="shared" si="0"/>
        <v>1.3000000000000001E-2</v>
      </c>
      <c r="AB92" s="9">
        <f t="shared" si="1"/>
        <v>5.8500000000000003E-2</v>
      </c>
      <c r="AC92" s="10">
        <f t="shared" si="2"/>
        <v>182</v>
      </c>
      <c r="AD92" s="10">
        <f t="shared" si="3"/>
        <v>1.105</v>
      </c>
      <c r="AE92" s="9">
        <f t="shared" si="4"/>
        <v>3.2500000000000003E-3</v>
      </c>
      <c r="AF92" s="9">
        <f t="shared" si="5"/>
        <v>7.4750000000000011E-2</v>
      </c>
      <c r="AG92" s="9">
        <f t="shared" si="6"/>
        <v>11.5</v>
      </c>
      <c r="AH92" s="11">
        <f t="shared" si="14"/>
        <v>1.3</v>
      </c>
      <c r="AI92" s="11">
        <f t="shared" si="14"/>
        <v>5.8500000000000005</v>
      </c>
      <c r="AJ92" s="11">
        <f t="shared" si="14"/>
        <v>182</v>
      </c>
      <c r="AK92" s="11">
        <f t="shared" si="14"/>
        <v>0.32500000000000001</v>
      </c>
      <c r="AL92" s="11">
        <f t="shared" si="14"/>
        <v>1.105</v>
      </c>
      <c r="AM92" s="2"/>
      <c r="AN92" s="2"/>
      <c r="AO92" s="2"/>
    </row>
    <row r="93" spans="1:41" x14ac:dyDescent="0.2">
      <c r="A93" s="2" t="s">
        <v>262</v>
      </c>
      <c r="B93" s="2" t="s">
        <v>93</v>
      </c>
      <c r="C93" s="2" t="s">
        <v>48</v>
      </c>
      <c r="D93" s="2"/>
      <c r="E93" s="2" t="s">
        <v>50</v>
      </c>
      <c r="F93" s="2" t="s">
        <v>184</v>
      </c>
      <c r="G93" s="2" t="s">
        <v>95</v>
      </c>
      <c r="H93" s="2">
        <v>6.1</v>
      </c>
      <c r="I93" s="2"/>
      <c r="J93" s="2">
        <v>0.5</v>
      </c>
      <c r="K93" s="2">
        <v>36</v>
      </c>
      <c r="L93" s="2"/>
      <c r="M93" s="2">
        <v>1.2</v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9">
        <f t="shared" si="0"/>
        <v>0</v>
      </c>
      <c r="AB93" s="9">
        <f t="shared" si="1"/>
        <v>3.0499999999999999E-2</v>
      </c>
      <c r="AC93" s="10">
        <f t="shared" si="2"/>
        <v>219.6</v>
      </c>
      <c r="AD93" s="10">
        <f t="shared" si="3"/>
        <v>7.3199999999999994</v>
      </c>
      <c r="AE93" s="9">
        <f t="shared" si="4"/>
        <v>0</v>
      </c>
      <c r="AF93" s="9">
        <f t="shared" si="5"/>
        <v>3.0499999999999999E-2</v>
      </c>
      <c r="AG93" s="9">
        <f t="shared" si="6"/>
        <v>0.5</v>
      </c>
      <c r="AH93" s="11">
        <f t="shared" si="14"/>
        <v>0</v>
      </c>
      <c r="AI93" s="11">
        <f t="shared" si="14"/>
        <v>3.05</v>
      </c>
      <c r="AJ93" s="11">
        <f t="shared" si="14"/>
        <v>219.6</v>
      </c>
      <c r="AK93" s="11">
        <f t="shared" si="14"/>
        <v>0</v>
      </c>
      <c r="AL93" s="11">
        <f t="shared" si="14"/>
        <v>7.3199999999999994</v>
      </c>
      <c r="AM93" s="2"/>
      <c r="AN93" s="2"/>
      <c r="AO93" s="2"/>
    </row>
    <row r="94" spans="1:41" x14ac:dyDescent="0.2">
      <c r="A94" s="2" t="s">
        <v>263</v>
      </c>
      <c r="B94" s="2" t="s">
        <v>93</v>
      </c>
      <c r="C94" s="2" t="s">
        <v>54</v>
      </c>
      <c r="D94" s="2" t="s">
        <v>77</v>
      </c>
      <c r="E94" s="2" t="s">
        <v>50</v>
      </c>
      <c r="F94" s="2" t="s">
        <v>264</v>
      </c>
      <c r="G94" s="2" t="s">
        <v>159</v>
      </c>
      <c r="H94" s="2">
        <v>0.60699999999999998</v>
      </c>
      <c r="I94" s="2">
        <v>2.4</v>
      </c>
      <c r="J94" s="2"/>
      <c r="K94" s="2">
        <v>26</v>
      </c>
      <c r="L94" s="2"/>
      <c r="M94" s="2">
        <v>0.22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>
        <v>1.7</v>
      </c>
      <c r="Z94" s="2" t="s">
        <v>265</v>
      </c>
      <c r="AA94" s="9">
        <f t="shared" si="0"/>
        <v>1.4567999999999999E-2</v>
      </c>
      <c r="AB94" s="9">
        <f t="shared" si="1"/>
        <v>0</v>
      </c>
      <c r="AC94" s="10">
        <f t="shared" si="2"/>
        <v>15.782</v>
      </c>
      <c r="AD94" s="10">
        <f t="shared" si="3"/>
        <v>0.13353999999999999</v>
      </c>
      <c r="AE94" s="9">
        <f t="shared" si="4"/>
        <v>0</v>
      </c>
      <c r="AF94" s="9">
        <f t="shared" si="5"/>
        <v>1.4567999999999999E-2</v>
      </c>
      <c r="AG94" s="9">
        <f t="shared" si="6"/>
        <v>2.4</v>
      </c>
      <c r="AH94" s="11">
        <f t="shared" si="14"/>
        <v>1.4567999999999999</v>
      </c>
      <c r="AI94" s="11">
        <f t="shared" si="14"/>
        <v>0</v>
      </c>
      <c r="AJ94" s="11">
        <f t="shared" si="14"/>
        <v>15.782</v>
      </c>
      <c r="AK94" s="11">
        <f t="shared" si="14"/>
        <v>0</v>
      </c>
      <c r="AL94" s="11">
        <f t="shared" si="14"/>
        <v>0.13353999999999999</v>
      </c>
      <c r="AM94" s="2"/>
      <c r="AN94" s="2"/>
      <c r="AO94" s="2"/>
    </row>
    <row r="95" spans="1:41" x14ac:dyDescent="0.2">
      <c r="A95" s="2" t="s">
        <v>266</v>
      </c>
      <c r="B95" s="2" t="s">
        <v>93</v>
      </c>
      <c r="C95" s="2" t="s">
        <v>247</v>
      </c>
      <c r="D95" s="2"/>
      <c r="E95" s="2" t="s">
        <v>50</v>
      </c>
      <c r="F95" s="2" t="s">
        <v>249</v>
      </c>
      <c r="G95" s="2" t="s">
        <v>250</v>
      </c>
      <c r="H95" s="2">
        <f>25.3+22.9+47.2+15.4+14+19.5</f>
        <v>144.30000000000001</v>
      </c>
      <c r="I95" s="9">
        <f>(0.09*25.3+0.12*22.9+0.01*47.2+0.03*15.4+0.04*14+0.06*19.5)/$H95</f>
        <v>5.3284823284823278E-2</v>
      </c>
      <c r="J95" s="9">
        <f>(0.49*25.3+0.62*22.9+0.07*47.2+0.18*15.4+0.36*14+0.3*19.5)/$H95</f>
        <v>0.30187803187803186</v>
      </c>
      <c r="K95" s="13">
        <f>(6.4*25.3+7.4*22.9+3.9*47.2+6.4*15.4+7.8*14+6.6*19.5)/$H95</f>
        <v>5.9038115038115038</v>
      </c>
      <c r="L95" s="9">
        <f>(0.44*25.3+0.4*22.9+0.63*47.2+0.55*15.4+0.52*14+0.5*19.5)/$H95</f>
        <v>0.52340956340956346</v>
      </c>
      <c r="M95" s="9">
        <f>(0.1*25.3+0.11*22.9+0.07*47.2+0.11*15.4+0.13*14+0.11*19.5)/$H95</f>
        <v>9.7103257103257096E-2</v>
      </c>
      <c r="N95" s="2"/>
      <c r="O95" s="2"/>
      <c r="P95" s="18">
        <f>(0.0072*25.3+0.0071*22.9+0.0065*47.2+0.0098*15.4+0.0082*14+0.0118*19.5)/$H95</f>
        <v>7.9512820512820503E-3</v>
      </c>
      <c r="Q95" s="2"/>
      <c r="R95" s="2"/>
      <c r="S95" s="12">
        <f>(0.01*25.3+0.01*22.9+0*47.2+0*15.4+0.02*14+0.01*19.5)/$H95</f>
        <v>6.6320166320166319E-3</v>
      </c>
      <c r="T95" s="2"/>
      <c r="U95" s="2"/>
      <c r="V95" s="2"/>
      <c r="W95" s="2"/>
      <c r="X95" s="2"/>
      <c r="Y95" s="9">
        <f>(0*25.3+0*22.9+0*47.2+0*15.4+0.2*14+0.1*19.5)/$H95</f>
        <v>3.2917532917532917E-2</v>
      </c>
      <c r="Z95" s="2" t="s">
        <v>251</v>
      </c>
      <c r="AA95" s="9">
        <f t="shared" si="0"/>
        <v>7.689E-2</v>
      </c>
      <c r="AB95" s="9">
        <f t="shared" si="1"/>
        <v>0.43561</v>
      </c>
      <c r="AC95" s="10">
        <f t="shared" si="2"/>
        <v>851.92000000000007</v>
      </c>
      <c r="AD95" s="10">
        <f t="shared" si="3"/>
        <v>14.012</v>
      </c>
      <c r="AE95" s="9">
        <f t="shared" si="4"/>
        <v>0.75528000000000017</v>
      </c>
      <c r="AF95" s="9">
        <f t="shared" si="5"/>
        <v>1.2677800000000001</v>
      </c>
      <c r="AG95" s="9">
        <f t="shared" si="6"/>
        <v>0.87857241857241863</v>
      </c>
      <c r="AH95" s="11">
        <f t="shared" si="14"/>
        <v>7.6890000000000001</v>
      </c>
      <c r="AI95" s="11">
        <f t="shared" si="14"/>
        <v>43.561</v>
      </c>
      <c r="AJ95" s="11">
        <f t="shared" si="14"/>
        <v>851.92000000000007</v>
      </c>
      <c r="AK95" s="11">
        <f t="shared" si="14"/>
        <v>75.52800000000002</v>
      </c>
      <c r="AL95" s="11">
        <f t="shared" si="14"/>
        <v>14.012</v>
      </c>
      <c r="AM95" s="2"/>
      <c r="AN95" s="2"/>
      <c r="AO95" s="2"/>
    </row>
    <row r="96" spans="1:41" x14ac:dyDescent="0.2">
      <c r="A96" s="2" t="s">
        <v>267</v>
      </c>
      <c r="B96" s="2" t="s">
        <v>93</v>
      </c>
      <c r="C96" s="2" t="s">
        <v>157</v>
      </c>
      <c r="D96" s="2"/>
      <c r="E96" s="2" t="s">
        <v>50</v>
      </c>
      <c r="F96" s="2" t="s">
        <v>94</v>
      </c>
      <c r="G96" s="2" t="s">
        <v>95</v>
      </c>
      <c r="H96" s="12">
        <v>9.6332330000000006</v>
      </c>
      <c r="I96" s="9">
        <v>0.38967322808448629</v>
      </c>
      <c r="J96" s="9">
        <v>7.7995773277777039</v>
      </c>
      <c r="K96" s="13">
        <v>35.048965783346048</v>
      </c>
      <c r="L96" s="9">
        <v>1.0831204435727859</v>
      </c>
      <c r="M96" s="9">
        <v>0.16660194350121085</v>
      </c>
      <c r="N96" s="2"/>
      <c r="O96" s="2"/>
      <c r="P96" s="2"/>
      <c r="Q96" s="2"/>
      <c r="R96" s="2"/>
      <c r="S96" s="12">
        <v>9.1612734356194669E-3</v>
      </c>
      <c r="T96" s="2"/>
      <c r="U96" s="2"/>
      <c r="V96" s="2"/>
      <c r="W96" s="2"/>
      <c r="X96" s="2"/>
      <c r="Y96" s="2"/>
      <c r="Z96" s="2"/>
      <c r="AA96" s="9">
        <f t="shared" si="0"/>
        <v>3.7538130000000003E-2</v>
      </c>
      <c r="AB96" s="9">
        <f t="shared" si="1"/>
        <v>0.75135145699999994</v>
      </c>
      <c r="AC96" s="10">
        <f t="shared" si="2"/>
        <v>337.63485380000003</v>
      </c>
      <c r="AD96" s="10">
        <f t="shared" si="3"/>
        <v>1.60491534</v>
      </c>
      <c r="AE96" s="9">
        <f t="shared" si="4"/>
        <v>0.10433951600000001</v>
      </c>
      <c r="AF96" s="9">
        <f t="shared" si="5"/>
        <v>0.89322910299999991</v>
      </c>
      <c r="AG96" s="9">
        <f t="shared" si="6"/>
        <v>9.2723709994349761</v>
      </c>
      <c r="AH96" s="11">
        <f t="shared" si="14"/>
        <v>3.7538130000000005</v>
      </c>
      <c r="AI96" s="11">
        <f t="shared" si="14"/>
        <v>75.135145699999995</v>
      </c>
      <c r="AJ96" s="11">
        <f t="shared" si="14"/>
        <v>337.63485380000003</v>
      </c>
      <c r="AK96" s="11">
        <f t="shared" si="14"/>
        <v>10.4339516</v>
      </c>
      <c r="AL96" s="11">
        <f t="shared" si="14"/>
        <v>1.60491534</v>
      </c>
      <c r="AM96" s="2"/>
      <c r="AN96" s="2"/>
      <c r="AO96" s="2"/>
    </row>
    <row r="97" spans="1:41" x14ac:dyDescent="0.2">
      <c r="A97" s="2" t="s">
        <v>268</v>
      </c>
      <c r="B97" s="2" t="s">
        <v>93</v>
      </c>
      <c r="C97" s="2" t="s">
        <v>38</v>
      </c>
      <c r="D97" s="2" t="s">
        <v>62</v>
      </c>
      <c r="E97" s="2" t="s">
        <v>50</v>
      </c>
      <c r="F97" s="2" t="s">
        <v>63</v>
      </c>
      <c r="G97" s="2" t="s">
        <v>225</v>
      </c>
      <c r="H97" s="2">
        <v>427.8</v>
      </c>
      <c r="I97" s="13">
        <v>2.4990042075736327</v>
      </c>
      <c r="J97" s="13">
        <v>3.3728190743338002</v>
      </c>
      <c r="K97" s="13">
        <v>51.676203833567094</v>
      </c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9">
        <f t="shared" si="0"/>
        <v>10.69074</v>
      </c>
      <c r="AB97" s="9">
        <f t="shared" si="1"/>
        <v>14.428919999999998</v>
      </c>
      <c r="AC97" s="10">
        <f t="shared" si="2"/>
        <v>22107.08</v>
      </c>
      <c r="AD97" s="10">
        <f t="shared" si="3"/>
        <v>0</v>
      </c>
      <c r="AE97" s="9">
        <f t="shared" si="4"/>
        <v>0</v>
      </c>
      <c r="AF97" s="9">
        <f t="shared" si="5"/>
        <v>25.119659999999996</v>
      </c>
      <c r="AG97" s="9">
        <f t="shared" si="6"/>
        <v>5.8718232819074334</v>
      </c>
      <c r="AH97" s="11">
        <f t="shared" si="14"/>
        <v>1069.0740000000001</v>
      </c>
      <c r="AI97" s="11">
        <f t="shared" si="14"/>
        <v>1442.8919999999998</v>
      </c>
      <c r="AJ97" s="11">
        <f t="shared" si="14"/>
        <v>22107.08</v>
      </c>
      <c r="AK97" s="11">
        <f t="shared" si="14"/>
        <v>0</v>
      </c>
      <c r="AL97" s="11">
        <f t="shared" si="14"/>
        <v>0</v>
      </c>
      <c r="AM97" s="2"/>
      <c r="AN97" s="2"/>
      <c r="AO97" s="2"/>
    </row>
    <row r="98" spans="1:41" x14ac:dyDescent="0.2">
      <c r="A98" s="2" t="s">
        <v>269</v>
      </c>
      <c r="B98" s="2" t="s">
        <v>93</v>
      </c>
      <c r="C98" s="2" t="s">
        <v>38</v>
      </c>
      <c r="D98" s="2" t="s">
        <v>62</v>
      </c>
      <c r="E98" s="2" t="s">
        <v>50</v>
      </c>
      <c r="F98" s="2" t="s">
        <v>63</v>
      </c>
      <c r="G98" s="2" t="s">
        <v>225</v>
      </c>
      <c r="H98" s="2">
        <v>24.400000000000002</v>
      </c>
      <c r="I98" s="9">
        <v>3.1126229508196723</v>
      </c>
      <c r="J98" s="9">
        <v>4.5970901639344266</v>
      </c>
      <c r="K98" s="13">
        <v>61.174180327868854</v>
      </c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9">
        <f t="shared" si="0"/>
        <v>0.75948000000000004</v>
      </c>
      <c r="AB98" s="9">
        <f t="shared" si="1"/>
        <v>1.1216900000000003</v>
      </c>
      <c r="AC98" s="10">
        <f t="shared" si="2"/>
        <v>1492.65</v>
      </c>
      <c r="AD98" s="10">
        <f t="shared" si="3"/>
        <v>0</v>
      </c>
      <c r="AE98" s="9">
        <f t="shared" si="4"/>
        <v>0</v>
      </c>
      <c r="AF98" s="9">
        <f t="shared" si="5"/>
        <v>1.8811700000000005</v>
      </c>
      <c r="AG98" s="9">
        <f t="shared" si="6"/>
        <v>7.7097131147540985</v>
      </c>
      <c r="AH98" s="11">
        <f t="shared" ref="AH98:AL113" si="15">$H98*I98</f>
        <v>75.948000000000008</v>
      </c>
      <c r="AI98" s="11">
        <f t="shared" si="15"/>
        <v>112.16900000000003</v>
      </c>
      <c r="AJ98" s="11">
        <f t="shared" si="15"/>
        <v>1492.65</v>
      </c>
      <c r="AK98" s="11">
        <f t="shared" si="15"/>
        <v>0</v>
      </c>
      <c r="AL98" s="11">
        <f t="shared" si="15"/>
        <v>0</v>
      </c>
      <c r="AM98" s="2"/>
      <c r="AN98" s="2"/>
      <c r="AO98" s="2"/>
    </row>
    <row r="99" spans="1:41" x14ac:dyDescent="0.2">
      <c r="A99" s="2" t="s">
        <v>270</v>
      </c>
      <c r="B99" s="2" t="s">
        <v>93</v>
      </c>
      <c r="C99" s="2" t="s">
        <v>38</v>
      </c>
      <c r="D99" s="2" t="s">
        <v>62</v>
      </c>
      <c r="E99" s="2" t="s">
        <v>50</v>
      </c>
      <c r="F99" s="2" t="s">
        <v>63</v>
      </c>
      <c r="G99" s="2" t="s">
        <v>225</v>
      </c>
      <c r="H99" s="2">
        <v>145.1</v>
      </c>
      <c r="I99" s="13">
        <v>3.9301585113714688</v>
      </c>
      <c r="J99" s="13">
        <v>8.3445968297725699</v>
      </c>
      <c r="K99" s="14">
        <v>62.486836664369406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9">
        <f t="shared" si="0"/>
        <v>5.7026600000000007</v>
      </c>
      <c r="AB99" s="9">
        <f t="shared" si="1"/>
        <v>12.10801</v>
      </c>
      <c r="AC99" s="10">
        <f t="shared" si="2"/>
        <v>9066.84</v>
      </c>
      <c r="AD99" s="10">
        <f t="shared" si="3"/>
        <v>0</v>
      </c>
      <c r="AE99" s="9">
        <f t="shared" si="4"/>
        <v>0</v>
      </c>
      <c r="AF99" s="9">
        <f t="shared" si="5"/>
        <v>17.810670000000002</v>
      </c>
      <c r="AG99" s="9">
        <f t="shared" si="6"/>
        <v>12.274755341144038</v>
      </c>
      <c r="AH99" s="11">
        <f t="shared" si="15"/>
        <v>570.26600000000008</v>
      </c>
      <c r="AI99" s="11">
        <f t="shared" si="15"/>
        <v>1210.8009999999999</v>
      </c>
      <c r="AJ99" s="11">
        <f t="shared" si="15"/>
        <v>9066.84</v>
      </c>
      <c r="AK99" s="11">
        <f t="shared" si="15"/>
        <v>0</v>
      </c>
      <c r="AL99" s="11">
        <f t="shared" si="15"/>
        <v>0</v>
      </c>
      <c r="AM99" s="2"/>
      <c r="AN99" s="2"/>
      <c r="AO99" s="2"/>
    </row>
    <row r="100" spans="1:41" x14ac:dyDescent="0.2">
      <c r="A100" s="2" t="s">
        <v>271</v>
      </c>
      <c r="B100" s="2" t="s">
        <v>93</v>
      </c>
      <c r="C100" s="2" t="s">
        <v>38</v>
      </c>
      <c r="D100" s="2" t="s">
        <v>62</v>
      </c>
      <c r="E100" s="2" t="s">
        <v>50</v>
      </c>
      <c r="F100" s="2" t="s">
        <v>63</v>
      </c>
      <c r="G100" s="2" t="s">
        <v>225</v>
      </c>
      <c r="H100" s="13">
        <v>56</v>
      </c>
      <c r="I100" s="13">
        <v>5.3107142857142851</v>
      </c>
      <c r="J100" s="13">
        <v>7.8217857142857143</v>
      </c>
      <c r="K100" s="14">
        <v>106.26785714285714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9">
        <f t="shared" si="0"/>
        <v>2.9739999999999998</v>
      </c>
      <c r="AB100" s="9">
        <f t="shared" si="1"/>
        <v>4.3801999999999994</v>
      </c>
      <c r="AC100" s="10">
        <f t="shared" si="2"/>
        <v>5951</v>
      </c>
      <c r="AD100" s="10">
        <f t="shared" si="3"/>
        <v>0</v>
      </c>
      <c r="AE100" s="9">
        <f t="shared" si="4"/>
        <v>0</v>
      </c>
      <c r="AF100" s="9">
        <f t="shared" si="5"/>
        <v>7.3541999999999987</v>
      </c>
      <c r="AG100" s="9">
        <f t="shared" si="6"/>
        <v>13.1325</v>
      </c>
      <c r="AH100" s="11">
        <f t="shared" si="15"/>
        <v>297.39999999999998</v>
      </c>
      <c r="AI100" s="11">
        <f t="shared" si="15"/>
        <v>438.02</v>
      </c>
      <c r="AJ100" s="11">
        <f t="shared" si="15"/>
        <v>5951</v>
      </c>
      <c r="AK100" s="11">
        <f t="shared" si="15"/>
        <v>0</v>
      </c>
      <c r="AL100" s="11">
        <f t="shared" si="15"/>
        <v>0</v>
      </c>
      <c r="AM100" s="2"/>
      <c r="AN100" s="2"/>
      <c r="AO100" s="2"/>
    </row>
    <row r="101" spans="1:41" x14ac:dyDescent="0.2">
      <c r="A101" s="2" t="s">
        <v>272</v>
      </c>
      <c r="B101" s="2" t="s">
        <v>93</v>
      </c>
      <c r="C101" s="2" t="s">
        <v>38</v>
      </c>
      <c r="D101" s="2" t="s">
        <v>62</v>
      </c>
      <c r="E101" s="2" t="s">
        <v>50</v>
      </c>
      <c r="F101" s="2" t="s">
        <v>63</v>
      </c>
      <c r="G101" s="2" t="s">
        <v>225</v>
      </c>
      <c r="H101" s="2">
        <v>8.27</v>
      </c>
      <c r="I101" s="13">
        <v>2.4210640870616689</v>
      </c>
      <c r="J101" s="13">
        <v>5.698101571946796</v>
      </c>
      <c r="K101" s="14">
        <v>35.542684401451027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9">
        <f t="shared" si="0"/>
        <v>0.20022200000000001</v>
      </c>
      <c r="AB101" s="9">
        <f t="shared" si="1"/>
        <v>0.47123300000000001</v>
      </c>
      <c r="AC101" s="10">
        <f t="shared" si="2"/>
        <v>293.93799999999999</v>
      </c>
      <c r="AD101" s="10">
        <f t="shared" si="3"/>
        <v>0</v>
      </c>
      <c r="AE101" s="9">
        <f t="shared" si="4"/>
        <v>0</v>
      </c>
      <c r="AF101" s="9">
        <f t="shared" si="5"/>
        <v>0.67145500000000002</v>
      </c>
      <c r="AG101" s="9">
        <f t="shared" si="6"/>
        <v>8.1191656590084644</v>
      </c>
      <c r="AH101" s="11">
        <f t="shared" si="15"/>
        <v>20.022200000000002</v>
      </c>
      <c r="AI101" s="11">
        <f t="shared" si="15"/>
        <v>47.1233</v>
      </c>
      <c r="AJ101" s="11">
        <f t="shared" si="15"/>
        <v>293.93799999999999</v>
      </c>
      <c r="AK101" s="11">
        <f t="shared" si="15"/>
        <v>0</v>
      </c>
      <c r="AL101" s="11">
        <f t="shared" si="15"/>
        <v>0</v>
      </c>
      <c r="AM101" s="2"/>
      <c r="AN101" s="2"/>
      <c r="AO101" s="2"/>
    </row>
    <row r="102" spans="1:41" x14ac:dyDescent="0.2">
      <c r="A102" s="2" t="s">
        <v>273</v>
      </c>
      <c r="B102" s="2" t="s">
        <v>93</v>
      </c>
      <c r="C102" s="2" t="s">
        <v>157</v>
      </c>
      <c r="D102" s="2"/>
      <c r="E102" s="2" t="s">
        <v>50</v>
      </c>
      <c r="F102" s="2" t="s">
        <v>274</v>
      </c>
      <c r="G102" s="2" t="s">
        <v>275</v>
      </c>
      <c r="H102" s="2">
        <v>20</v>
      </c>
      <c r="I102" s="2"/>
      <c r="J102" s="2">
        <v>0.35</v>
      </c>
      <c r="K102" s="2"/>
      <c r="L102" s="2">
        <v>0.35</v>
      </c>
      <c r="M102" s="2"/>
      <c r="N102" s="2"/>
      <c r="O102" s="2"/>
      <c r="P102" s="2"/>
      <c r="Q102" s="2"/>
      <c r="R102" s="2"/>
      <c r="S102" s="2"/>
      <c r="T102" s="2">
        <v>41</v>
      </c>
      <c r="U102" s="2"/>
      <c r="V102" s="2"/>
      <c r="W102" s="2"/>
      <c r="X102" s="2"/>
      <c r="Y102" s="2"/>
      <c r="Z102" s="2"/>
      <c r="AA102" s="9">
        <f t="shared" si="0"/>
        <v>0</v>
      </c>
      <c r="AB102" s="9">
        <f t="shared" si="1"/>
        <v>7.0000000000000007E-2</v>
      </c>
      <c r="AC102" s="10">
        <f t="shared" si="2"/>
        <v>0</v>
      </c>
      <c r="AD102" s="10">
        <f t="shared" si="3"/>
        <v>0</v>
      </c>
      <c r="AE102" s="9">
        <f t="shared" si="4"/>
        <v>7.0000000000000007E-2</v>
      </c>
      <c r="AF102" s="9">
        <f t="shared" si="5"/>
        <v>0.14000000000000001</v>
      </c>
      <c r="AG102" s="9">
        <f t="shared" si="6"/>
        <v>0.7</v>
      </c>
      <c r="AH102" s="11">
        <f t="shared" si="15"/>
        <v>0</v>
      </c>
      <c r="AI102" s="11">
        <f t="shared" si="15"/>
        <v>7</v>
      </c>
      <c r="AJ102" s="11">
        <f t="shared" si="15"/>
        <v>0</v>
      </c>
      <c r="AK102" s="11">
        <f t="shared" si="15"/>
        <v>7</v>
      </c>
      <c r="AL102" s="11">
        <f t="shared" si="15"/>
        <v>0</v>
      </c>
      <c r="AM102" s="2"/>
      <c r="AN102" s="2"/>
      <c r="AO102" s="2"/>
    </row>
    <row r="103" spans="1:41" x14ac:dyDescent="0.2">
      <c r="A103" s="2" t="s">
        <v>276</v>
      </c>
      <c r="B103" s="2" t="s">
        <v>93</v>
      </c>
      <c r="C103" s="2" t="s">
        <v>48</v>
      </c>
      <c r="D103" s="2"/>
      <c r="E103" s="2" t="s">
        <v>50</v>
      </c>
      <c r="F103" s="2" t="s">
        <v>277</v>
      </c>
      <c r="G103" s="2" t="s">
        <v>104</v>
      </c>
      <c r="H103" s="12">
        <v>0.22789899999999999</v>
      </c>
      <c r="I103" s="2">
        <v>0.17</v>
      </c>
      <c r="J103" s="13">
        <v>1.85</v>
      </c>
      <c r="K103" s="14">
        <v>33</v>
      </c>
      <c r="L103" s="2">
        <v>2.96</v>
      </c>
      <c r="M103" s="9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9">
        <f t="shared" si="0"/>
        <v>3.8742829999999999E-4</v>
      </c>
      <c r="AB103" s="9">
        <f t="shared" si="1"/>
        <v>4.2161315000000003E-3</v>
      </c>
      <c r="AC103" s="10">
        <f t="shared" si="2"/>
        <v>7.5206669999999995</v>
      </c>
      <c r="AD103" s="10">
        <f t="shared" si="3"/>
        <v>0</v>
      </c>
      <c r="AE103" s="9">
        <f t="shared" si="4"/>
        <v>6.7458103999999998E-3</v>
      </c>
      <c r="AF103" s="9">
        <f t="shared" si="5"/>
        <v>1.13493702E-2</v>
      </c>
      <c r="AG103" s="9">
        <f t="shared" si="6"/>
        <v>4.9800000000000004</v>
      </c>
      <c r="AH103" s="11">
        <f t="shared" si="15"/>
        <v>3.8742829999999999E-2</v>
      </c>
      <c r="AI103" s="11">
        <f t="shared" si="15"/>
        <v>0.42161314999999999</v>
      </c>
      <c r="AJ103" s="11">
        <f t="shared" si="15"/>
        <v>7.5206669999999995</v>
      </c>
      <c r="AK103" s="11">
        <f t="shared" si="15"/>
        <v>0.67458103999999997</v>
      </c>
      <c r="AL103" s="11">
        <f t="shared" si="15"/>
        <v>0</v>
      </c>
      <c r="AM103" s="2"/>
      <c r="AN103" s="2"/>
      <c r="AO103" s="2"/>
    </row>
    <row r="104" spans="1:41" x14ac:dyDescent="0.2">
      <c r="A104" s="2" t="s">
        <v>278</v>
      </c>
      <c r="B104" s="2" t="s">
        <v>93</v>
      </c>
      <c r="C104" s="2" t="s">
        <v>48</v>
      </c>
      <c r="D104" s="2"/>
      <c r="E104" s="2" t="s">
        <v>50</v>
      </c>
      <c r="F104" s="2" t="s">
        <v>279</v>
      </c>
      <c r="G104" s="2" t="s">
        <v>280</v>
      </c>
      <c r="H104" s="2">
        <v>107</v>
      </c>
      <c r="I104" s="9">
        <v>3.4943925233644859</v>
      </c>
      <c r="J104" s="9">
        <v>8.6915887850467291E-2</v>
      </c>
      <c r="K104" s="13">
        <v>9.2523364485981308</v>
      </c>
      <c r="L104" s="9">
        <v>0.18831775700934578</v>
      </c>
      <c r="M104" s="9">
        <v>0.10579439252336449</v>
      </c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9">
        <f t="shared" si="0"/>
        <v>3.7389999999999999</v>
      </c>
      <c r="AB104" s="9">
        <f t="shared" si="1"/>
        <v>9.3000000000000013E-2</v>
      </c>
      <c r="AC104" s="10">
        <f t="shared" si="2"/>
        <v>990</v>
      </c>
      <c r="AD104" s="10">
        <f t="shared" si="3"/>
        <v>11.32</v>
      </c>
      <c r="AE104" s="9">
        <f t="shared" si="4"/>
        <v>0.20149999999999998</v>
      </c>
      <c r="AF104" s="9">
        <f t="shared" si="5"/>
        <v>4.0335000000000001</v>
      </c>
      <c r="AG104" s="9">
        <f t="shared" si="6"/>
        <v>3.7696261682242991</v>
      </c>
      <c r="AH104" s="11">
        <f t="shared" si="15"/>
        <v>373.9</v>
      </c>
      <c r="AI104" s="11">
        <f t="shared" si="15"/>
        <v>9.3000000000000007</v>
      </c>
      <c r="AJ104" s="11">
        <f t="shared" si="15"/>
        <v>990</v>
      </c>
      <c r="AK104" s="11">
        <f t="shared" si="15"/>
        <v>20.149999999999999</v>
      </c>
      <c r="AL104" s="11">
        <f t="shared" si="15"/>
        <v>11.32</v>
      </c>
      <c r="AM104" s="2"/>
      <c r="AN104" s="2"/>
      <c r="AO104" s="2"/>
    </row>
    <row r="105" spans="1:41" x14ac:dyDescent="0.2">
      <c r="A105" s="2" t="s">
        <v>281</v>
      </c>
      <c r="B105" s="2" t="s">
        <v>93</v>
      </c>
      <c r="C105" s="2" t="s">
        <v>38</v>
      </c>
      <c r="D105" s="2" t="s">
        <v>62</v>
      </c>
      <c r="E105" s="2" t="s">
        <v>50</v>
      </c>
      <c r="F105" s="2" t="s">
        <v>282</v>
      </c>
      <c r="G105" s="2" t="s">
        <v>106</v>
      </c>
      <c r="H105" s="2">
        <v>43.6</v>
      </c>
      <c r="I105" s="2">
        <v>0.95</v>
      </c>
      <c r="J105" s="2">
        <v>4.09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9">
        <f t="shared" si="0"/>
        <v>0.41420000000000001</v>
      </c>
      <c r="AB105" s="9">
        <f t="shared" si="1"/>
        <v>1.7832400000000002</v>
      </c>
      <c r="AC105" s="10">
        <f t="shared" si="2"/>
        <v>0</v>
      </c>
      <c r="AD105" s="10">
        <f t="shared" si="3"/>
        <v>0</v>
      </c>
      <c r="AE105" s="9">
        <f t="shared" si="4"/>
        <v>0</v>
      </c>
      <c r="AF105" s="9">
        <f t="shared" si="5"/>
        <v>2.1974400000000003</v>
      </c>
      <c r="AG105" s="9">
        <f t="shared" si="6"/>
        <v>5.04</v>
      </c>
      <c r="AH105" s="11">
        <f t="shared" si="15"/>
        <v>41.42</v>
      </c>
      <c r="AI105" s="11">
        <f t="shared" si="15"/>
        <v>178.32400000000001</v>
      </c>
      <c r="AJ105" s="11">
        <f t="shared" si="15"/>
        <v>0</v>
      </c>
      <c r="AK105" s="11">
        <f t="shared" si="15"/>
        <v>0</v>
      </c>
      <c r="AL105" s="11">
        <f t="shared" si="15"/>
        <v>0</v>
      </c>
      <c r="AM105" s="2"/>
      <c r="AN105" s="2"/>
      <c r="AO105" s="2"/>
    </row>
    <row r="106" spans="1:41" x14ac:dyDescent="0.2">
      <c r="A106" s="2" t="s">
        <v>283</v>
      </c>
      <c r="B106" s="2" t="s">
        <v>93</v>
      </c>
      <c r="C106" s="2" t="s">
        <v>157</v>
      </c>
      <c r="D106" s="2"/>
      <c r="E106" s="2" t="s">
        <v>50</v>
      </c>
      <c r="F106" s="2" t="s">
        <v>284</v>
      </c>
      <c r="G106" s="2" t="s">
        <v>285</v>
      </c>
      <c r="H106" s="12">
        <v>0.209338</v>
      </c>
      <c r="I106" s="9">
        <v>1.3221077874060132</v>
      </c>
      <c r="J106" s="9">
        <v>1.1132319024735118</v>
      </c>
      <c r="K106" s="13">
        <v>161.00705079823064</v>
      </c>
      <c r="L106" s="2"/>
      <c r="M106" s="9">
        <v>2.1011007079460007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9">
        <f t="shared" si="0"/>
        <v>2.7676739999999999E-3</v>
      </c>
      <c r="AB106" s="9">
        <f t="shared" si="1"/>
        <v>2.3304174000000001E-3</v>
      </c>
      <c r="AC106" s="10">
        <f t="shared" si="2"/>
        <v>33.704894000000003</v>
      </c>
      <c r="AD106" s="10">
        <f t="shared" si="3"/>
        <v>0.43984021999999989</v>
      </c>
      <c r="AE106" s="9">
        <f t="shared" si="4"/>
        <v>0</v>
      </c>
      <c r="AF106" s="9">
        <f t="shared" si="5"/>
        <v>5.0980914E-3</v>
      </c>
      <c r="AG106" s="9">
        <f t="shared" si="6"/>
        <v>2.435339689879525</v>
      </c>
      <c r="AH106" s="11">
        <f t="shared" si="15"/>
        <v>0.2767674</v>
      </c>
      <c r="AI106" s="11">
        <f t="shared" si="15"/>
        <v>0.23304174</v>
      </c>
      <c r="AJ106" s="11">
        <f t="shared" si="15"/>
        <v>33.704894000000003</v>
      </c>
      <c r="AK106" s="11">
        <f t="shared" si="15"/>
        <v>0</v>
      </c>
      <c r="AL106" s="11">
        <f t="shared" si="15"/>
        <v>0.43984021999999989</v>
      </c>
      <c r="AM106" s="2"/>
      <c r="AN106" s="2"/>
      <c r="AO106" s="2"/>
    </row>
    <row r="107" spans="1:41" x14ac:dyDescent="0.2">
      <c r="A107" s="2" t="s">
        <v>286</v>
      </c>
      <c r="B107" s="2" t="s">
        <v>93</v>
      </c>
      <c r="C107" s="2" t="s">
        <v>48</v>
      </c>
      <c r="D107" s="2"/>
      <c r="E107" s="2" t="s">
        <v>50</v>
      </c>
      <c r="F107" s="2" t="s">
        <v>41</v>
      </c>
      <c r="G107" s="2" t="s">
        <v>287</v>
      </c>
      <c r="H107" s="12">
        <v>0.215534</v>
      </c>
      <c r="I107" s="2">
        <v>4.91</v>
      </c>
      <c r="J107" s="9">
        <v>2.2000000000000002</v>
      </c>
      <c r="K107" s="2">
        <v>193.6</v>
      </c>
      <c r="L107" s="2">
        <v>0.15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9">
        <f t="shared" si="0"/>
        <v>1.0582719400000001E-2</v>
      </c>
      <c r="AB107" s="9">
        <f t="shared" si="1"/>
        <v>4.7417480000000005E-3</v>
      </c>
      <c r="AC107" s="10">
        <f t="shared" si="2"/>
        <v>41.727382399999996</v>
      </c>
      <c r="AD107" s="10">
        <f t="shared" si="3"/>
        <v>0</v>
      </c>
      <c r="AE107" s="9">
        <f t="shared" si="4"/>
        <v>3.2330100000000001E-4</v>
      </c>
      <c r="AF107" s="9">
        <f t="shared" si="5"/>
        <v>1.5647768400000001E-2</v>
      </c>
      <c r="AG107" s="9">
        <f t="shared" si="6"/>
        <v>7.2600000000000007</v>
      </c>
      <c r="AH107" s="11">
        <f t="shared" si="15"/>
        <v>1.05827194</v>
      </c>
      <c r="AI107" s="11">
        <f t="shared" si="15"/>
        <v>0.47417480000000006</v>
      </c>
      <c r="AJ107" s="11">
        <f t="shared" si="15"/>
        <v>41.727382399999996</v>
      </c>
      <c r="AK107" s="11">
        <f t="shared" si="15"/>
        <v>3.2330100000000001E-2</v>
      </c>
      <c r="AL107" s="11">
        <f t="shared" si="15"/>
        <v>0</v>
      </c>
      <c r="AM107" s="2"/>
      <c r="AN107" s="2"/>
      <c r="AO107" s="2"/>
    </row>
    <row r="108" spans="1:41" x14ac:dyDescent="0.2">
      <c r="A108" s="2" t="s">
        <v>288</v>
      </c>
      <c r="B108" s="2" t="s">
        <v>93</v>
      </c>
      <c r="C108" s="2" t="s">
        <v>54</v>
      </c>
      <c r="D108" s="2" t="s">
        <v>289</v>
      </c>
      <c r="E108" s="2" t="s">
        <v>50</v>
      </c>
      <c r="F108" s="2" t="s">
        <v>290</v>
      </c>
      <c r="G108" s="2" t="s">
        <v>291</v>
      </c>
      <c r="H108" s="12">
        <v>4.8761299999999999</v>
      </c>
      <c r="I108" s="19">
        <v>0.14567621444344522</v>
      </c>
      <c r="J108" s="9">
        <v>1.3280000000000001</v>
      </c>
      <c r="K108" s="13">
        <v>79.290000000000006</v>
      </c>
      <c r="L108" s="19">
        <v>1.6628909310248075E-2</v>
      </c>
      <c r="M108" s="9">
        <v>0.29399999999999998</v>
      </c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>
        <v>88</v>
      </c>
      <c r="Z108" s="2" t="s">
        <v>292</v>
      </c>
      <c r="AA108" s="9">
        <f t="shared" si="0"/>
        <v>7.1033615953411651E-3</v>
      </c>
      <c r="AB108" s="9">
        <f t="shared" si="1"/>
        <v>6.4755006399999995E-2</v>
      </c>
      <c r="AC108" s="10">
        <f t="shared" si="2"/>
        <v>386.62834770000001</v>
      </c>
      <c r="AD108" s="10">
        <f t="shared" si="3"/>
        <v>1.4335822199999999</v>
      </c>
      <c r="AE108" s="9">
        <f t="shared" si="4"/>
        <v>8.1084723554979935E-4</v>
      </c>
      <c r="AF108" s="9">
        <f t="shared" si="5"/>
        <v>7.2669215230890968E-2</v>
      </c>
      <c r="AG108" s="9">
        <f t="shared" si="6"/>
        <v>1.4903051237536933</v>
      </c>
      <c r="AH108" s="11">
        <f t="shared" si="15"/>
        <v>0.71033615953411655</v>
      </c>
      <c r="AI108" s="11">
        <f t="shared" si="15"/>
        <v>6.4755006399999999</v>
      </c>
      <c r="AJ108" s="11">
        <f t="shared" si="15"/>
        <v>386.62834770000001</v>
      </c>
      <c r="AK108" s="11">
        <f t="shared" si="15"/>
        <v>8.1084723554979934E-2</v>
      </c>
      <c r="AL108" s="11">
        <f t="shared" si="15"/>
        <v>1.4335822199999999</v>
      </c>
      <c r="AM108" s="2"/>
      <c r="AN108" s="2"/>
      <c r="AO108" s="2"/>
    </row>
    <row r="109" spans="1:41" x14ac:dyDescent="0.2">
      <c r="A109" s="2" t="s">
        <v>293</v>
      </c>
      <c r="B109" s="2" t="s">
        <v>93</v>
      </c>
      <c r="C109" s="2" t="s">
        <v>54</v>
      </c>
      <c r="D109" s="2" t="s">
        <v>77</v>
      </c>
      <c r="E109" s="2" t="s">
        <v>50</v>
      </c>
      <c r="F109" s="2" t="s">
        <v>294</v>
      </c>
      <c r="G109" s="2" t="s">
        <v>254</v>
      </c>
      <c r="H109" s="12">
        <v>0.145097</v>
      </c>
      <c r="I109" s="2">
        <v>11.46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9">
        <f t="shared" si="0"/>
        <v>1.6628116200000001E-2</v>
      </c>
      <c r="AB109" s="9">
        <f t="shared" si="1"/>
        <v>0</v>
      </c>
      <c r="AC109" s="10">
        <f t="shared" si="2"/>
        <v>0</v>
      </c>
      <c r="AD109" s="10">
        <f t="shared" si="3"/>
        <v>0</v>
      </c>
      <c r="AE109" s="9">
        <f t="shared" si="4"/>
        <v>0</v>
      </c>
      <c r="AF109" s="9">
        <f t="shared" si="5"/>
        <v>1.6628116200000001E-2</v>
      </c>
      <c r="AG109" s="9">
        <f t="shared" si="6"/>
        <v>11.46</v>
      </c>
      <c r="AH109" s="11">
        <f t="shared" si="15"/>
        <v>1.6628116200000003</v>
      </c>
      <c r="AI109" s="11">
        <f t="shared" si="15"/>
        <v>0</v>
      </c>
      <c r="AJ109" s="11">
        <f t="shared" si="15"/>
        <v>0</v>
      </c>
      <c r="AK109" s="11">
        <f t="shared" si="15"/>
        <v>0</v>
      </c>
      <c r="AL109" s="11">
        <f t="shared" si="15"/>
        <v>0</v>
      </c>
      <c r="AM109" s="2"/>
      <c r="AN109" s="2"/>
      <c r="AO109" s="2"/>
    </row>
    <row r="110" spans="1:41" x14ac:dyDescent="0.2">
      <c r="A110" s="2" t="s">
        <v>295</v>
      </c>
      <c r="B110" s="2" t="s">
        <v>93</v>
      </c>
      <c r="C110" s="2" t="s">
        <v>38</v>
      </c>
      <c r="D110" s="2" t="s">
        <v>62</v>
      </c>
      <c r="E110" s="2" t="s">
        <v>50</v>
      </c>
      <c r="F110" s="2" t="s">
        <v>200</v>
      </c>
      <c r="G110" s="2" t="s">
        <v>106</v>
      </c>
      <c r="H110" s="2">
        <v>8.0960000000000001</v>
      </c>
      <c r="I110" s="2">
        <v>0.3</v>
      </c>
      <c r="J110" s="9">
        <v>0.7</v>
      </c>
      <c r="K110" s="2">
        <v>9</v>
      </c>
      <c r="L110" s="9">
        <v>1.2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9">
        <f t="shared" si="0"/>
        <v>2.4287999999999997E-2</v>
      </c>
      <c r="AB110" s="9">
        <f t="shared" si="1"/>
        <v>5.6671999999999993E-2</v>
      </c>
      <c r="AC110" s="10">
        <f t="shared" si="2"/>
        <v>72.864000000000004</v>
      </c>
      <c r="AD110" s="10">
        <f t="shared" si="3"/>
        <v>0</v>
      </c>
      <c r="AE110" s="9">
        <f t="shared" si="4"/>
        <v>9.7151999999999988E-2</v>
      </c>
      <c r="AF110" s="9">
        <f t="shared" si="5"/>
        <v>0.17811199999999999</v>
      </c>
      <c r="AG110" s="9">
        <f t="shared" si="6"/>
        <v>2.2000000000000002</v>
      </c>
      <c r="AH110" s="11">
        <f t="shared" si="15"/>
        <v>2.4287999999999998</v>
      </c>
      <c r="AI110" s="11">
        <f t="shared" si="15"/>
        <v>5.6671999999999993</v>
      </c>
      <c r="AJ110" s="11">
        <f t="shared" si="15"/>
        <v>72.864000000000004</v>
      </c>
      <c r="AK110" s="11">
        <f t="shared" si="15"/>
        <v>9.7151999999999994</v>
      </c>
      <c r="AL110" s="11">
        <f t="shared" si="15"/>
        <v>0</v>
      </c>
      <c r="AM110" s="2"/>
      <c r="AN110" s="2"/>
      <c r="AO110" s="2"/>
    </row>
    <row r="111" spans="1:41" x14ac:dyDescent="0.2">
      <c r="A111" s="2" t="s">
        <v>296</v>
      </c>
      <c r="B111" s="2" t="s">
        <v>93</v>
      </c>
      <c r="C111" s="2" t="s">
        <v>157</v>
      </c>
      <c r="D111" s="2"/>
      <c r="E111" s="2" t="s">
        <v>50</v>
      </c>
      <c r="F111" s="2" t="s">
        <v>297</v>
      </c>
      <c r="G111" s="2" t="s">
        <v>225</v>
      </c>
      <c r="H111" s="2">
        <v>78</v>
      </c>
      <c r="I111" s="9">
        <v>0.2472692307692308</v>
      </c>
      <c r="J111" s="9">
        <v>0.50384615384615394</v>
      </c>
      <c r="K111" s="2"/>
      <c r="L111" s="9">
        <v>0.28423076923076923</v>
      </c>
      <c r="M111" s="2"/>
      <c r="N111" s="2"/>
      <c r="O111" s="2"/>
      <c r="P111" s="2"/>
      <c r="Q111" s="2"/>
      <c r="R111" s="2"/>
      <c r="S111" s="2"/>
      <c r="T111" s="2"/>
      <c r="U111" s="9">
        <v>0.32961538461538464</v>
      </c>
      <c r="V111" s="9"/>
      <c r="W111" s="9"/>
      <c r="X111" s="9"/>
      <c r="Y111" s="9"/>
      <c r="Z111" s="2"/>
      <c r="AA111" s="9">
        <f t="shared" si="0"/>
        <v>0.19287000000000001</v>
      </c>
      <c r="AB111" s="9">
        <f t="shared" si="1"/>
        <v>0.39300000000000002</v>
      </c>
      <c r="AC111" s="10">
        <f t="shared" si="2"/>
        <v>0</v>
      </c>
      <c r="AD111" s="10">
        <f t="shared" si="3"/>
        <v>0</v>
      </c>
      <c r="AE111" s="9">
        <f t="shared" si="4"/>
        <v>0.22170000000000001</v>
      </c>
      <c r="AF111" s="9">
        <f t="shared" si="5"/>
        <v>0.80757000000000001</v>
      </c>
      <c r="AG111" s="9">
        <f t="shared" si="6"/>
        <v>1.0353461538461539</v>
      </c>
      <c r="AH111" s="11">
        <f t="shared" si="15"/>
        <v>19.287000000000003</v>
      </c>
      <c r="AI111" s="11">
        <f t="shared" si="15"/>
        <v>39.300000000000004</v>
      </c>
      <c r="AJ111" s="11">
        <f t="shared" si="15"/>
        <v>0</v>
      </c>
      <c r="AK111" s="11">
        <f t="shared" si="15"/>
        <v>22.17</v>
      </c>
      <c r="AL111" s="11">
        <f t="shared" si="15"/>
        <v>0</v>
      </c>
      <c r="AM111" s="2"/>
      <c r="AN111" s="2"/>
      <c r="AO111" s="2"/>
    </row>
    <row r="112" spans="1:41" x14ac:dyDescent="0.2">
      <c r="A112" s="2" t="s">
        <v>298</v>
      </c>
      <c r="B112" s="2" t="s">
        <v>93</v>
      </c>
      <c r="C112" s="2" t="s">
        <v>38</v>
      </c>
      <c r="D112" s="2" t="s">
        <v>39</v>
      </c>
      <c r="E112" s="2" t="s">
        <v>50</v>
      </c>
      <c r="F112" s="2" t="s">
        <v>97</v>
      </c>
      <c r="G112" s="2" t="s">
        <v>98</v>
      </c>
      <c r="H112" s="12">
        <v>2.1450389999999997</v>
      </c>
      <c r="I112" s="2">
        <v>1.22</v>
      </c>
      <c r="J112" s="2">
        <v>4.41</v>
      </c>
      <c r="K112" s="2">
        <v>32.700000000000003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9">
        <f t="shared" si="0"/>
        <v>2.6169475799999998E-2</v>
      </c>
      <c r="AB112" s="9">
        <f t="shared" si="1"/>
        <v>9.4596219899999986E-2</v>
      </c>
      <c r="AC112" s="10">
        <f t="shared" si="2"/>
        <v>70.142775299999997</v>
      </c>
      <c r="AD112" s="10">
        <f t="shared" si="3"/>
        <v>0</v>
      </c>
      <c r="AE112" s="9">
        <f t="shared" si="4"/>
        <v>0</v>
      </c>
      <c r="AF112" s="9">
        <f t="shared" si="5"/>
        <v>0.12076569569999998</v>
      </c>
      <c r="AG112" s="9">
        <f t="shared" si="6"/>
        <v>5.63</v>
      </c>
      <c r="AH112" s="11">
        <f t="shared" si="15"/>
        <v>2.6169475799999997</v>
      </c>
      <c r="AI112" s="11">
        <f t="shared" si="15"/>
        <v>9.4596219899999987</v>
      </c>
      <c r="AJ112" s="11">
        <f t="shared" si="15"/>
        <v>70.142775299999997</v>
      </c>
      <c r="AK112" s="11">
        <f t="shared" si="15"/>
        <v>0</v>
      </c>
      <c r="AL112" s="11">
        <f t="shared" si="15"/>
        <v>0</v>
      </c>
      <c r="AM112" s="2"/>
      <c r="AN112" s="2"/>
      <c r="AO112" s="2"/>
    </row>
    <row r="113" spans="1:41" x14ac:dyDescent="0.2">
      <c r="A113" s="2" t="s">
        <v>299</v>
      </c>
      <c r="B113" s="2" t="s">
        <v>93</v>
      </c>
      <c r="C113" s="2" t="s">
        <v>48</v>
      </c>
      <c r="D113" s="2"/>
      <c r="E113" s="2" t="s">
        <v>50</v>
      </c>
      <c r="F113" s="2" t="s">
        <v>300</v>
      </c>
      <c r="G113" s="2" t="s">
        <v>95</v>
      </c>
      <c r="H113" s="2">
        <v>4.4580000000000002</v>
      </c>
      <c r="I113" s="2">
        <v>0.92</v>
      </c>
      <c r="J113" s="2">
        <v>3.24</v>
      </c>
      <c r="K113" s="2">
        <v>25.97</v>
      </c>
      <c r="L113" s="2">
        <v>0.81</v>
      </c>
      <c r="M113" s="2">
        <v>0.31</v>
      </c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9">
        <f t="shared" si="0"/>
        <v>4.1013600000000004E-2</v>
      </c>
      <c r="AB113" s="9">
        <f t="shared" si="1"/>
        <v>0.14443920000000002</v>
      </c>
      <c r="AC113" s="10">
        <f t="shared" si="2"/>
        <v>115.77426</v>
      </c>
      <c r="AD113" s="10">
        <f t="shared" si="3"/>
        <v>1.38198</v>
      </c>
      <c r="AE113" s="9">
        <f t="shared" si="4"/>
        <v>3.6109800000000004E-2</v>
      </c>
      <c r="AF113" s="9">
        <f t="shared" si="5"/>
        <v>0.22156260000000003</v>
      </c>
      <c r="AG113" s="9">
        <f t="shared" si="6"/>
        <v>4.9700000000000006</v>
      </c>
      <c r="AH113" s="11">
        <f t="shared" si="15"/>
        <v>4.1013600000000006</v>
      </c>
      <c r="AI113" s="11">
        <f t="shared" si="15"/>
        <v>14.443920000000002</v>
      </c>
      <c r="AJ113" s="11">
        <f t="shared" si="15"/>
        <v>115.77426</v>
      </c>
      <c r="AK113" s="11">
        <f t="shared" si="15"/>
        <v>3.6109800000000005</v>
      </c>
      <c r="AL113" s="11">
        <f t="shared" si="15"/>
        <v>1.38198</v>
      </c>
      <c r="AM113" s="2"/>
      <c r="AN113" s="2"/>
      <c r="AO113" s="2"/>
    </row>
    <row r="114" spans="1:41" x14ac:dyDescent="0.2">
      <c r="A114" s="2" t="s">
        <v>301</v>
      </c>
      <c r="B114" s="2" t="s">
        <v>93</v>
      </c>
      <c r="C114" s="2" t="s">
        <v>48</v>
      </c>
      <c r="D114" s="2"/>
      <c r="E114" s="2" t="s">
        <v>50</v>
      </c>
      <c r="F114" s="2" t="s">
        <v>302</v>
      </c>
      <c r="G114" s="2" t="s">
        <v>106</v>
      </c>
      <c r="H114" s="12">
        <v>4.867</v>
      </c>
      <c r="I114" s="9">
        <v>1.6848572015615371</v>
      </c>
      <c r="J114" s="9">
        <v>0.93519621943702502</v>
      </c>
      <c r="K114" s="14">
        <v>33.25518800082186</v>
      </c>
      <c r="L114" s="9">
        <v>1.208506266694062</v>
      </c>
      <c r="M114" s="9">
        <v>1.1089089788370656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9">
        <f t="shared" si="0"/>
        <v>8.2002000000000005E-2</v>
      </c>
      <c r="AB114" s="9">
        <f t="shared" si="1"/>
        <v>4.5516000000000008E-2</v>
      </c>
      <c r="AC114" s="10">
        <f t="shared" si="2"/>
        <v>161.85299999999998</v>
      </c>
      <c r="AD114" s="10">
        <f t="shared" si="3"/>
        <v>5.397059999999998</v>
      </c>
      <c r="AE114" s="9">
        <f t="shared" si="4"/>
        <v>5.8818000000000002E-2</v>
      </c>
      <c r="AF114" s="9">
        <f t="shared" si="5"/>
        <v>0.18633600000000003</v>
      </c>
      <c r="AG114" s="9">
        <f t="shared" si="6"/>
        <v>3.828559687692624</v>
      </c>
      <c r="AH114" s="11">
        <f t="shared" ref="AH114:AL129" si="16">$H114*I114</f>
        <v>8.2002000000000006</v>
      </c>
      <c r="AI114" s="11">
        <f t="shared" si="16"/>
        <v>4.5516000000000005</v>
      </c>
      <c r="AJ114" s="11">
        <f t="shared" si="16"/>
        <v>161.85299999999998</v>
      </c>
      <c r="AK114" s="11">
        <f t="shared" si="16"/>
        <v>5.8818000000000001</v>
      </c>
      <c r="AL114" s="11">
        <f t="shared" si="16"/>
        <v>5.397059999999998</v>
      </c>
      <c r="AM114" s="2"/>
      <c r="AN114" s="2"/>
      <c r="AO114" s="2"/>
    </row>
    <row r="115" spans="1:41" x14ac:dyDescent="0.2">
      <c r="A115" s="2" t="s">
        <v>303</v>
      </c>
      <c r="B115" s="2" t="s">
        <v>93</v>
      </c>
      <c r="C115" s="2" t="s">
        <v>48</v>
      </c>
      <c r="D115" s="2"/>
      <c r="E115" s="2" t="s">
        <v>50</v>
      </c>
      <c r="F115" s="2" t="s">
        <v>304</v>
      </c>
      <c r="G115" s="2" t="s">
        <v>101</v>
      </c>
      <c r="H115" s="2">
        <v>0.89500000000000002</v>
      </c>
      <c r="I115" s="13">
        <v>0.72572067039106158</v>
      </c>
      <c r="J115" s="13">
        <v>3.9948603351955314</v>
      </c>
      <c r="K115" s="13">
        <v>11.315083798882682</v>
      </c>
      <c r="L115" s="13">
        <v>0.7974301675977653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9">
        <f t="shared" si="0"/>
        <v>6.4952000000000013E-3</v>
      </c>
      <c r="AB115" s="9">
        <f t="shared" si="1"/>
        <v>3.5754000000000008E-2</v>
      </c>
      <c r="AC115" s="10">
        <f t="shared" si="2"/>
        <v>10.127000000000001</v>
      </c>
      <c r="AD115" s="10">
        <f t="shared" si="3"/>
        <v>0</v>
      </c>
      <c r="AE115" s="9">
        <f t="shared" si="4"/>
        <v>7.1370000000000001E-3</v>
      </c>
      <c r="AF115" s="9">
        <f t="shared" si="5"/>
        <v>4.9386200000000005E-2</v>
      </c>
      <c r="AG115" s="9">
        <f t="shared" si="6"/>
        <v>5.518011173184358</v>
      </c>
      <c r="AH115" s="11">
        <f t="shared" si="16"/>
        <v>0.6495200000000001</v>
      </c>
      <c r="AI115" s="11">
        <f t="shared" si="16"/>
        <v>3.5754000000000006</v>
      </c>
      <c r="AJ115" s="11">
        <f t="shared" si="16"/>
        <v>10.127000000000001</v>
      </c>
      <c r="AK115" s="11">
        <f t="shared" si="16"/>
        <v>0.7137</v>
      </c>
      <c r="AL115" s="11">
        <f t="shared" si="16"/>
        <v>0</v>
      </c>
      <c r="AM115" s="2"/>
      <c r="AN115" s="2"/>
      <c r="AO115" s="2"/>
    </row>
    <row r="116" spans="1:41" x14ac:dyDescent="0.2">
      <c r="A116" s="2" t="s">
        <v>305</v>
      </c>
      <c r="B116" s="2" t="s">
        <v>93</v>
      </c>
      <c r="C116" s="2" t="s">
        <v>38</v>
      </c>
      <c r="D116" s="2" t="s">
        <v>62</v>
      </c>
      <c r="E116" s="2" t="s">
        <v>50</v>
      </c>
      <c r="F116" s="2" t="s">
        <v>306</v>
      </c>
      <c r="G116" s="2" t="s">
        <v>106</v>
      </c>
      <c r="H116" s="12">
        <v>8.8520000000000003</v>
      </c>
      <c r="I116" s="9">
        <v>3.4649062358788973</v>
      </c>
      <c r="J116" s="9">
        <v>1.4796825576140984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9">
        <f t="shared" si="0"/>
        <v>0.30671350000000003</v>
      </c>
      <c r="AB116" s="9">
        <f t="shared" si="1"/>
        <v>0.13098149999999997</v>
      </c>
      <c r="AC116" s="10">
        <f t="shared" si="2"/>
        <v>0</v>
      </c>
      <c r="AD116" s="10">
        <f t="shared" si="3"/>
        <v>0</v>
      </c>
      <c r="AE116" s="9">
        <f t="shared" si="4"/>
        <v>0</v>
      </c>
      <c r="AF116" s="9">
        <f t="shared" si="5"/>
        <v>0.437695</v>
      </c>
      <c r="AG116" s="9">
        <f t="shared" si="6"/>
        <v>4.9445887934929953</v>
      </c>
      <c r="AH116" s="11">
        <f t="shared" si="16"/>
        <v>30.67135</v>
      </c>
      <c r="AI116" s="11">
        <f t="shared" si="16"/>
        <v>13.098149999999999</v>
      </c>
      <c r="AJ116" s="11">
        <f t="shared" si="16"/>
        <v>0</v>
      </c>
      <c r="AK116" s="11">
        <f t="shared" si="16"/>
        <v>0</v>
      </c>
      <c r="AL116" s="11">
        <f t="shared" si="16"/>
        <v>0</v>
      </c>
      <c r="AM116" s="2"/>
      <c r="AN116" s="2"/>
      <c r="AO116" s="2"/>
    </row>
    <row r="117" spans="1:41" x14ac:dyDescent="0.2">
      <c r="A117" s="2" t="s">
        <v>307</v>
      </c>
      <c r="B117" s="2" t="s">
        <v>93</v>
      </c>
      <c r="C117" s="2" t="s">
        <v>54</v>
      </c>
      <c r="D117" s="2" t="s">
        <v>308</v>
      </c>
      <c r="E117" s="2" t="s">
        <v>50</v>
      </c>
      <c r="F117" s="2" t="s">
        <v>309</v>
      </c>
      <c r="G117" s="2" t="s">
        <v>310</v>
      </c>
      <c r="H117" s="2">
        <v>5.9</v>
      </c>
      <c r="I117" s="2">
        <v>0.6</v>
      </c>
      <c r="J117" s="2"/>
      <c r="K117" s="2">
        <v>110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9">
        <f t="shared" si="0"/>
        <v>3.5400000000000001E-2</v>
      </c>
      <c r="AB117" s="9">
        <f t="shared" si="1"/>
        <v>0</v>
      </c>
      <c r="AC117" s="10">
        <f t="shared" si="2"/>
        <v>649</v>
      </c>
      <c r="AD117" s="10">
        <f t="shared" si="3"/>
        <v>0</v>
      </c>
      <c r="AE117" s="9">
        <f t="shared" si="4"/>
        <v>0</v>
      </c>
      <c r="AF117" s="9">
        <f t="shared" si="5"/>
        <v>3.5400000000000001E-2</v>
      </c>
      <c r="AG117" s="9">
        <f t="shared" si="6"/>
        <v>0.6</v>
      </c>
      <c r="AH117" s="11">
        <f t="shared" si="16"/>
        <v>3.54</v>
      </c>
      <c r="AI117" s="11">
        <f t="shared" si="16"/>
        <v>0</v>
      </c>
      <c r="AJ117" s="11">
        <f t="shared" si="16"/>
        <v>649</v>
      </c>
      <c r="AK117" s="11">
        <f t="shared" si="16"/>
        <v>0</v>
      </c>
      <c r="AL117" s="11">
        <f t="shared" si="16"/>
        <v>0</v>
      </c>
      <c r="AM117" s="2"/>
      <c r="AN117" s="2"/>
      <c r="AO117" s="2"/>
    </row>
    <row r="118" spans="1:41" x14ac:dyDescent="0.2">
      <c r="A118" s="2" t="s">
        <v>311</v>
      </c>
      <c r="B118" s="2" t="s">
        <v>93</v>
      </c>
      <c r="C118" s="2" t="s">
        <v>48</v>
      </c>
      <c r="D118" s="2"/>
      <c r="E118" s="2" t="s">
        <v>50</v>
      </c>
      <c r="F118" s="2" t="s">
        <v>312</v>
      </c>
      <c r="G118" s="2" t="s">
        <v>104</v>
      </c>
      <c r="H118" s="2">
        <v>2.98</v>
      </c>
      <c r="I118" s="9">
        <v>1.5880000000000001</v>
      </c>
      <c r="J118" s="2">
        <v>4.9400000000000004</v>
      </c>
      <c r="K118" s="2">
        <v>15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9">
        <f t="shared" si="0"/>
        <v>4.7322400000000001E-2</v>
      </c>
      <c r="AB118" s="9">
        <f t="shared" si="1"/>
        <v>0.14721200000000001</v>
      </c>
      <c r="AC118" s="10">
        <f t="shared" si="2"/>
        <v>44.7</v>
      </c>
      <c r="AD118" s="10">
        <f t="shared" si="3"/>
        <v>0</v>
      </c>
      <c r="AE118" s="9">
        <f t="shared" si="4"/>
        <v>0</v>
      </c>
      <c r="AF118" s="9">
        <f t="shared" si="5"/>
        <v>0.1945344</v>
      </c>
      <c r="AG118" s="9">
        <f t="shared" si="6"/>
        <v>6.5280000000000005</v>
      </c>
      <c r="AH118" s="11">
        <f t="shared" si="16"/>
        <v>4.73224</v>
      </c>
      <c r="AI118" s="11">
        <f t="shared" si="16"/>
        <v>14.721200000000001</v>
      </c>
      <c r="AJ118" s="11">
        <f t="shared" si="16"/>
        <v>44.7</v>
      </c>
      <c r="AK118" s="11">
        <f t="shared" si="16"/>
        <v>0</v>
      </c>
      <c r="AL118" s="11">
        <f t="shared" si="16"/>
        <v>0</v>
      </c>
      <c r="AM118" s="2"/>
      <c r="AN118" s="2"/>
      <c r="AO118" s="2"/>
    </row>
    <row r="119" spans="1:41" x14ac:dyDescent="0.2">
      <c r="A119" s="2" t="s">
        <v>313</v>
      </c>
      <c r="B119" s="2" t="s">
        <v>93</v>
      </c>
      <c r="C119" s="2" t="s">
        <v>48</v>
      </c>
      <c r="D119" s="2"/>
      <c r="E119" s="2" t="s">
        <v>50</v>
      </c>
      <c r="F119" s="2" t="s">
        <v>184</v>
      </c>
      <c r="G119" s="2" t="s">
        <v>106</v>
      </c>
      <c r="H119" s="2">
        <v>0.68000000000000016</v>
      </c>
      <c r="I119" s="13">
        <v>2.4500000000000002</v>
      </c>
      <c r="J119" s="13">
        <v>4.9352941176470582</v>
      </c>
      <c r="K119" s="14">
        <v>78.999999999999986</v>
      </c>
      <c r="L119" s="13">
        <v>1.2058823529411762</v>
      </c>
      <c r="M119" s="13">
        <v>0.68823529411764695</v>
      </c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9">
        <f t="shared" si="0"/>
        <v>1.6660000000000005E-2</v>
      </c>
      <c r="AB119" s="9">
        <f t="shared" si="1"/>
        <v>3.3560000000000006E-2</v>
      </c>
      <c r="AC119" s="10">
        <f t="shared" si="2"/>
        <v>53.720000000000006</v>
      </c>
      <c r="AD119" s="10">
        <f t="shared" si="3"/>
        <v>0.46800000000000003</v>
      </c>
      <c r="AE119" s="9">
        <f t="shared" si="4"/>
        <v>8.199999999999999E-3</v>
      </c>
      <c r="AF119" s="9">
        <f t="shared" si="5"/>
        <v>5.8420000000000014E-2</v>
      </c>
      <c r="AG119" s="9">
        <f t="shared" si="6"/>
        <v>8.5911764705882341</v>
      </c>
      <c r="AH119" s="11">
        <f t="shared" si="16"/>
        <v>1.6660000000000006</v>
      </c>
      <c r="AI119" s="11">
        <f t="shared" si="16"/>
        <v>3.3560000000000003</v>
      </c>
      <c r="AJ119" s="11">
        <f t="shared" si="16"/>
        <v>53.720000000000006</v>
      </c>
      <c r="AK119" s="11">
        <f t="shared" si="16"/>
        <v>0.82</v>
      </c>
      <c r="AL119" s="11">
        <f t="shared" si="16"/>
        <v>0.46800000000000003</v>
      </c>
      <c r="AM119" s="2"/>
      <c r="AN119" s="2"/>
      <c r="AO119" s="2"/>
    </row>
    <row r="120" spans="1:41" x14ac:dyDescent="0.2">
      <c r="A120" s="2" t="s">
        <v>314</v>
      </c>
      <c r="B120" s="2" t="s">
        <v>93</v>
      </c>
      <c r="C120" s="2" t="s">
        <v>157</v>
      </c>
      <c r="D120" s="2"/>
      <c r="E120" s="2" t="s">
        <v>50</v>
      </c>
      <c r="F120" s="2" t="s">
        <v>204</v>
      </c>
      <c r="G120" s="2" t="s">
        <v>254</v>
      </c>
      <c r="H120" s="2">
        <v>1.59</v>
      </c>
      <c r="I120" s="2">
        <v>0.1</v>
      </c>
      <c r="J120" s="2">
        <v>4.5</v>
      </c>
      <c r="K120" s="2">
        <v>11</v>
      </c>
      <c r="L120" s="2">
        <v>0.6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9">
        <f t="shared" si="0"/>
        <v>1.5900000000000003E-3</v>
      </c>
      <c r="AB120" s="9">
        <f t="shared" si="1"/>
        <v>7.1550000000000002E-2</v>
      </c>
      <c r="AC120" s="10">
        <f t="shared" si="2"/>
        <v>17.490000000000002</v>
      </c>
      <c r="AD120" s="10">
        <f t="shared" si="3"/>
        <v>0</v>
      </c>
      <c r="AE120" s="9">
        <f t="shared" si="4"/>
        <v>9.5399999999999999E-3</v>
      </c>
      <c r="AF120" s="9">
        <f t="shared" si="5"/>
        <v>8.2680000000000003E-2</v>
      </c>
      <c r="AG120" s="9">
        <f t="shared" si="6"/>
        <v>5.1999999999999993</v>
      </c>
      <c r="AH120" s="11">
        <f t="shared" si="16"/>
        <v>0.15900000000000003</v>
      </c>
      <c r="AI120" s="11">
        <f t="shared" si="16"/>
        <v>7.1550000000000002</v>
      </c>
      <c r="AJ120" s="11">
        <f t="shared" si="16"/>
        <v>17.490000000000002</v>
      </c>
      <c r="AK120" s="11">
        <f t="shared" si="16"/>
        <v>0.95399999999999996</v>
      </c>
      <c r="AL120" s="11">
        <f t="shared" si="16"/>
        <v>0</v>
      </c>
      <c r="AM120" s="2"/>
      <c r="AN120" s="2"/>
      <c r="AO120" s="2"/>
    </row>
    <row r="121" spans="1:41" x14ac:dyDescent="0.2">
      <c r="A121" s="2" t="s">
        <v>315</v>
      </c>
      <c r="B121" s="2" t="s">
        <v>93</v>
      </c>
      <c r="C121" s="2" t="s">
        <v>48</v>
      </c>
      <c r="D121" s="2"/>
      <c r="E121" s="2" t="s">
        <v>50</v>
      </c>
      <c r="F121" s="2" t="s">
        <v>316</v>
      </c>
      <c r="G121" s="2" t="s">
        <v>101</v>
      </c>
      <c r="H121" s="2">
        <v>1.48</v>
      </c>
      <c r="I121" s="2"/>
      <c r="J121" s="2">
        <v>1.39</v>
      </c>
      <c r="K121" s="2">
        <v>3.31</v>
      </c>
      <c r="L121" s="2">
        <v>1.02</v>
      </c>
      <c r="M121" s="2">
        <v>0.24</v>
      </c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9">
        <f t="shared" si="0"/>
        <v>0</v>
      </c>
      <c r="AB121" s="9">
        <f t="shared" si="1"/>
        <v>2.0572E-2</v>
      </c>
      <c r="AC121" s="10">
        <f t="shared" si="2"/>
        <v>4.8987999999999996</v>
      </c>
      <c r="AD121" s="10">
        <f t="shared" si="3"/>
        <v>0.35519999999999996</v>
      </c>
      <c r="AE121" s="9">
        <f t="shared" si="4"/>
        <v>1.5096E-2</v>
      </c>
      <c r="AF121" s="9">
        <f t="shared" si="5"/>
        <v>3.5667999999999998E-2</v>
      </c>
      <c r="AG121" s="9">
        <f t="shared" si="6"/>
        <v>2.41</v>
      </c>
      <c r="AH121" s="11">
        <f t="shared" si="16"/>
        <v>0</v>
      </c>
      <c r="AI121" s="11">
        <f t="shared" si="16"/>
        <v>2.0571999999999999</v>
      </c>
      <c r="AJ121" s="11">
        <f t="shared" si="16"/>
        <v>4.8987999999999996</v>
      </c>
      <c r="AK121" s="11">
        <f t="shared" si="16"/>
        <v>1.5096000000000001</v>
      </c>
      <c r="AL121" s="11">
        <f t="shared" si="16"/>
        <v>0.35519999999999996</v>
      </c>
      <c r="AM121" s="2"/>
      <c r="AN121" s="2"/>
      <c r="AO121" s="2"/>
    </row>
    <row r="122" spans="1:41" x14ac:dyDescent="0.2">
      <c r="A122" s="2" t="s">
        <v>317</v>
      </c>
      <c r="B122" s="2" t="s">
        <v>93</v>
      </c>
      <c r="C122" s="2" t="s">
        <v>157</v>
      </c>
      <c r="D122" s="2"/>
      <c r="E122" s="2" t="s">
        <v>50</v>
      </c>
      <c r="F122" s="2" t="s">
        <v>204</v>
      </c>
      <c r="G122" s="2" t="s">
        <v>205</v>
      </c>
      <c r="H122" s="2">
        <v>0.9</v>
      </c>
      <c r="I122" s="2">
        <v>0.9</v>
      </c>
      <c r="J122" s="9">
        <v>3.4</v>
      </c>
      <c r="K122" s="13">
        <v>16</v>
      </c>
      <c r="L122" s="2">
        <v>0.2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9">
        <f t="shared" si="0"/>
        <v>8.1000000000000013E-3</v>
      </c>
      <c r="AB122" s="9">
        <f t="shared" si="1"/>
        <v>3.0600000000000002E-2</v>
      </c>
      <c r="AC122" s="10">
        <f t="shared" si="2"/>
        <v>14.4</v>
      </c>
      <c r="AD122" s="10">
        <f t="shared" si="3"/>
        <v>0</v>
      </c>
      <c r="AE122" s="9">
        <f t="shared" si="4"/>
        <v>1.8000000000000002E-3</v>
      </c>
      <c r="AF122" s="9">
        <f t="shared" si="5"/>
        <v>4.0500000000000008E-2</v>
      </c>
      <c r="AG122" s="9">
        <f t="shared" si="6"/>
        <v>4.5</v>
      </c>
      <c r="AH122" s="11">
        <f t="shared" si="16"/>
        <v>0.81</v>
      </c>
      <c r="AI122" s="11">
        <f t="shared" si="16"/>
        <v>3.06</v>
      </c>
      <c r="AJ122" s="11">
        <f t="shared" si="16"/>
        <v>14.4</v>
      </c>
      <c r="AK122" s="11">
        <f t="shared" si="16"/>
        <v>0.18000000000000002</v>
      </c>
      <c r="AL122" s="11">
        <f t="shared" si="16"/>
        <v>0</v>
      </c>
      <c r="AM122" s="2"/>
      <c r="AN122" s="2"/>
      <c r="AO122" s="2"/>
    </row>
    <row r="123" spans="1:41" x14ac:dyDescent="0.2">
      <c r="A123" s="2" t="s">
        <v>318</v>
      </c>
      <c r="B123" s="2" t="s">
        <v>93</v>
      </c>
      <c r="C123" s="2" t="s">
        <v>54</v>
      </c>
      <c r="D123" s="2" t="s">
        <v>77</v>
      </c>
      <c r="E123" s="2" t="s">
        <v>50</v>
      </c>
      <c r="F123" s="2" t="s">
        <v>319</v>
      </c>
      <c r="G123" s="2" t="s">
        <v>104</v>
      </c>
      <c r="H123" s="2">
        <v>0.13100000000000001</v>
      </c>
      <c r="I123" s="13">
        <v>1.8854961832061068</v>
      </c>
      <c r="J123" s="2"/>
      <c r="K123" s="13">
        <v>4.5801526717557248</v>
      </c>
      <c r="L123" s="13">
        <v>1.3893129770992365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9">
        <f t="shared" si="0"/>
        <v>2.47E-3</v>
      </c>
      <c r="AB123" s="9">
        <f t="shared" si="1"/>
        <v>0</v>
      </c>
      <c r="AC123" s="10">
        <f t="shared" si="2"/>
        <v>0.6</v>
      </c>
      <c r="AD123" s="10">
        <f t="shared" si="3"/>
        <v>0</v>
      </c>
      <c r="AE123" s="9">
        <f t="shared" si="4"/>
        <v>1.82E-3</v>
      </c>
      <c r="AF123" s="9">
        <f t="shared" si="5"/>
        <v>4.2900000000000004E-3</v>
      </c>
      <c r="AG123" s="9">
        <f t="shared" si="6"/>
        <v>3.2748091603053435</v>
      </c>
      <c r="AH123" s="11">
        <f t="shared" si="16"/>
        <v>0.247</v>
      </c>
      <c r="AI123" s="11">
        <f t="shared" si="16"/>
        <v>0</v>
      </c>
      <c r="AJ123" s="11">
        <f t="shared" si="16"/>
        <v>0.6</v>
      </c>
      <c r="AK123" s="11">
        <f t="shared" si="16"/>
        <v>0.182</v>
      </c>
      <c r="AL123" s="11">
        <f t="shared" si="16"/>
        <v>0</v>
      </c>
      <c r="AM123" s="2"/>
      <c r="AN123" s="2"/>
      <c r="AO123" s="2"/>
    </row>
    <row r="124" spans="1:41" x14ac:dyDescent="0.2">
      <c r="A124" s="2" t="s">
        <v>320</v>
      </c>
      <c r="B124" s="2" t="s">
        <v>93</v>
      </c>
      <c r="C124" s="2" t="s">
        <v>157</v>
      </c>
      <c r="D124" s="2"/>
      <c r="E124" s="2" t="s">
        <v>50</v>
      </c>
      <c r="F124" s="2" t="s">
        <v>94</v>
      </c>
      <c r="G124" s="2" t="s">
        <v>321</v>
      </c>
      <c r="H124" s="12">
        <v>3.8319999999999999</v>
      </c>
      <c r="I124" s="9">
        <v>0.19697286012526097</v>
      </c>
      <c r="J124" s="9">
        <v>4.8001565762004184</v>
      </c>
      <c r="K124" s="14">
        <v>19.008350730688935</v>
      </c>
      <c r="L124" s="9">
        <v>0.75688935281837155</v>
      </c>
      <c r="M124" s="9">
        <v>6.4457202505219205E-2</v>
      </c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9">
        <f t="shared" si="0"/>
        <v>7.548E-3</v>
      </c>
      <c r="AB124" s="9">
        <f t="shared" si="1"/>
        <v>0.18394200000000002</v>
      </c>
      <c r="AC124" s="10">
        <f t="shared" si="2"/>
        <v>72.84</v>
      </c>
      <c r="AD124" s="10">
        <f t="shared" si="3"/>
        <v>0.247</v>
      </c>
      <c r="AE124" s="9">
        <f t="shared" si="4"/>
        <v>2.9003999999999999E-2</v>
      </c>
      <c r="AF124" s="9">
        <f t="shared" si="5"/>
        <v>0.22049400000000002</v>
      </c>
      <c r="AG124" s="9">
        <f t="shared" si="6"/>
        <v>5.7540187891440517</v>
      </c>
      <c r="AH124" s="11">
        <f t="shared" si="16"/>
        <v>0.75480000000000003</v>
      </c>
      <c r="AI124" s="11">
        <f t="shared" si="16"/>
        <v>18.394200000000001</v>
      </c>
      <c r="AJ124" s="11">
        <f t="shared" si="16"/>
        <v>72.84</v>
      </c>
      <c r="AK124" s="11">
        <f t="shared" si="16"/>
        <v>2.9003999999999999</v>
      </c>
      <c r="AL124" s="11">
        <f t="shared" si="16"/>
        <v>0.247</v>
      </c>
      <c r="AM124" s="2"/>
      <c r="AN124" s="2"/>
      <c r="AO124" s="2"/>
    </row>
    <row r="125" spans="1:41" x14ac:dyDescent="0.2">
      <c r="A125" s="2" t="s">
        <v>322</v>
      </c>
      <c r="B125" s="2" t="s">
        <v>93</v>
      </c>
      <c r="C125" s="2" t="s">
        <v>48</v>
      </c>
      <c r="D125" s="2"/>
      <c r="E125" s="2" t="s">
        <v>50</v>
      </c>
      <c r="F125" s="2" t="s">
        <v>152</v>
      </c>
      <c r="G125" s="2" t="s">
        <v>106</v>
      </c>
      <c r="H125" s="2">
        <v>19.100000000000001</v>
      </c>
      <c r="I125" s="13">
        <v>3.4937172774869119</v>
      </c>
      <c r="J125" s="13">
        <v>11.002094240837696</v>
      </c>
      <c r="K125" s="14">
        <v>121.46596858638742</v>
      </c>
      <c r="L125" s="13">
        <v>0.4172774869109947</v>
      </c>
      <c r="M125" s="13">
        <v>1.7418848167539267</v>
      </c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9">
        <f t="shared" si="0"/>
        <v>0.66730000000000023</v>
      </c>
      <c r="AB125" s="9">
        <f t="shared" si="1"/>
        <v>2.1013999999999999</v>
      </c>
      <c r="AC125" s="10">
        <f t="shared" si="2"/>
        <v>2320</v>
      </c>
      <c r="AD125" s="10">
        <f t="shared" si="3"/>
        <v>33.270000000000003</v>
      </c>
      <c r="AE125" s="9">
        <f t="shared" si="4"/>
        <v>7.9699999999999993E-2</v>
      </c>
      <c r="AF125" s="9">
        <f t="shared" si="5"/>
        <v>2.8483999999999998</v>
      </c>
      <c r="AG125" s="9">
        <f t="shared" si="6"/>
        <v>14.913089005235603</v>
      </c>
      <c r="AH125" s="11">
        <f t="shared" si="16"/>
        <v>66.730000000000018</v>
      </c>
      <c r="AI125" s="11">
        <f t="shared" si="16"/>
        <v>210.14000000000001</v>
      </c>
      <c r="AJ125" s="11">
        <f t="shared" si="16"/>
        <v>2320</v>
      </c>
      <c r="AK125" s="11">
        <f t="shared" si="16"/>
        <v>7.97</v>
      </c>
      <c r="AL125" s="11">
        <f t="shared" si="16"/>
        <v>33.270000000000003</v>
      </c>
      <c r="AM125" s="2"/>
      <c r="AN125" s="2"/>
      <c r="AO125" s="2"/>
    </row>
    <row r="126" spans="1:41" x14ac:dyDescent="0.2">
      <c r="A126" s="2" t="s">
        <v>323</v>
      </c>
      <c r="B126" s="2" t="s">
        <v>93</v>
      </c>
      <c r="C126" s="2" t="s">
        <v>48</v>
      </c>
      <c r="D126" s="2"/>
      <c r="E126" s="2" t="s">
        <v>50</v>
      </c>
      <c r="F126" s="2" t="s">
        <v>213</v>
      </c>
      <c r="G126" s="2" t="s">
        <v>106</v>
      </c>
      <c r="H126" s="2">
        <v>1.0029999999999999</v>
      </c>
      <c r="I126" s="2">
        <v>2.1</v>
      </c>
      <c r="J126" s="13">
        <v>7</v>
      </c>
      <c r="K126" s="13">
        <v>52</v>
      </c>
      <c r="L126" s="13">
        <v>2</v>
      </c>
      <c r="M126" s="2">
        <v>0.3</v>
      </c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9">
        <f t="shared" si="0"/>
        <v>2.1063000000000002E-2</v>
      </c>
      <c r="AB126" s="9">
        <f t="shared" si="1"/>
        <v>7.0209999999999995E-2</v>
      </c>
      <c r="AC126" s="10">
        <f t="shared" si="2"/>
        <v>52.155999999999992</v>
      </c>
      <c r="AD126" s="10">
        <f t="shared" si="3"/>
        <v>0.30089999999999995</v>
      </c>
      <c r="AE126" s="9">
        <f t="shared" si="4"/>
        <v>2.0059999999999998E-2</v>
      </c>
      <c r="AF126" s="9">
        <f t="shared" si="5"/>
        <v>0.11133299999999999</v>
      </c>
      <c r="AG126" s="9">
        <f t="shared" si="6"/>
        <v>11.1</v>
      </c>
      <c r="AH126" s="11">
        <f t="shared" si="16"/>
        <v>2.1063000000000001</v>
      </c>
      <c r="AI126" s="11">
        <f t="shared" si="16"/>
        <v>7.020999999999999</v>
      </c>
      <c r="AJ126" s="11">
        <f t="shared" si="16"/>
        <v>52.155999999999992</v>
      </c>
      <c r="AK126" s="11">
        <f t="shared" si="16"/>
        <v>2.0059999999999998</v>
      </c>
      <c r="AL126" s="11">
        <f t="shared" si="16"/>
        <v>0.30089999999999995</v>
      </c>
      <c r="AM126" s="2"/>
      <c r="AN126" s="2"/>
      <c r="AO126" s="2"/>
    </row>
    <row r="127" spans="1:41" x14ac:dyDescent="0.2">
      <c r="A127" s="2" t="s">
        <v>324</v>
      </c>
      <c r="B127" s="2" t="s">
        <v>93</v>
      </c>
      <c r="C127" s="2" t="s">
        <v>48</v>
      </c>
      <c r="D127" s="2"/>
      <c r="E127" s="2" t="s">
        <v>50</v>
      </c>
      <c r="F127" s="2" t="s">
        <v>300</v>
      </c>
      <c r="G127" s="2" t="s">
        <v>95</v>
      </c>
      <c r="H127" s="2">
        <v>3.53</v>
      </c>
      <c r="I127" s="2"/>
      <c r="J127" s="9">
        <v>4.0509915014164308</v>
      </c>
      <c r="K127" s="14">
        <v>19.416430594900852</v>
      </c>
      <c r="L127" s="9">
        <v>1.6297450424929176</v>
      </c>
      <c r="M127" s="9">
        <v>0.26974504249291786</v>
      </c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9">
        <f t="shared" si="0"/>
        <v>0</v>
      </c>
      <c r="AB127" s="9">
        <f t="shared" si="1"/>
        <v>0.14300000000000002</v>
      </c>
      <c r="AC127" s="10">
        <f t="shared" si="2"/>
        <v>68.540000000000006</v>
      </c>
      <c r="AD127" s="10">
        <f t="shared" si="3"/>
        <v>0.95220000000000005</v>
      </c>
      <c r="AE127" s="9">
        <f t="shared" si="4"/>
        <v>5.7529999999999991E-2</v>
      </c>
      <c r="AF127" s="9">
        <f t="shared" si="5"/>
        <v>0.20053000000000001</v>
      </c>
      <c r="AG127" s="9">
        <f t="shared" si="6"/>
        <v>5.6807365439093482</v>
      </c>
      <c r="AH127" s="11">
        <f t="shared" si="16"/>
        <v>0</v>
      </c>
      <c r="AI127" s="11">
        <f t="shared" si="16"/>
        <v>14.3</v>
      </c>
      <c r="AJ127" s="11">
        <f t="shared" si="16"/>
        <v>68.540000000000006</v>
      </c>
      <c r="AK127" s="11">
        <f t="shared" si="16"/>
        <v>5.7529999999999992</v>
      </c>
      <c r="AL127" s="11">
        <f t="shared" si="16"/>
        <v>0.95220000000000005</v>
      </c>
      <c r="AM127" s="2"/>
      <c r="AN127" s="2"/>
      <c r="AO127" s="2"/>
    </row>
    <row r="128" spans="1:41" x14ac:dyDescent="0.2">
      <c r="A128" s="2" t="s">
        <v>325</v>
      </c>
      <c r="B128" s="2" t="s">
        <v>93</v>
      </c>
      <c r="C128" s="2" t="s">
        <v>38</v>
      </c>
      <c r="D128" s="2"/>
      <c r="E128" s="2" t="s">
        <v>50</v>
      </c>
      <c r="F128" s="2" t="s">
        <v>326</v>
      </c>
      <c r="G128" s="2" t="s">
        <v>101</v>
      </c>
      <c r="H128" s="2">
        <v>24.381</v>
      </c>
      <c r="I128" s="2">
        <v>0.45</v>
      </c>
      <c r="J128" s="2">
        <v>1.81</v>
      </c>
      <c r="K128" s="2">
        <v>4.57</v>
      </c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9">
        <f t="shared" si="0"/>
        <v>0.10971450000000001</v>
      </c>
      <c r="AB128" s="9">
        <f t="shared" si="1"/>
        <v>0.44129609999999997</v>
      </c>
      <c r="AC128" s="10">
        <f t="shared" si="2"/>
        <v>111.42117</v>
      </c>
      <c r="AD128" s="10">
        <f t="shared" si="3"/>
        <v>0</v>
      </c>
      <c r="AE128" s="9">
        <f t="shared" si="4"/>
        <v>0</v>
      </c>
      <c r="AF128" s="9">
        <f t="shared" si="5"/>
        <v>0.55101060000000002</v>
      </c>
      <c r="AG128" s="9">
        <f t="shared" si="6"/>
        <v>2.2600000000000002</v>
      </c>
      <c r="AH128" s="11">
        <f t="shared" si="16"/>
        <v>10.971450000000001</v>
      </c>
      <c r="AI128" s="11">
        <f t="shared" si="16"/>
        <v>44.12961</v>
      </c>
      <c r="AJ128" s="11">
        <f t="shared" si="16"/>
        <v>111.42117</v>
      </c>
      <c r="AK128" s="11">
        <f t="shared" si="16"/>
        <v>0</v>
      </c>
      <c r="AL128" s="11">
        <f t="shared" si="16"/>
        <v>0</v>
      </c>
      <c r="AM128" s="2"/>
      <c r="AN128" s="2"/>
      <c r="AO128" s="2"/>
    </row>
    <row r="129" spans="1:41" x14ac:dyDescent="0.2">
      <c r="A129" s="2" t="s">
        <v>327</v>
      </c>
      <c r="B129" s="2" t="s">
        <v>93</v>
      </c>
      <c r="C129" s="2" t="s">
        <v>38</v>
      </c>
      <c r="D129" s="2" t="s">
        <v>62</v>
      </c>
      <c r="E129" s="2" t="s">
        <v>50</v>
      </c>
      <c r="F129" s="2" t="s">
        <v>152</v>
      </c>
      <c r="G129" s="2" t="s">
        <v>101</v>
      </c>
      <c r="H129" s="2">
        <v>1.6</v>
      </c>
      <c r="I129" s="2">
        <v>13.9</v>
      </c>
      <c r="J129" s="2">
        <v>5.0999999999999996</v>
      </c>
      <c r="K129" s="2">
        <v>157</v>
      </c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9">
        <f t="shared" si="0"/>
        <v>0.22240000000000001</v>
      </c>
      <c r="AB129" s="9">
        <f t="shared" si="1"/>
        <v>8.1600000000000006E-2</v>
      </c>
      <c r="AC129" s="10">
        <f t="shared" si="2"/>
        <v>251.20000000000002</v>
      </c>
      <c r="AD129" s="10">
        <f t="shared" si="3"/>
        <v>0</v>
      </c>
      <c r="AE129" s="9">
        <f t="shared" si="4"/>
        <v>0</v>
      </c>
      <c r="AF129" s="9">
        <f t="shared" si="5"/>
        <v>0.30400000000000005</v>
      </c>
      <c r="AG129" s="9">
        <f t="shared" si="6"/>
        <v>19</v>
      </c>
      <c r="AH129" s="11">
        <f t="shared" si="16"/>
        <v>22.240000000000002</v>
      </c>
      <c r="AI129" s="11">
        <f t="shared" si="16"/>
        <v>8.16</v>
      </c>
      <c r="AJ129" s="11">
        <f t="shared" si="16"/>
        <v>251.20000000000002</v>
      </c>
      <c r="AK129" s="11">
        <f t="shared" si="16"/>
        <v>0</v>
      </c>
      <c r="AL129" s="11">
        <f t="shared" si="16"/>
        <v>0</v>
      </c>
      <c r="AM129" s="2"/>
      <c r="AN129" s="2"/>
      <c r="AO129" s="2"/>
    </row>
    <row r="130" spans="1:41" x14ac:dyDescent="0.2">
      <c r="A130" s="2" t="s">
        <v>328</v>
      </c>
      <c r="B130" s="2" t="s">
        <v>93</v>
      </c>
      <c r="C130" s="2" t="s">
        <v>38</v>
      </c>
      <c r="D130" s="2" t="s">
        <v>39</v>
      </c>
      <c r="E130" s="2" t="s">
        <v>50</v>
      </c>
      <c r="F130" s="2" t="s">
        <v>302</v>
      </c>
      <c r="G130" s="2" t="s">
        <v>106</v>
      </c>
      <c r="H130" s="2">
        <v>16.7</v>
      </c>
      <c r="I130" s="2">
        <v>4.5</v>
      </c>
      <c r="J130" s="2">
        <v>0.7</v>
      </c>
      <c r="K130" s="2">
        <v>52</v>
      </c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9">
        <f t="shared" si="0"/>
        <v>0.75149999999999995</v>
      </c>
      <c r="AB130" s="9">
        <f t="shared" si="1"/>
        <v>0.11689999999999999</v>
      </c>
      <c r="AC130" s="10">
        <f t="shared" si="2"/>
        <v>868.4</v>
      </c>
      <c r="AD130" s="10">
        <f t="shared" si="3"/>
        <v>0</v>
      </c>
      <c r="AE130" s="9">
        <f t="shared" si="4"/>
        <v>0</v>
      </c>
      <c r="AF130" s="9">
        <f t="shared" si="5"/>
        <v>0.86839999999999995</v>
      </c>
      <c r="AG130" s="9">
        <f t="shared" si="6"/>
        <v>5.2</v>
      </c>
      <c r="AH130" s="11">
        <f t="shared" ref="AH130:AL145" si="17">$H130*I130</f>
        <v>75.149999999999991</v>
      </c>
      <c r="AI130" s="11">
        <f t="shared" si="17"/>
        <v>11.69</v>
      </c>
      <c r="AJ130" s="11">
        <f t="shared" si="17"/>
        <v>868.4</v>
      </c>
      <c r="AK130" s="11">
        <f t="shared" si="17"/>
        <v>0</v>
      </c>
      <c r="AL130" s="11">
        <f t="shared" si="17"/>
        <v>0</v>
      </c>
      <c r="AM130" s="2"/>
      <c r="AN130" s="2"/>
      <c r="AO130" s="2"/>
    </row>
    <row r="131" spans="1:41" x14ac:dyDescent="0.2">
      <c r="A131" s="2" t="s">
        <v>329</v>
      </c>
      <c r="B131" s="2" t="s">
        <v>93</v>
      </c>
      <c r="C131" s="2" t="s">
        <v>48</v>
      </c>
      <c r="D131" s="2"/>
      <c r="E131" s="2" t="s">
        <v>50</v>
      </c>
      <c r="F131" s="2" t="s">
        <v>122</v>
      </c>
      <c r="G131" s="2" t="s">
        <v>106</v>
      </c>
      <c r="H131" s="2">
        <v>13.986000000000001</v>
      </c>
      <c r="I131" s="17">
        <v>0.65151515151515138</v>
      </c>
      <c r="J131" s="13">
        <v>4</v>
      </c>
      <c r="K131" s="2">
        <v>40</v>
      </c>
      <c r="L131" s="13">
        <v>2</v>
      </c>
      <c r="M131" s="2">
        <v>1.1000000000000001</v>
      </c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9">
        <f t="shared" si="0"/>
        <v>9.1120909090909072E-2</v>
      </c>
      <c r="AB131" s="9">
        <f t="shared" si="1"/>
        <v>0.55944000000000005</v>
      </c>
      <c r="AC131" s="10">
        <f t="shared" si="2"/>
        <v>559.44000000000005</v>
      </c>
      <c r="AD131" s="10">
        <f t="shared" si="3"/>
        <v>15.384600000000002</v>
      </c>
      <c r="AE131" s="9">
        <f t="shared" si="4"/>
        <v>0.27972000000000002</v>
      </c>
      <c r="AF131" s="9">
        <f t="shared" si="5"/>
        <v>0.93028090909090921</v>
      </c>
      <c r="AG131" s="9">
        <f t="shared" si="6"/>
        <v>6.6515151515151514</v>
      </c>
      <c r="AH131" s="11">
        <f t="shared" si="17"/>
        <v>9.1120909090909077</v>
      </c>
      <c r="AI131" s="11">
        <f t="shared" si="17"/>
        <v>55.944000000000003</v>
      </c>
      <c r="AJ131" s="11">
        <f t="shared" si="17"/>
        <v>559.44000000000005</v>
      </c>
      <c r="AK131" s="11">
        <f t="shared" si="17"/>
        <v>27.972000000000001</v>
      </c>
      <c r="AL131" s="11">
        <f t="shared" si="17"/>
        <v>15.384600000000002</v>
      </c>
      <c r="AM131" s="2"/>
      <c r="AN131" s="2"/>
      <c r="AO131" s="2"/>
    </row>
    <row r="132" spans="1:41" x14ac:dyDescent="0.2">
      <c r="A132" s="2" t="s">
        <v>330</v>
      </c>
      <c r="B132" s="2" t="s">
        <v>93</v>
      </c>
      <c r="C132" s="2" t="s">
        <v>48</v>
      </c>
      <c r="D132" s="2"/>
      <c r="E132" s="2" t="s">
        <v>50</v>
      </c>
      <c r="F132" s="2" t="s">
        <v>213</v>
      </c>
      <c r="G132" s="2" t="s">
        <v>106</v>
      </c>
      <c r="H132" s="2">
        <v>12.831</v>
      </c>
      <c r="I132" s="2">
        <v>0.2</v>
      </c>
      <c r="J132" s="2">
        <v>4.0999999999999996</v>
      </c>
      <c r="K132" s="2">
        <v>17.600000000000001</v>
      </c>
      <c r="L132" s="2">
        <v>1.5</v>
      </c>
      <c r="M132" s="2">
        <v>0.1</v>
      </c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9">
        <f t="shared" si="0"/>
        <v>2.5662000000000004E-2</v>
      </c>
      <c r="AB132" s="9">
        <f t="shared" si="1"/>
        <v>0.52607099999999996</v>
      </c>
      <c r="AC132" s="10">
        <f t="shared" si="2"/>
        <v>225.82560000000001</v>
      </c>
      <c r="AD132" s="10">
        <f t="shared" si="3"/>
        <v>1.2831000000000001</v>
      </c>
      <c r="AE132" s="9">
        <f t="shared" si="4"/>
        <v>0.19246499999999997</v>
      </c>
      <c r="AF132" s="9">
        <f t="shared" si="5"/>
        <v>0.74419799999999992</v>
      </c>
      <c r="AG132" s="9">
        <f t="shared" si="6"/>
        <v>5.8</v>
      </c>
      <c r="AH132" s="11">
        <f t="shared" si="17"/>
        <v>2.5662000000000003</v>
      </c>
      <c r="AI132" s="11">
        <f t="shared" si="17"/>
        <v>52.607099999999996</v>
      </c>
      <c r="AJ132" s="11">
        <f t="shared" si="17"/>
        <v>225.82560000000001</v>
      </c>
      <c r="AK132" s="11">
        <f t="shared" si="17"/>
        <v>19.246499999999997</v>
      </c>
      <c r="AL132" s="11">
        <f t="shared" si="17"/>
        <v>1.2831000000000001</v>
      </c>
      <c r="AM132" s="2"/>
      <c r="AN132" s="2"/>
      <c r="AO132" s="2"/>
    </row>
    <row r="133" spans="1:41" x14ac:dyDescent="0.2">
      <c r="A133" s="2" t="s">
        <v>331</v>
      </c>
      <c r="B133" s="2" t="s">
        <v>93</v>
      </c>
      <c r="C133" s="2" t="s">
        <v>48</v>
      </c>
      <c r="D133" s="2"/>
      <c r="E133" s="2" t="s">
        <v>50</v>
      </c>
      <c r="F133" s="2" t="s">
        <v>218</v>
      </c>
      <c r="G133" s="2" t="s">
        <v>106</v>
      </c>
      <c r="H133" s="2">
        <v>1.5</v>
      </c>
      <c r="I133" s="2">
        <v>2.1</v>
      </c>
      <c r="J133" s="2">
        <v>3.7</v>
      </c>
      <c r="K133" s="2">
        <v>24</v>
      </c>
      <c r="L133" s="2">
        <v>0.4</v>
      </c>
      <c r="M133" s="2">
        <v>0.3</v>
      </c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9">
        <f t="shared" si="0"/>
        <v>3.15E-2</v>
      </c>
      <c r="AB133" s="9">
        <f t="shared" si="1"/>
        <v>5.5500000000000008E-2</v>
      </c>
      <c r="AC133" s="10">
        <f t="shared" si="2"/>
        <v>36</v>
      </c>
      <c r="AD133" s="10">
        <f t="shared" si="3"/>
        <v>0.44999999999999996</v>
      </c>
      <c r="AE133" s="9">
        <f t="shared" si="4"/>
        <v>6.000000000000001E-3</v>
      </c>
      <c r="AF133" s="9">
        <f t="shared" si="5"/>
        <v>9.3000000000000013E-2</v>
      </c>
      <c r="AG133" s="9">
        <f t="shared" si="6"/>
        <v>6.2000000000000011</v>
      </c>
      <c r="AH133" s="11">
        <f t="shared" si="17"/>
        <v>3.1500000000000004</v>
      </c>
      <c r="AI133" s="11">
        <f t="shared" si="17"/>
        <v>5.5500000000000007</v>
      </c>
      <c r="AJ133" s="11">
        <f t="shared" si="17"/>
        <v>36</v>
      </c>
      <c r="AK133" s="11">
        <f t="shared" si="17"/>
        <v>0.60000000000000009</v>
      </c>
      <c r="AL133" s="11">
        <f t="shared" si="17"/>
        <v>0.44999999999999996</v>
      </c>
      <c r="AM133" s="2"/>
      <c r="AN133" s="2"/>
      <c r="AO133" s="2"/>
    </row>
    <row r="134" spans="1:41" x14ac:dyDescent="0.2">
      <c r="A134" s="2" t="s">
        <v>332</v>
      </c>
      <c r="B134" s="2" t="s">
        <v>93</v>
      </c>
      <c r="C134" s="2" t="s">
        <v>38</v>
      </c>
      <c r="D134" s="2" t="s">
        <v>39</v>
      </c>
      <c r="E134" s="2" t="s">
        <v>50</v>
      </c>
      <c r="F134" s="2" t="s">
        <v>333</v>
      </c>
      <c r="G134" s="2" t="s">
        <v>149</v>
      </c>
      <c r="H134" s="12">
        <v>0.28760000000000002</v>
      </c>
      <c r="I134" s="2">
        <v>1.5</v>
      </c>
      <c r="J134" s="2">
        <v>2.8</v>
      </c>
      <c r="K134" s="2">
        <v>31</v>
      </c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9">
        <f t="shared" si="0"/>
        <v>4.3140000000000001E-3</v>
      </c>
      <c r="AB134" s="9">
        <f t="shared" si="1"/>
        <v>8.0528000000000006E-3</v>
      </c>
      <c r="AC134" s="10">
        <f t="shared" si="2"/>
        <v>8.9156000000000013</v>
      </c>
      <c r="AD134" s="10">
        <f t="shared" si="3"/>
        <v>0</v>
      </c>
      <c r="AE134" s="9">
        <f t="shared" si="4"/>
        <v>0</v>
      </c>
      <c r="AF134" s="9">
        <f t="shared" si="5"/>
        <v>1.2366800000000001E-2</v>
      </c>
      <c r="AG134" s="9">
        <f t="shared" si="6"/>
        <v>4.3</v>
      </c>
      <c r="AH134" s="11">
        <f t="shared" si="17"/>
        <v>0.43140000000000001</v>
      </c>
      <c r="AI134" s="11">
        <f t="shared" si="17"/>
        <v>0.80528</v>
      </c>
      <c r="AJ134" s="11">
        <f t="shared" si="17"/>
        <v>8.9156000000000013</v>
      </c>
      <c r="AK134" s="11">
        <f t="shared" si="17"/>
        <v>0</v>
      </c>
      <c r="AL134" s="11">
        <f t="shared" si="17"/>
        <v>0</v>
      </c>
      <c r="AM134" s="2"/>
      <c r="AN134" s="2"/>
      <c r="AO134" s="2"/>
    </row>
    <row r="135" spans="1:41" x14ac:dyDescent="0.2">
      <c r="A135" s="2" t="s">
        <v>334</v>
      </c>
      <c r="B135" s="2" t="s">
        <v>93</v>
      </c>
      <c r="C135" s="2" t="s">
        <v>38</v>
      </c>
      <c r="D135" s="2" t="s">
        <v>62</v>
      </c>
      <c r="E135" s="2" t="s">
        <v>50</v>
      </c>
      <c r="F135" s="2" t="s">
        <v>55</v>
      </c>
      <c r="G135" s="2" t="s">
        <v>106</v>
      </c>
      <c r="H135" s="2">
        <v>0.37559999999999999</v>
      </c>
      <c r="I135" s="2">
        <v>1.6</v>
      </c>
      <c r="J135" s="2">
        <v>3.8</v>
      </c>
      <c r="K135" s="2">
        <v>15</v>
      </c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9">
        <f t="shared" si="0"/>
        <v>6.0096000000000004E-3</v>
      </c>
      <c r="AB135" s="9">
        <f t="shared" si="1"/>
        <v>1.4272799999999999E-2</v>
      </c>
      <c r="AC135" s="10">
        <f t="shared" si="2"/>
        <v>5.6339999999999995</v>
      </c>
      <c r="AD135" s="10">
        <f t="shared" si="3"/>
        <v>0</v>
      </c>
      <c r="AE135" s="9">
        <f t="shared" si="4"/>
        <v>0</v>
      </c>
      <c r="AF135" s="9">
        <f t="shared" si="5"/>
        <v>2.0282399999999999E-2</v>
      </c>
      <c r="AG135" s="9">
        <f t="shared" si="6"/>
        <v>5.4</v>
      </c>
      <c r="AH135" s="11">
        <f t="shared" si="17"/>
        <v>0.60096000000000005</v>
      </c>
      <c r="AI135" s="11">
        <f t="shared" si="17"/>
        <v>1.4272799999999999</v>
      </c>
      <c r="AJ135" s="11">
        <f t="shared" si="17"/>
        <v>5.6339999999999995</v>
      </c>
      <c r="AK135" s="11">
        <f t="shared" si="17"/>
        <v>0</v>
      </c>
      <c r="AL135" s="11">
        <f t="shared" si="17"/>
        <v>0</v>
      </c>
      <c r="AM135" s="2"/>
      <c r="AN135" s="2"/>
      <c r="AO135" s="2"/>
    </row>
    <row r="136" spans="1:41" x14ac:dyDescent="0.2">
      <c r="A136" s="2" t="s">
        <v>335</v>
      </c>
      <c r="B136" s="2" t="s">
        <v>93</v>
      </c>
      <c r="C136" s="2" t="s">
        <v>336</v>
      </c>
      <c r="D136" s="2"/>
      <c r="E136" s="2" t="s">
        <v>50</v>
      </c>
      <c r="F136" s="2" t="s">
        <v>337</v>
      </c>
      <c r="G136" s="2" t="s">
        <v>338</v>
      </c>
      <c r="H136" s="2">
        <v>0.73299999999999998</v>
      </c>
      <c r="I136" s="2">
        <v>0.9</v>
      </c>
      <c r="J136" s="2">
        <v>0.83</v>
      </c>
      <c r="K136" s="2">
        <v>49</v>
      </c>
      <c r="L136" s="2">
        <v>0.1</v>
      </c>
      <c r="M136" s="2">
        <v>0.06</v>
      </c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9">
        <f t="shared" si="0"/>
        <v>6.5969999999999996E-3</v>
      </c>
      <c r="AB136" s="9">
        <f t="shared" si="1"/>
        <v>6.0838999999999997E-3</v>
      </c>
      <c r="AC136" s="10">
        <f t="shared" si="2"/>
        <v>35.917000000000002</v>
      </c>
      <c r="AD136" s="10">
        <f t="shared" si="3"/>
        <v>4.3979999999999998E-2</v>
      </c>
      <c r="AE136" s="9">
        <f t="shared" si="4"/>
        <v>7.3300000000000004E-4</v>
      </c>
      <c r="AF136" s="9">
        <f t="shared" si="5"/>
        <v>1.3413899999999998E-2</v>
      </c>
      <c r="AG136" s="9">
        <f t="shared" si="6"/>
        <v>1.83</v>
      </c>
      <c r="AH136" s="11">
        <f t="shared" si="17"/>
        <v>0.65969999999999995</v>
      </c>
      <c r="AI136" s="11">
        <f t="shared" si="17"/>
        <v>0.60838999999999999</v>
      </c>
      <c r="AJ136" s="11">
        <f t="shared" si="17"/>
        <v>35.917000000000002</v>
      </c>
      <c r="AK136" s="11">
        <f t="shared" si="17"/>
        <v>7.3300000000000004E-2</v>
      </c>
      <c r="AL136" s="11">
        <f t="shared" si="17"/>
        <v>4.3979999999999998E-2</v>
      </c>
      <c r="AM136" s="2"/>
      <c r="AN136" s="2"/>
      <c r="AO136" s="2"/>
    </row>
    <row r="137" spans="1:41" x14ac:dyDescent="0.2">
      <c r="A137" s="2" t="s">
        <v>339</v>
      </c>
      <c r="B137" s="2" t="s">
        <v>93</v>
      </c>
      <c r="C137" s="2" t="s">
        <v>38</v>
      </c>
      <c r="D137" s="2" t="s">
        <v>62</v>
      </c>
      <c r="E137" s="2" t="s">
        <v>50</v>
      </c>
      <c r="F137" s="2" t="s">
        <v>282</v>
      </c>
      <c r="G137" s="2" t="s">
        <v>340</v>
      </c>
      <c r="H137" s="2">
        <v>58</v>
      </c>
      <c r="I137" s="2">
        <v>1.6</v>
      </c>
      <c r="J137" s="2">
        <v>11.1</v>
      </c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9">
        <f t="shared" si="0"/>
        <v>0.92800000000000016</v>
      </c>
      <c r="AB137" s="9">
        <f t="shared" si="1"/>
        <v>6.4379999999999997</v>
      </c>
      <c r="AC137" s="10">
        <f t="shared" si="2"/>
        <v>0</v>
      </c>
      <c r="AD137" s="10">
        <f t="shared" si="3"/>
        <v>0</v>
      </c>
      <c r="AE137" s="9">
        <f t="shared" si="4"/>
        <v>0</v>
      </c>
      <c r="AF137" s="9">
        <f t="shared" si="5"/>
        <v>7.3659999999999997</v>
      </c>
      <c r="AG137" s="9">
        <f t="shared" si="6"/>
        <v>12.7</v>
      </c>
      <c r="AH137" s="11">
        <f t="shared" si="17"/>
        <v>92.800000000000011</v>
      </c>
      <c r="AI137" s="11">
        <f t="shared" si="17"/>
        <v>643.79999999999995</v>
      </c>
      <c r="AJ137" s="11">
        <f t="shared" si="17"/>
        <v>0</v>
      </c>
      <c r="AK137" s="11">
        <f t="shared" si="17"/>
        <v>0</v>
      </c>
      <c r="AL137" s="11">
        <f t="shared" si="17"/>
        <v>0</v>
      </c>
      <c r="AM137" s="2"/>
      <c r="AN137" s="2"/>
      <c r="AO137" s="2"/>
    </row>
    <row r="138" spans="1:41" x14ac:dyDescent="0.2">
      <c r="A138" s="2" t="s">
        <v>341</v>
      </c>
      <c r="B138" s="2" t="s">
        <v>93</v>
      </c>
      <c r="C138" s="2" t="s">
        <v>48</v>
      </c>
      <c r="D138" s="2"/>
      <c r="E138" s="2" t="s">
        <v>50</v>
      </c>
      <c r="F138" s="2" t="s">
        <v>122</v>
      </c>
      <c r="G138" s="2" t="s">
        <v>106</v>
      </c>
      <c r="H138" s="2">
        <v>1.554</v>
      </c>
      <c r="I138" s="2"/>
      <c r="J138" s="2">
        <v>2.5</v>
      </c>
      <c r="K138" s="2">
        <v>49</v>
      </c>
      <c r="L138" s="2">
        <v>1.6</v>
      </c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9">
        <f t="shared" si="0"/>
        <v>0</v>
      </c>
      <c r="AB138" s="9">
        <f t="shared" si="1"/>
        <v>3.8850000000000003E-2</v>
      </c>
      <c r="AC138" s="10">
        <f t="shared" si="2"/>
        <v>76.146000000000001</v>
      </c>
      <c r="AD138" s="10">
        <f t="shared" si="3"/>
        <v>0</v>
      </c>
      <c r="AE138" s="9">
        <f t="shared" si="4"/>
        <v>2.4864000000000001E-2</v>
      </c>
      <c r="AF138" s="9">
        <f t="shared" si="5"/>
        <v>6.3714000000000007E-2</v>
      </c>
      <c r="AG138" s="9">
        <f t="shared" si="6"/>
        <v>4.0999999999999996</v>
      </c>
      <c r="AH138" s="11">
        <f t="shared" si="17"/>
        <v>0</v>
      </c>
      <c r="AI138" s="11">
        <f t="shared" si="17"/>
        <v>3.8850000000000002</v>
      </c>
      <c r="AJ138" s="11">
        <f t="shared" si="17"/>
        <v>76.146000000000001</v>
      </c>
      <c r="AK138" s="11">
        <f t="shared" si="17"/>
        <v>2.4864000000000002</v>
      </c>
      <c r="AL138" s="11">
        <f t="shared" si="17"/>
        <v>0</v>
      </c>
      <c r="AM138" s="2"/>
      <c r="AN138" s="2"/>
      <c r="AO138" s="2"/>
    </row>
    <row r="139" spans="1:41" x14ac:dyDescent="0.2">
      <c r="A139" s="2" t="s">
        <v>342</v>
      </c>
      <c r="B139" s="2" t="s">
        <v>93</v>
      </c>
      <c r="C139" s="2" t="s">
        <v>48</v>
      </c>
      <c r="D139" s="2"/>
      <c r="E139" s="2" t="s">
        <v>50</v>
      </c>
      <c r="F139" s="2" t="s">
        <v>94</v>
      </c>
      <c r="G139" s="2" t="s">
        <v>95</v>
      </c>
      <c r="H139" s="12">
        <v>4.1712999999999996</v>
      </c>
      <c r="I139" s="9">
        <v>2.2525783328938225</v>
      </c>
      <c r="J139" s="9">
        <v>7.9273487881475821</v>
      </c>
      <c r="K139" s="13">
        <v>41.364083139548825</v>
      </c>
      <c r="L139" s="9">
        <v>0.93490758276796215</v>
      </c>
      <c r="M139" s="9">
        <v>0.56557428139908428</v>
      </c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9">
        <f t="shared" si="0"/>
        <v>9.3961800000000012E-2</v>
      </c>
      <c r="AB139" s="9">
        <f t="shared" si="1"/>
        <v>0.33067350000000006</v>
      </c>
      <c r="AC139" s="10">
        <f t="shared" si="2"/>
        <v>172.542</v>
      </c>
      <c r="AD139" s="10">
        <f t="shared" si="3"/>
        <v>2.3591799999999998</v>
      </c>
      <c r="AE139" s="9">
        <f t="shared" si="4"/>
        <v>3.8997799999999999E-2</v>
      </c>
      <c r="AF139" s="9">
        <f t="shared" si="5"/>
        <v>0.46363310000000002</v>
      </c>
      <c r="AG139" s="9">
        <f t="shared" si="6"/>
        <v>11.114834703809368</v>
      </c>
      <c r="AH139" s="11">
        <f t="shared" si="17"/>
        <v>9.3961800000000011</v>
      </c>
      <c r="AI139" s="11">
        <f t="shared" si="17"/>
        <v>33.067350000000005</v>
      </c>
      <c r="AJ139" s="11">
        <f t="shared" si="17"/>
        <v>172.542</v>
      </c>
      <c r="AK139" s="11">
        <f t="shared" si="17"/>
        <v>3.8997800000000002</v>
      </c>
      <c r="AL139" s="11">
        <f t="shared" si="17"/>
        <v>2.3591799999999998</v>
      </c>
      <c r="AM139" s="2"/>
      <c r="AN139" s="2"/>
      <c r="AO139" s="2"/>
    </row>
    <row r="140" spans="1:41" x14ac:dyDescent="0.2">
      <c r="A140" s="2" t="s">
        <v>343</v>
      </c>
      <c r="B140" s="2" t="s">
        <v>93</v>
      </c>
      <c r="C140" s="2" t="s">
        <v>132</v>
      </c>
      <c r="D140" s="2" t="s">
        <v>344</v>
      </c>
      <c r="E140" s="2" t="s">
        <v>50</v>
      </c>
      <c r="F140" s="2" t="s">
        <v>345</v>
      </c>
      <c r="G140" s="2" t="s">
        <v>346</v>
      </c>
      <c r="H140" s="2">
        <v>6.24</v>
      </c>
      <c r="I140" s="13">
        <v>2</v>
      </c>
      <c r="J140" s="2">
        <v>1.2</v>
      </c>
      <c r="K140" s="13">
        <v>47</v>
      </c>
      <c r="L140" s="13">
        <v>1</v>
      </c>
      <c r="M140" s="2">
        <v>0.8</v>
      </c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9">
        <f t="shared" si="0"/>
        <v>0.12480000000000001</v>
      </c>
      <c r="AB140" s="9">
        <f t="shared" si="1"/>
        <v>7.4880000000000002E-2</v>
      </c>
      <c r="AC140" s="10">
        <f t="shared" si="2"/>
        <v>293.28000000000003</v>
      </c>
      <c r="AD140" s="10">
        <f t="shared" si="3"/>
        <v>4.9920000000000009</v>
      </c>
      <c r="AE140" s="9">
        <f t="shared" si="4"/>
        <v>6.2400000000000004E-2</v>
      </c>
      <c r="AF140" s="9">
        <f t="shared" si="5"/>
        <v>0.26208000000000004</v>
      </c>
      <c r="AG140" s="9">
        <f t="shared" si="6"/>
        <v>4.2</v>
      </c>
      <c r="AH140" s="11">
        <f t="shared" si="17"/>
        <v>12.48</v>
      </c>
      <c r="AI140" s="11">
        <f t="shared" si="17"/>
        <v>7.4879999999999995</v>
      </c>
      <c r="AJ140" s="11">
        <f t="shared" si="17"/>
        <v>293.28000000000003</v>
      </c>
      <c r="AK140" s="11">
        <f t="shared" si="17"/>
        <v>6.24</v>
      </c>
      <c r="AL140" s="11">
        <f t="shared" si="17"/>
        <v>4.9920000000000009</v>
      </c>
      <c r="AM140" s="2"/>
      <c r="AN140" s="2"/>
      <c r="AO140" s="2"/>
    </row>
    <row r="141" spans="1:41" x14ac:dyDescent="0.2">
      <c r="A141" s="2" t="s">
        <v>347</v>
      </c>
      <c r="B141" s="2" t="s">
        <v>93</v>
      </c>
      <c r="C141" s="2" t="s">
        <v>48</v>
      </c>
      <c r="D141" s="2"/>
      <c r="E141" s="2" t="s">
        <v>50</v>
      </c>
      <c r="F141" s="2" t="s">
        <v>348</v>
      </c>
      <c r="G141" s="2" t="s">
        <v>104</v>
      </c>
      <c r="H141" s="2">
        <v>2.6100000000000003</v>
      </c>
      <c r="I141" s="9">
        <v>1.0699616858237548</v>
      </c>
      <c r="J141" s="9">
        <v>2.6713793103448276</v>
      </c>
      <c r="K141" s="14">
        <v>88.291187739463595</v>
      </c>
      <c r="L141" s="9">
        <v>9.7164750957854415E-2</v>
      </c>
      <c r="M141" s="9">
        <v>0.698735632183908</v>
      </c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9">
        <f t="shared" si="0"/>
        <v>2.7926000000000006E-2</v>
      </c>
      <c r="AB141" s="9">
        <f t="shared" si="1"/>
        <v>6.9723000000000007E-2</v>
      </c>
      <c r="AC141" s="10">
        <f t="shared" si="2"/>
        <v>230.44</v>
      </c>
      <c r="AD141" s="10">
        <f t="shared" si="3"/>
        <v>1.8237000000000001</v>
      </c>
      <c r="AE141" s="9">
        <f t="shared" si="4"/>
        <v>2.5360000000000005E-3</v>
      </c>
      <c r="AF141" s="9">
        <f t="shared" si="5"/>
        <v>0.10018500000000001</v>
      </c>
      <c r="AG141" s="9">
        <f t="shared" si="6"/>
        <v>3.8385057471264368</v>
      </c>
      <c r="AH141" s="11">
        <f t="shared" si="17"/>
        <v>2.7926000000000006</v>
      </c>
      <c r="AI141" s="11">
        <f t="shared" si="17"/>
        <v>6.9723000000000006</v>
      </c>
      <c r="AJ141" s="11">
        <f t="shared" si="17"/>
        <v>230.44</v>
      </c>
      <c r="AK141" s="11">
        <f t="shared" si="17"/>
        <v>0.25360000000000005</v>
      </c>
      <c r="AL141" s="11">
        <f t="shared" si="17"/>
        <v>1.8237000000000001</v>
      </c>
      <c r="AM141" s="2"/>
      <c r="AN141" s="2"/>
      <c r="AO141" s="2"/>
    </row>
    <row r="142" spans="1:41" x14ac:dyDescent="0.2">
      <c r="A142" s="2" t="s">
        <v>349</v>
      </c>
      <c r="B142" s="2" t="s">
        <v>93</v>
      </c>
      <c r="C142" s="2" t="s">
        <v>132</v>
      </c>
      <c r="D142" s="2"/>
      <c r="E142" s="2" t="s">
        <v>50</v>
      </c>
      <c r="F142" s="2" t="s">
        <v>350</v>
      </c>
      <c r="G142" s="2" t="s">
        <v>351</v>
      </c>
      <c r="H142" s="2">
        <v>1.25</v>
      </c>
      <c r="I142" s="2">
        <v>1.76</v>
      </c>
      <c r="J142" s="2">
        <v>3.3</v>
      </c>
      <c r="K142" s="2">
        <v>68.8</v>
      </c>
      <c r="L142" s="2">
        <v>0.81</v>
      </c>
      <c r="M142" s="2">
        <v>0.66</v>
      </c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9">
        <f t="shared" si="0"/>
        <v>2.2000000000000002E-2</v>
      </c>
      <c r="AB142" s="9">
        <f t="shared" si="1"/>
        <v>4.1250000000000002E-2</v>
      </c>
      <c r="AC142" s="10">
        <f t="shared" si="2"/>
        <v>86</v>
      </c>
      <c r="AD142" s="10">
        <f t="shared" si="3"/>
        <v>0.82500000000000007</v>
      </c>
      <c r="AE142" s="9">
        <f t="shared" si="4"/>
        <v>1.0125000000000002E-2</v>
      </c>
      <c r="AF142" s="9">
        <f t="shared" si="5"/>
        <v>7.3374999999999996E-2</v>
      </c>
      <c r="AG142" s="9">
        <f t="shared" si="6"/>
        <v>5.8699999999999992</v>
      </c>
      <c r="AH142" s="11">
        <f t="shared" si="17"/>
        <v>2.2000000000000002</v>
      </c>
      <c r="AI142" s="11">
        <f t="shared" si="17"/>
        <v>4.125</v>
      </c>
      <c r="AJ142" s="11">
        <f t="shared" si="17"/>
        <v>86</v>
      </c>
      <c r="AK142" s="11">
        <f t="shared" si="17"/>
        <v>1.0125000000000002</v>
      </c>
      <c r="AL142" s="11">
        <f t="shared" si="17"/>
        <v>0.82500000000000007</v>
      </c>
      <c r="AM142" s="2"/>
      <c r="AN142" s="2"/>
      <c r="AO142" s="2"/>
    </row>
    <row r="143" spans="1:41" x14ac:dyDescent="0.2">
      <c r="A143" s="2" t="s">
        <v>352</v>
      </c>
      <c r="B143" s="2" t="s">
        <v>93</v>
      </c>
      <c r="C143" s="2" t="s">
        <v>38</v>
      </c>
      <c r="D143" s="2" t="s">
        <v>62</v>
      </c>
      <c r="E143" s="2" t="s">
        <v>50</v>
      </c>
      <c r="F143" s="2" t="s">
        <v>353</v>
      </c>
      <c r="G143" s="2" t="s">
        <v>354</v>
      </c>
      <c r="H143" s="2">
        <v>48.3</v>
      </c>
      <c r="I143" s="9">
        <v>0.83000000000000007</v>
      </c>
      <c r="J143" s="9">
        <v>0.88000000000000012</v>
      </c>
      <c r="K143" s="13">
        <v>20.378260869565221</v>
      </c>
      <c r="L143" s="9">
        <v>0.39043478260869569</v>
      </c>
      <c r="M143" s="2"/>
      <c r="N143" s="2"/>
      <c r="O143" s="2"/>
      <c r="P143" s="2">
        <v>7.3099999999999998E-2</v>
      </c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9">
        <f t="shared" si="0"/>
        <v>0.40088999999999997</v>
      </c>
      <c r="AB143" s="9">
        <f t="shared" si="1"/>
        <v>0.42504000000000003</v>
      </c>
      <c r="AC143" s="10">
        <f t="shared" si="2"/>
        <v>984.2700000000001</v>
      </c>
      <c r="AD143" s="10">
        <f t="shared" si="3"/>
        <v>0</v>
      </c>
      <c r="AE143" s="9">
        <f t="shared" si="4"/>
        <v>0.18858</v>
      </c>
      <c r="AF143" s="9">
        <f t="shared" si="5"/>
        <v>1.01451</v>
      </c>
      <c r="AG143" s="9">
        <f t="shared" si="6"/>
        <v>2.100434782608696</v>
      </c>
      <c r="AH143" s="11">
        <f t="shared" si="17"/>
        <v>40.088999999999999</v>
      </c>
      <c r="AI143" s="11">
        <f t="shared" si="17"/>
        <v>42.504000000000005</v>
      </c>
      <c r="AJ143" s="11">
        <f t="shared" si="17"/>
        <v>984.2700000000001</v>
      </c>
      <c r="AK143" s="11">
        <f t="shared" si="17"/>
        <v>18.858000000000001</v>
      </c>
      <c r="AL143" s="11">
        <f t="shared" si="17"/>
        <v>0</v>
      </c>
      <c r="AM143" s="2"/>
      <c r="AN143" s="2"/>
      <c r="AO143" s="2"/>
    </row>
    <row r="144" spans="1:41" x14ac:dyDescent="0.2">
      <c r="A144" s="2" t="s">
        <v>355</v>
      </c>
      <c r="B144" s="2" t="s">
        <v>93</v>
      </c>
      <c r="C144" s="2" t="s">
        <v>54</v>
      </c>
      <c r="D144" s="2"/>
      <c r="E144" s="2" t="s">
        <v>50</v>
      </c>
      <c r="F144" s="2" t="s">
        <v>356</v>
      </c>
      <c r="G144" s="2" t="s">
        <v>106</v>
      </c>
      <c r="H144" s="12">
        <v>1.49</v>
      </c>
      <c r="I144" s="2">
        <v>0.71</v>
      </c>
      <c r="J144" s="2">
        <v>1.56</v>
      </c>
      <c r="K144" s="2">
        <v>245</v>
      </c>
      <c r="L144" s="2">
        <v>0.27</v>
      </c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9">
        <f t="shared" si="0"/>
        <v>1.0578999999999998E-2</v>
      </c>
      <c r="AB144" s="9">
        <f t="shared" si="1"/>
        <v>2.3244000000000001E-2</v>
      </c>
      <c r="AC144" s="10">
        <f t="shared" si="2"/>
        <v>365.05</v>
      </c>
      <c r="AD144" s="10">
        <f t="shared" si="3"/>
        <v>0</v>
      </c>
      <c r="AE144" s="9">
        <f t="shared" si="4"/>
        <v>4.0230000000000005E-3</v>
      </c>
      <c r="AF144" s="9">
        <f t="shared" si="5"/>
        <v>3.7845999999999998E-2</v>
      </c>
      <c r="AG144" s="9">
        <f t="shared" si="6"/>
        <v>2.54</v>
      </c>
      <c r="AH144" s="11">
        <f t="shared" si="17"/>
        <v>1.0578999999999998</v>
      </c>
      <c r="AI144" s="11">
        <f t="shared" si="17"/>
        <v>2.3244000000000002</v>
      </c>
      <c r="AJ144" s="11">
        <f t="shared" si="17"/>
        <v>365.05</v>
      </c>
      <c r="AK144" s="11">
        <f t="shared" si="17"/>
        <v>0.40230000000000005</v>
      </c>
      <c r="AL144" s="11">
        <f t="shared" si="17"/>
        <v>0</v>
      </c>
      <c r="AM144" s="2"/>
      <c r="AN144" s="2"/>
      <c r="AO144" s="2"/>
    </row>
    <row r="145" spans="1:41" x14ac:dyDescent="0.2">
      <c r="A145" s="2" t="s">
        <v>357</v>
      </c>
      <c r="B145" s="2" t="s">
        <v>93</v>
      </c>
      <c r="C145" s="2" t="s">
        <v>48</v>
      </c>
      <c r="D145" s="2"/>
      <c r="E145" s="2" t="s">
        <v>50</v>
      </c>
      <c r="F145" s="2" t="s">
        <v>213</v>
      </c>
      <c r="G145" s="2" t="s">
        <v>106</v>
      </c>
      <c r="H145" s="2">
        <v>0.97199999999999998</v>
      </c>
      <c r="I145" s="2">
        <v>0.2</v>
      </c>
      <c r="J145" s="2">
        <v>1.1000000000000001</v>
      </c>
      <c r="K145" s="2">
        <v>10.3</v>
      </c>
      <c r="L145" s="2">
        <v>2.1</v>
      </c>
      <c r="M145" s="2">
        <v>0.1</v>
      </c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9">
        <f t="shared" si="0"/>
        <v>1.9440000000000002E-3</v>
      </c>
      <c r="AB145" s="9">
        <f t="shared" si="1"/>
        <v>1.0692000000000002E-2</v>
      </c>
      <c r="AC145" s="10">
        <f t="shared" si="2"/>
        <v>10.0116</v>
      </c>
      <c r="AD145" s="10">
        <f t="shared" si="3"/>
        <v>9.7200000000000009E-2</v>
      </c>
      <c r="AE145" s="9">
        <f t="shared" si="4"/>
        <v>2.0412E-2</v>
      </c>
      <c r="AF145" s="9">
        <f t="shared" si="5"/>
        <v>3.3048000000000001E-2</v>
      </c>
      <c r="AG145" s="9">
        <f t="shared" si="6"/>
        <v>3.4000000000000004</v>
      </c>
      <c r="AH145" s="11">
        <f t="shared" si="17"/>
        <v>0.19440000000000002</v>
      </c>
      <c r="AI145" s="11">
        <f t="shared" si="17"/>
        <v>1.0692000000000002</v>
      </c>
      <c r="AJ145" s="11">
        <f t="shared" si="17"/>
        <v>10.0116</v>
      </c>
      <c r="AK145" s="11">
        <f t="shared" si="17"/>
        <v>2.0411999999999999</v>
      </c>
      <c r="AL145" s="11">
        <f t="shared" si="17"/>
        <v>9.7200000000000009E-2</v>
      </c>
      <c r="AM145" s="2"/>
      <c r="AN145" s="2"/>
      <c r="AO145" s="2"/>
    </row>
    <row r="146" spans="1:41" x14ac:dyDescent="0.2">
      <c r="A146" s="2" t="s">
        <v>358</v>
      </c>
      <c r="B146" s="2" t="s">
        <v>93</v>
      </c>
      <c r="C146" s="2" t="s">
        <v>48</v>
      </c>
      <c r="D146" s="2"/>
      <c r="E146" s="2" t="s">
        <v>50</v>
      </c>
      <c r="F146" s="2" t="s">
        <v>359</v>
      </c>
      <c r="G146" s="2" t="s">
        <v>106</v>
      </c>
      <c r="H146" s="2">
        <v>2.875</v>
      </c>
      <c r="I146" s="2"/>
      <c r="J146" s="9">
        <v>1.3490852173913042</v>
      </c>
      <c r="K146" s="2"/>
      <c r="L146" s="9">
        <v>0.75986086956521748</v>
      </c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9">
        <f t="shared" si="0"/>
        <v>0</v>
      </c>
      <c r="AB146" s="9">
        <f t="shared" si="1"/>
        <v>3.8786199999999993E-2</v>
      </c>
      <c r="AC146" s="10">
        <f t="shared" si="2"/>
        <v>0</v>
      </c>
      <c r="AD146" s="10">
        <f t="shared" si="3"/>
        <v>0</v>
      </c>
      <c r="AE146" s="9">
        <f t="shared" si="4"/>
        <v>2.1846000000000001E-2</v>
      </c>
      <c r="AF146" s="9">
        <f t="shared" si="5"/>
        <v>6.0632199999999997E-2</v>
      </c>
      <c r="AG146" s="9">
        <f t="shared" si="6"/>
        <v>2.1089460869565215</v>
      </c>
      <c r="AH146" s="11">
        <f t="shared" ref="AH146:AL161" si="18">$H146*I146</f>
        <v>0</v>
      </c>
      <c r="AI146" s="11">
        <f t="shared" si="18"/>
        <v>3.8786199999999993</v>
      </c>
      <c r="AJ146" s="11">
        <f t="shared" si="18"/>
        <v>0</v>
      </c>
      <c r="AK146" s="11">
        <f t="shared" si="18"/>
        <v>2.1846000000000001</v>
      </c>
      <c r="AL146" s="11">
        <f t="shared" si="18"/>
        <v>0</v>
      </c>
      <c r="AM146" s="2"/>
      <c r="AN146" s="2"/>
      <c r="AO146" s="2"/>
    </row>
    <row r="147" spans="1:41" x14ac:dyDescent="0.2">
      <c r="A147" s="2" t="s">
        <v>360</v>
      </c>
      <c r="B147" s="2" t="s">
        <v>93</v>
      </c>
      <c r="C147" s="2" t="s">
        <v>38</v>
      </c>
      <c r="D147" s="2" t="s">
        <v>361</v>
      </c>
      <c r="E147" s="2" t="s">
        <v>50</v>
      </c>
      <c r="F147" s="2" t="s">
        <v>362</v>
      </c>
      <c r="G147" s="2" t="s">
        <v>363</v>
      </c>
      <c r="H147" s="13">
        <v>41.5</v>
      </c>
      <c r="I147" s="2">
        <v>0.5</v>
      </c>
      <c r="J147" s="2"/>
      <c r="K147" s="2">
        <v>45</v>
      </c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9">
        <f t="shared" si="0"/>
        <v>0.20749999999999999</v>
      </c>
      <c r="AB147" s="9">
        <f t="shared" si="1"/>
        <v>0</v>
      </c>
      <c r="AC147" s="10">
        <f t="shared" si="2"/>
        <v>1867.5</v>
      </c>
      <c r="AD147" s="10">
        <f t="shared" si="3"/>
        <v>0</v>
      </c>
      <c r="AE147" s="9">
        <f t="shared" si="4"/>
        <v>0</v>
      </c>
      <c r="AF147" s="9">
        <f t="shared" si="5"/>
        <v>0.20749999999999999</v>
      </c>
      <c r="AG147" s="9">
        <f t="shared" si="6"/>
        <v>0.5</v>
      </c>
      <c r="AH147" s="11">
        <f t="shared" si="18"/>
        <v>20.75</v>
      </c>
      <c r="AI147" s="11">
        <f t="shared" si="18"/>
        <v>0</v>
      </c>
      <c r="AJ147" s="11">
        <f t="shared" si="18"/>
        <v>1867.5</v>
      </c>
      <c r="AK147" s="11">
        <f t="shared" si="18"/>
        <v>0</v>
      </c>
      <c r="AL147" s="11">
        <f t="shared" si="18"/>
        <v>0</v>
      </c>
      <c r="AM147" s="2"/>
      <c r="AN147" s="2"/>
      <c r="AO147" s="2"/>
    </row>
    <row r="148" spans="1:41" x14ac:dyDescent="0.2">
      <c r="A148" s="2" t="s">
        <v>364</v>
      </c>
      <c r="B148" s="2" t="s">
        <v>93</v>
      </c>
      <c r="C148" s="2" t="s">
        <v>365</v>
      </c>
      <c r="D148" s="2" t="s">
        <v>366</v>
      </c>
      <c r="E148" s="16" t="s">
        <v>196</v>
      </c>
      <c r="F148" s="2" t="s">
        <v>231</v>
      </c>
      <c r="G148" s="2" t="s">
        <v>106</v>
      </c>
      <c r="H148" s="2">
        <v>11.65</v>
      </c>
      <c r="I148" s="9">
        <v>1.3484120171673821</v>
      </c>
      <c r="J148" s="9">
        <v>2.2855793991416311</v>
      </c>
      <c r="K148" s="14">
        <v>31.806866952789701</v>
      </c>
      <c r="L148" s="9">
        <v>0.50454935622317598</v>
      </c>
      <c r="M148" s="9">
        <v>0.29420600858369095</v>
      </c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9">
        <f t="shared" si="0"/>
        <v>0.15709000000000001</v>
      </c>
      <c r="AB148" s="9">
        <f t="shared" si="1"/>
        <v>0.26627000000000001</v>
      </c>
      <c r="AC148" s="10">
        <f t="shared" si="2"/>
        <v>370.55</v>
      </c>
      <c r="AD148" s="10">
        <f t="shared" si="3"/>
        <v>3.4274999999999998</v>
      </c>
      <c r="AE148" s="9">
        <f t="shared" si="4"/>
        <v>5.8779999999999999E-2</v>
      </c>
      <c r="AF148" s="9">
        <f t="shared" si="5"/>
        <v>0.48214000000000001</v>
      </c>
      <c r="AG148" s="9">
        <f t="shared" si="6"/>
        <v>4.1385407725321892</v>
      </c>
      <c r="AH148" s="11">
        <f t="shared" si="18"/>
        <v>15.709000000000001</v>
      </c>
      <c r="AI148" s="11">
        <f t="shared" si="18"/>
        <v>26.627000000000002</v>
      </c>
      <c r="AJ148" s="11">
        <f t="shared" si="18"/>
        <v>370.55</v>
      </c>
      <c r="AK148" s="11">
        <f t="shared" si="18"/>
        <v>5.8780000000000001</v>
      </c>
      <c r="AL148" s="11">
        <f t="shared" si="18"/>
        <v>3.4274999999999998</v>
      </c>
      <c r="AM148" s="2"/>
      <c r="AN148" s="2"/>
      <c r="AO148" s="2"/>
    </row>
    <row r="149" spans="1:41" x14ac:dyDescent="0.2">
      <c r="A149" s="2" t="s">
        <v>367</v>
      </c>
      <c r="B149" s="2" t="s">
        <v>93</v>
      </c>
      <c r="C149" s="2" t="s">
        <v>368</v>
      </c>
      <c r="D149" s="2" t="s">
        <v>366</v>
      </c>
      <c r="E149" s="2" t="s">
        <v>50</v>
      </c>
      <c r="F149" s="2" t="s">
        <v>231</v>
      </c>
      <c r="G149" s="2" t="s">
        <v>106</v>
      </c>
      <c r="H149" s="9">
        <v>10.1</v>
      </c>
      <c r="I149" s="9">
        <v>4.0290297029702966</v>
      </c>
      <c r="J149" s="9">
        <v>10.152178217821783</v>
      </c>
      <c r="K149" s="14">
        <v>84.451485148514863</v>
      </c>
      <c r="L149" s="9">
        <v>1.7774257425742577</v>
      </c>
      <c r="M149" s="9">
        <v>0.55053465346534658</v>
      </c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9">
        <f t="shared" si="0"/>
        <v>0.40693199999999996</v>
      </c>
      <c r="AB149" s="9">
        <f t="shared" si="1"/>
        <v>1.0253700000000001</v>
      </c>
      <c r="AC149" s="10">
        <f t="shared" si="2"/>
        <v>852.96</v>
      </c>
      <c r="AD149" s="10">
        <f t="shared" si="3"/>
        <v>5.5604000000000005</v>
      </c>
      <c r="AE149" s="9">
        <f t="shared" si="4"/>
        <v>0.17952000000000001</v>
      </c>
      <c r="AF149" s="9">
        <f t="shared" si="5"/>
        <v>1.6118220000000001</v>
      </c>
      <c r="AG149" s="9">
        <f t="shared" si="6"/>
        <v>15.958633663366337</v>
      </c>
      <c r="AH149" s="11">
        <f t="shared" si="18"/>
        <v>40.693199999999997</v>
      </c>
      <c r="AI149" s="11">
        <f t="shared" si="18"/>
        <v>102.53700000000001</v>
      </c>
      <c r="AJ149" s="11">
        <f t="shared" si="18"/>
        <v>852.96</v>
      </c>
      <c r="AK149" s="11">
        <f t="shared" si="18"/>
        <v>17.952000000000002</v>
      </c>
      <c r="AL149" s="11">
        <f t="shared" si="18"/>
        <v>5.5604000000000005</v>
      </c>
      <c r="AM149" s="2"/>
      <c r="AN149" s="2"/>
      <c r="AO149" s="2"/>
    </row>
    <row r="150" spans="1:41" x14ac:dyDescent="0.2">
      <c r="A150" s="2" t="s">
        <v>369</v>
      </c>
      <c r="B150" s="2" t="s">
        <v>93</v>
      </c>
      <c r="C150" s="2" t="s">
        <v>370</v>
      </c>
      <c r="D150" s="2" t="s">
        <v>371</v>
      </c>
      <c r="E150" s="16" t="s">
        <v>196</v>
      </c>
      <c r="F150" s="2" t="s">
        <v>372</v>
      </c>
      <c r="G150" s="2" t="s">
        <v>373</v>
      </c>
      <c r="H150" s="2">
        <v>0.42</v>
      </c>
      <c r="I150" s="2">
        <v>1.5</v>
      </c>
      <c r="J150" s="2">
        <v>13.6</v>
      </c>
      <c r="K150" s="2">
        <v>55</v>
      </c>
      <c r="L150" s="2"/>
      <c r="M150" s="2"/>
      <c r="N150" s="2"/>
      <c r="O150" s="2"/>
      <c r="P150" s="2"/>
      <c r="Q150" s="2"/>
      <c r="R150" s="2">
        <v>48</v>
      </c>
      <c r="S150" s="2"/>
      <c r="T150" s="2"/>
      <c r="U150" s="2"/>
      <c r="V150" s="2"/>
      <c r="W150" s="2"/>
      <c r="X150" s="2"/>
      <c r="Y150" s="2"/>
      <c r="Z150" s="2"/>
      <c r="AA150" s="9">
        <f t="shared" si="0"/>
        <v>6.3E-3</v>
      </c>
      <c r="AB150" s="9">
        <f t="shared" si="1"/>
        <v>5.7119999999999997E-2</v>
      </c>
      <c r="AC150" s="10">
        <f t="shared" si="2"/>
        <v>23.099999999999998</v>
      </c>
      <c r="AD150" s="10">
        <f t="shared" si="3"/>
        <v>0</v>
      </c>
      <c r="AE150" s="9">
        <f t="shared" si="4"/>
        <v>0</v>
      </c>
      <c r="AF150" s="9">
        <f t="shared" si="5"/>
        <v>6.3420000000000004E-2</v>
      </c>
      <c r="AG150" s="9">
        <f t="shared" si="6"/>
        <v>15.1</v>
      </c>
      <c r="AH150" s="11">
        <f t="shared" si="18"/>
        <v>0.63</v>
      </c>
      <c r="AI150" s="11">
        <f t="shared" si="18"/>
        <v>5.7119999999999997</v>
      </c>
      <c r="AJ150" s="11">
        <f t="shared" si="18"/>
        <v>23.099999999999998</v>
      </c>
      <c r="AK150" s="11">
        <f t="shared" si="18"/>
        <v>0</v>
      </c>
      <c r="AL150" s="11">
        <f t="shared" si="18"/>
        <v>0</v>
      </c>
      <c r="AM150" s="2"/>
      <c r="AN150" s="2"/>
      <c r="AO150" s="2"/>
    </row>
    <row r="151" spans="1:41" x14ac:dyDescent="0.2">
      <c r="A151" s="2" t="s">
        <v>374</v>
      </c>
      <c r="B151" s="2" t="s">
        <v>375</v>
      </c>
      <c r="C151" s="2" t="s">
        <v>38</v>
      </c>
      <c r="D151" s="2" t="s">
        <v>62</v>
      </c>
      <c r="E151" s="7" t="s">
        <v>40</v>
      </c>
      <c r="F151" s="2" t="s">
        <v>41</v>
      </c>
      <c r="G151" s="2" t="s">
        <v>376</v>
      </c>
      <c r="H151" s="2">
        <v>95</v>
      </c>
      <c r="I151" s="2">
        <v>1.43</v>
      </c>
      <c r="J151" s="2">
        <v>3.63</v>
      </c>
      <c r="K151" s="2">
        <v>44.2</v>
      </c>
      <c r="L151" s="2">
        <v>0.59</v>
      </c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9">
        <f t="shared" si="0"/>
        <v>1.3585</v>
      </c>
      <c r="AB151" s="9">
        <f t="shared" si="1"/>
        <v>3.4484999999999997</v>
      </c>
      <c r="AC151" s="10">
        <f t="shared" si="2"/>
        <v>4199</v>
      </c>
      <c r="AD151" s="10">
        <f t="shared" si="3"/>
        <v>0</v>
      </c>
      <c r="AE151" s="9">
        <f t="shared" si="4"/>
        <v>0.5605</v>
      </c>
      <c r="AF151" s="9">
        <f t="shared" si="5"/>
        <v>5.3674999999999997</v>
      </c>
      <c r="AG151" s="9">
        <f t="shared" si="6"/>
        <v>5.6499999999999995</v>
      </c>
      <c r="AH151" s="11">
        <f t="shared" si="18"/>
        <v>135.85</v>
      </c>
      <c r="AI151" s="11">
        <f t="shared" si="18"/>
        <v>344.84999999999997</v>
      </c>
      <c r="AJ151" s="11">
        <f t="shared" si="18"/>
        <v>4199</v>
      </c>
      <c r="AK151" s="11">
        <f t="shared" si="18"/>
        <v>56.05</v>
      </c>
      <c r="AL151" s="11">
        <f t="shared" si="18"/>
        <v>0</v>
      </c>
      <c r="AM151" s="2"/>
      <c r="AN151" s="2"/>
      <c r="AO151" s="2"/>
    </row>
    <row r="152" spans="1:41" x14ac:dyDescent="0.2">
      <c r="A152" s="2" t="s">
        <v>377</v>
      </c>
      <c r="B152" s="2" t="s">
        <v>378</v>
      </c>
      <c r="C152" s="2" t="s">
        <v>54</v>
      </c>
      <c r="D152" s="2" t="s">
        <v>379</v>
      </c>
      <c r="E152" s="2" t="s">
        <v>50</v>
      </c>
      <c r="F152" s="2" t="s">
        <v>63</v>
      </c>
      <c r="G152" s="2" t="s">
        <v>64</v>
      </c>
      <c r="H152" s="2">
        <f>1+0.7+2.4</f>
        <v>4.0999999999999996</v>
      </c>
      <c r="I152" s="13">
        <f>(1.38*1+1*0.7+0.7*2.4)/$H152</f>
        <v>0.91707317073170735</v>
      </c>
      <c r="J152" s="13">
        <f>(10.9*1+11*0.7+9*2.4)/$H152</f>
        <v>9.8048780487804894</v>
      </c>
      <c r="K152" s="14">
        <f>(296*1+320*0.7+300*2.4)/$H152</f>
        <v>302.4390243902439</v>
      </c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9">
        <f t="shared" si="0"/>
        <v>3.7599999999999995E-2</v>
      </c>
      <c r="AB152" s="9">
        <f t="shared" si="1"/>
        <v>0.40200000000000002</v>
      </c>
      <c r="AC152" s="10">
        <f t="shared" si="2"/>
        <v>1240</v>
      </c>
      <c r="AD152" s="10">
        <f t="shared" si="3"/>
        <v>0</v>
      </c>
      <c r="AE152" s="9">
        <f t="shared" si="4"/>
        <v>0</v>
      </c>
      <c r="AF152" s="9">
        <f t="shared" si="5"/>
        <v>0.43959999999999999</v>
      </c>
      <c r="AG152" s="9">
        <f t="shared" si="6"/>
        <v>10.721951219512198</v>
      </c>
      <c r="AH152" s="11">
        <f t="shared" si="18"/>
        <v>3.76</v>
      </c>
      <c r="AI152" s="11">
        <f t="shared" si="18"/>
        <v>40.200000000000003</v>
      </c>
      <c r="AJ152" s="11">
        <f t="shared" si="18"/>
        <v>1240</v>
      </c>
      <c r="AK152" s="11">
        <f t="shared" si="18"/>
        <v>0</v>
      </c>
      <c r="AL152" s="11">
        <f t="shared" si="18"/>
        <v>0</v>
      </c>
      <c r="AM152" s="2"/>
      <c r="AN152" s="2"/>
      <c r="AO152" s="2"/>
    </row>
    <row r="153" spans="1:41" x14ac:dyDescent="0.2">
      <c r="A153" s="2" t="s">
        <v>380</v>
      </c>
      <c r="B153" s="2" t="s">
        <v>378</v>
      </c>
      <c r="C153" s="2" t="s">
        <v>187</v>
      </c>
      <c r="D153" s="2" t="s">
        <v>379</v>
      </c>
      <c r="E153" s="2" t="s">
        <v>50</v>
      </c>
      <c r="F153" s="2" t="s">
        <v>63</v>
      </c>
      <c r="G153" s="2" t="s">
        <v>64</v>
      </c>
      <c r="H153" s="2">
        <f>0.53+0.5+1.3</f>
        <v>2.33</v>
      </c>
      <c r="I153" s="13">
        <f>(2.65*0.53+2.4*0.5+2*1.3)/$H153</f>
        <v>2.2336909871244632</v>
      </c>
      <c r="J153" s="13">
        <f>(9.63*0.53+9.7*0.5+8*1.3)/$H153</f>
        <v>8.7355793991416313</v>
      </c>
      <c r="K153" s="14">
        <f>(207*0.53+200*0.5+200*1.3)/$H153</f>
        <v>201.59227467811161</v>
      </c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9">
        <f t="shared" si="0"/>
        <v>5.2044999999999994E-2</v>
      </c>
      <c r="AB153" s="9">
        <f t="shared" si="1"/>
        <v>0.20353900000000003</v>
      </c>
      <c r="AC153" s="10">
        <f t="shared" si="2"/>
        <v>469.71000000000004</v>
      </c>
      <c r="AD153" s="10">
        <f t="shared" si="3"/>
        <v>0</v>
      </c>
      <c r="AE153" s="9">
        <f t="shared" si="4"/>
        <v>0</v>
      </c>
      <c r="AF153" s="9">
        <f t="shared" si="5"/>
        <v>0.25558400000000003</v>
      </c>
      <c r="AG153" s="9">
        <f t="shared" si="6"/>
        <v>10.969270386266095</v>
      </c>
      <c r="AH153" s="11">
        <f t="shared" si="18"/>
        <v>5.2044999999999995</v>
      </c>
      <c r="AI153" s="11">
        <f t="shared" si="18"/>
        <v>20.353900000000003</v>
      </c>
      <c r="AJ153" s="11">
        <f t="shared" si="18"/>
        <v>469.71000000000004</v>
      </c>
      <c r="AK153" s="11">
        <f t="shared" si="18"/>
        <v>0</v>
      </c>
      <c r="AL153" s="11">
        <f t="shared" si="18"/>
        <v>0</v>
      </c>
      <c r="AM153" s="2"/>
      <c r="AN153" s="2"/>
      <c r="AO153" s="2"/>
    </row>
    <row r="154" spans="1:41" x14ac:dyDescent="0.2">
      <c r="A154" s="2" t="s">
        <v>381</v>
      </c>
      <c r="B154" s="2" t="s">
        <v>378</v>
      </c>
      <c r="C154" s="2" t="s">
        <v>382</v>
      </c>
      <c r="D154" s="2" t="s">
        <v>379</v>
      </c>
      <c r="E154" s="16" t="s">
        <v>196</v>
      </c>
      <c r="F154" s="2" t="s">
        <v>383</v>
      </c>
      <c r="G154" s="2" t="s">
        <v>384</v>
      </c>
      <c r="H154" s="12">
        <f>0.18378652+0.18151308</f>
        <v>0.3652996</v>
      </c>
      <c r="I154" s="9">
        <f>(0.16*0.18378652+0.47*0.18151308)/$H154</f>
        <v>0.31403535837433166</v>
      </c>
      <c r="J154" s="9">
        <f>(1.47*0.18378652+3*0.18151308)/$H154</f>
        <v>2.2302390268152497</v>
      </c>
      <c r="K154" s="13">
        <f>(8.12*0.18378652+17.85*0.18151308)/$H154</f>
        <v>12.954722699942732</v>
      </c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9">
        <f t="shared" si="0"/>
        <v>1.147169908E-3</v>
      </c>
      <c r="AB154" s="9">
        <f t="shared" si="1"/>
        <v>8.1470542439999998E-3</v>
      </c>
      <c r="AC154" s="10">
        <f t="shared" si="2"/>
        <v>4.7323550204</v>
      </c>
      <c r="AD154" s="10">
        <f t="shared" si="3"/>
        <v>0</v>
      </c>
      <c r="AE154" s="9">
        <f t="shared" si="4"/>
        <v>0</v>
      </c>
      <c r="AF154" s="9">
        <f t="shared" si="5"/>
        <v>9.2942241519999996E-3</v>
      </c>
      <c r="AG154" s="9">
        <f t="shared" si="6"/>
        <v>2.5442743851895813</v>
      </c>
      <c r="AH154" s="11">
        <f t="shared" si="18"/>
        <v>0.1147169908</v>
      </c>
      <c r="AI154" s="11">
        <f t="shared" si="18"/>
        <v>0.81470542439999993</v>
      </c>
      <c r="AJ154" s="11">
        <f t="shared" si="18"/>
        <v>4.7323550204</v>
      </c>
      <c r="AK154" s="11">
        <f t="shared" si="18"/>
        <v>0</v>
      </c>
      <c r="AL154" s="11">
        <f t="shared" si="18"/>
        <v>0</v>
      </c>
      <c r="AM154" s="2"/>
      <c r="AN154" s="2"/>
      <c r="AO154" s="2"/>
    </row>
    <row r="155" spans="1:41" x14ac:dyDescent="0.2">
      <c r="A155" s="2" t="s">
        <v>385</v>
      </c>
      <c r="B155" s="2" t="s">
        <v>378</v>
      </c>
      <c r="C155" s="2" t="s">
        <v>54</v>
      </c>
      <c r="D155" s="2" t="s">
        <v>379</v>
      </c>
      <c r="E155" s="2" t="s">
        <v>50</v>
      </c>
      <c r="F155" s="2" t="s">
        <v>383</v>
      </c>
      <c r="G155" s="2" t="s">
        <v>386</v>
      </c>
      <c r="H155" s="2">
        <v>0.1163</v>
      </c>
      <c r="I155" s="2">
        <v>1.2</v>
      </c>
      <c r="J155" s="2">
        <v>5.0999999999999996</v>
      </c>
      <c r="K155" s="2">
        <v>54</v>
      </c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9">
        <f t="shared" si="0"/>
        <v>1.3955999999999999E-3</v>
      </c>
      <c r="AB155" s="9">
        <f t="shared" si="1"/>
        <v>5.9312999999999996E-3</v>
      </c>
      <c r="AC155" s="10">
        <f t="shared" si="2"/>
        <v>6.2801999999999998</v>
      </c>
      <c r="AD155" s="10">
        <f t="shared" si="3"/>
        <v>0</v>
      </c>
      <c r="AE155" s="9">
        <f t="shared" si="4"/>
        <v>0</v>
      </c>
      <c r="AF155" s="9">
        <f t="shared" si="5"/>
        <v>7.326899999999999E-3</v>
      </c>
      <c r="AG155" s="9">
        <f t="shared" si="6"/>
        <v>6.3</v>
      </c>
      <c r="AH155" s="11">
        <f t="shared" si="18"/>
        <v>0.13955999999999999</v>
      </c>
      <c r="AI155" s="11">
        <f t="shared" si="18"/>
        <v>0.59312999999999994</v>
      </c>
      <c r="AJ155" s="11">
        <f t="shared" si="18"/>
        <v>6.2801999999999998</v>
      </c>
      <c r="AK155" s="11">
        <f t="shared" si="18"/>
        <v>0</v>
      </c>
      <c r="AL155" s="11">
        <f t="shared" si="18"/>
        <v>0</v>
      </c>
      <c r="AM155" s="2"/>
      <c r="AN155" s="2"/>
      <c r="AO155" s="2"/>
    </row>
    <row r="156" spans="1:41" x14ac:dyDescent="0.2">
      <c r="A156" s="2" t="s">
        <v>387</v>
      </c>
      <c r="B156" s="2" t="s">
        <v>378</v>
      </c>
      <c r="C156" s="2" t="s">
        <v>38</v>
      </c>
      <c r="D156" s="2" t="s">
        <v>62</v>
      </c>
      <c r="E156" s="2" t="s">
        <v>50</v>
      </c>
      <c r="F156" s="2" t="s">
        <v>388</v>
      </c>
      <c r="G156" s="2" t="s">
        <v>389</v>
      </c>
      <c r="H156" s="9">
        <f>10.781799+110.769594+75.728745+10.551449+46.177497+69.705696+9.656149+67.054896+34.429848+50.149506</f>
        <v>485.00517899999988</v>
      </c>
      <c r="I156" s="9">
        <f>(0.13*10.781799+0.13*110.769594+0.13*75.728745+0.03*10.551449+0.03*46.177497+0.02*69.705696+0.05*9.656149+0.04*67.054896+0.03*34.429848+0.09*50.149506)/$H156</f>
        <v>7.7223411484436968E-2</v>
      </c>
      <c r="J156" s="9">
        <f>(0.04*10.781799+0.08*110.769594+0.1*75.728745+0.004*10.551449+0.004*46.177497+0*69.705696+0.03*9.656149+0.02*67.054896+0.01*34.429848+0.05*50.149506)/$H156</f>
        <v>4.4484444431056293E-2</v>
      </c>
      <c r="K156" s="13">
        <f>(40*10.781799+29.3*110.769594+23*75.728745+26.1*10.551449+21.7*46.177497+17.6*69.705696+34.2*9.656149+28*67.054896+22.9*34.429848+12*50.149506)/$H156</f>
        <v>23.754100835282017</v>
      </c>
      <c r="L156" s="9">
        <f>(0.01*10.781799+0.01*110.769594+0.01*75.728745+0.02*10.551449+0.02*46.177497+0.02*69.705696+0.04*9.656149+0.05*67.054896+0.05*34.429848+0.02*50.149506)/$H156</f>
        <v>2.2607938996874098E-2</v>
      </c>
      <c r="M156" s="2"/>
      <c r="N156" s="2"/>
      <c r="O156" s="2"/>
      <c r="P156" s="2"/>
      <c r="Q156" s="2"/>
      <c r="R156" s="13">
        <f>(6.3*10.781799+6.9*110.769594+6.6*75.728745+2.7*10.551449+2.8*46.177497+2.6*69.705696+9.5*9.656149+6*67.054896+3.2*34.429848+2.9*50.149506)/$H156</f>
        <v>4.9911587342039514</v>
      </c>
      <c r="S156" s="2"/>
      <c r="T156" s="2"/>
      <c r="U156" s="2"/>
      <c r="V156" s="13"/>
      <c r="W156" s="13"/>
      <c r="X156" s="13"/>
      <c r="Y156" s="13">
        <f>(2.8*10.781799+3.1*110.769594+3.1*75.728745+5.7*10.551449+5.5*46.177497+4.8*69.705696+5*9.656149+5.2*67.054896+5.2*34.429848+5*50.149506)/$H156</f>
        <v>4.2964276583529024</v>
      </c>
      <c r="Z156" s="2" t="s">
        <v>390</v>
      </c>
      <c r="AA156" s="9">
        <f t="shared" si="0"/>
        <v>0.37453754509999998</v>
      </c>
      <c r="AB156" s="9">
        <f t="shared" si="1"/>
        <v>0.21575185934000005</v>
      </c>
      <c r="AC156" s="10">
        <f t="shared" si="2"/>
        <v>11520.861927600001</v>
      </c>
      <c r="AD156" s="10">
        <f t="shared" si="3"/>
        <v>0</v>
      </c>
      <c r="AE156" s="9">
        <f t="shared" si="4"/>
        <v>0.109649675</v>
      </c>
      <c r="AF156" s="9">
        <f t="shared" si="5"/>
        <v>0.69993907944</v>
      </c>
      <c r="AG156" s="9">
        <f t="shared" si="6"/>
        <v>0.14431579491236737</v>
      </c>
      <c r="AH156" s="11">
        <f t="shared" si="18"/>
        <v>37.453754509999996</v>
      </c>
      <c r="AI156" s="11">
        <f t="shared" si="18"/>
        <v>21.575185934000004</v>
      </c>
      <c r="AJ156" s="11">
        <f t="shared" si="18"/>
        <v>11520.861927600001</v>
      </c>
      <c r="AK156" s="11">
        <f t="shared" si="18"/>
        <v>10.9649675</v>
      </c>
      <c r="AL156" s="11">
        <f t="shared" si="18"/>
        <v>0</v>
      </c>
      <c r="AM156" s="2"/>
      <c r="AN156" s="2"/>
      <c r="AO156" s="2"/>
    </row>
    <row r="157" spans="1:41" x14ac:dyDescent="0.2">
      <c r="A157" s="2" t="s">
        <v>391</v>
      </c>
      <c r="B157" s="2" t="s">
        <v>378</v>
      </c>
      <c r="C157" s="2" t="s">
        <v>54</v>
      </c>
      <c r="D157" s="2"/>
      <c r="E157" s="2" t="s">
        <v>50</v>
      </c>
      <c r="F157" s="2" t="s">
        <v>383</v>
      </c>
      <c r="G157" s="2" t="s">
        <v>386</v>
      </c>
      <c r="H157" s="12">
        <v>18.4161</v>
      </c>
      <c r="I157" s="2">
        <v>0.68</v>
      </c>
      <c r="J157" s="2">
        <v>1.1599999999999999</v>
      </c>
      <c r="K157" s="2">
        <v>43.04</v>
      </c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9">
        <f t="shared" si="0"/>
        <v>0.12522948</v>
      </c>
      <c r="AB157" s="9">
        <f t="shared" si="1"/>
        <v>0.21362676</v>
      </c>
      <c r="AC157" s="10">
        <f t="shared" si="2"/>
        <v>792.62894400000005</v>
      </c>
      <c r="AD157" s="10">
        <f t="shared" si="3"/>
        <v>0</v>
      </c>
      <c r="AE157" s="9">
        <f t="shared" si="4"/>
        <v>0</v>
      </c>
      <c r="AF157" s="9">
        <f t="shared" si="5"/>
        <v>0.33885624000000003</v>
      </c>
      <c r="AG157" s="9">
        <f t="shared" si="6"/>
        <v>1.8399999999999999</v>
      </c>
      <c r="AH157" s="11">
        <f t="shared" si="18"/>
        <v>12.522948000000001</v>
      </c>
      <c r="AI157" s="11">
        <f t="shared" si="18"/>
        <v>21.362676</v>
      </c>
      <c r="AJ157" s="11">
        <f t="shared" si="18"/>
        <v>792.62894400000005</v>
      </c>
      <c r="AK157" s="11">
        <f t="shared" si="18"/>
        <v>0</v>
      </c>
      <c r="AL157" s="11">
        <f t="shared" si="18"/>
        <v>0</v>
      </c>
      <c r="AM157" s="2"/>
      <c r="AN157" s="2"/>
      <c r="AO157" s="2"/>
    </row>
    <row r="158" spans="1:41" x14ac:dyDescent="0.2">
      <c r="A158" s="2" t="s">
        <v>392</v>
      </c>
      <c r="B158" s="2" t="s">
        <v>378</v>
      </c>
      <c r="C158" s="2" t="s">
        <v>187</v>
      </c>
      <c r="D158" s="2"/>
      <c r="E158" s="2" t="s">
        <v>50</v>
      </c>
      <c r="F158" s="2" t="s">
        <v>63</v>
      </c>
      <c r="G158" s="2" t="s">
        <v>64</v>
      </c>
      <c r="H158" s="2">
        <f>0.23+0.4+1.6</f>
        <v>2.23</v>
      </c>
      <c r="I158" s="13">
        <f>(0.35*0.23+0.5*0.4+0.5*1.6)/$H158</f>
        <v>0.48452914798206281</v>
      </c>
      <c r="J158" s="13">
        <f>(7.23*0.23+6.4*0.4+6*1.6)/$H158</f>
        <v>6.1986098654708535</v>
      </c>
      <c r="K158" s="14">
        <f>(160*0.23+240*0.4+200*1.6)/$H158</f>
        <v>203.0493273542601</v>
      </c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9">
        <f t="shared" si="0"/>
        <v>1.0805E-2</v>
      </c>
      <c r="AB158" s="9">
        <f t="shared" si="1"/>
        <v>0.13822900000000002</v>
      </c>
      <c r="AC158" s="10">
        <f t="shared" si="2"/>
        <v>452.8</v>
      </c>
      <c r="AD158" s="10">
        <f t="shared" si="3"/>
        <v>0</v>
      </c>
      <c r="AE158" s="9">
        <f t="shared" si="4"/>
        <v>0</v>
      </c>
      <c r="AF158" s="9">
        <f t="shared" si="5"/>
        <v>0.14903400000000003</v>
      </c>
      <c r="AG158" s="9">
        <f t="shared" si="6"/>
        <v>6.6831390134529158</v>
      </c>
      <c r="AH158" s="11">
        <f t="shared" si="18"/>
        <v>1.0805</v>
      </c>
      <c r="AI158" s="11">
        <f t="shared" si="18"/>
        <v>13.822900000000002</v>
      </c>
      <c r="AJ158" s="11">
        <f t="shared" si="18"/>
        <v>452.8</v>
      </c>
      <c r="AK158" s="11">
        <f t="shared" si="18"/>
        <v>0</v>
      </c>
      <c r="AL158" s="11">
        <f t="shared" si="18"/>
        <v>0</v>
      </c>
      <c r="AM158" s="2"/>
      <c r="AN158" s="2"/>
      <c r="AO158" s="2"/>
    </row>
    <row r="159" spans="1:41" x14ac:dyDescent="0.2">
      <c r="A159" s="2" t="s">
        <v>393</v>
      </c>
      <c r="B159" s="2" t="s">
        <v>378</v>
      </c>
      <c r="C159" s="2" t="s">
        <v>187</v>
      </c>
      <c r="D159" s="2"/>
      <c r="E159" s="2" t="s">
        <v>50</v>
      </c>
      <c r="F159" s="2" t="s">
        <v>63</v>
      </c>
      <c r="G159" s="2" t="s">
        <v>64</v>
      </c>
      <c r="H159" s="2">
        <f>0.75+0.4+1.2</f>
        <v>2.3499999999999996</v>
      </c>
      <c r="I159" s="13">
        <f>(0.65*0.75+1*0.4+0.9*1.2)/$H159</f>
        <v>0.83723404255319167</v>
      </c>
      <c r="J159" s="13">
        <f>(9.18*0.75+9.7*0.4+9*1.2)/$H159</f>
        <v>9.176595744680851</v>
      </c>
      <c r="K159" s="14">
        <f>(105*0.75+100*0.4+80*1.2)/$H159</f>
        <v>91.382978723404264</v>
      </c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9">
        <f t="shared" si="0"/>
        <v>1.9675000000000002E-2</v>
      </c>
      <c r="AB159" s="9">
        <f t="shared" si="1"/>
        <v>0.21564999999999998</v>
      </c>
      <c r="AC159" s="10">
        <f t="shared" si="2"/>
        <v>214.75</v>
      </c>
      <c r="AD159" s="10">
        <f t="shared" si="3"/>
        <v>0</v>
      </c>
      <c r="AE159" s="9">
        <f t="shared" si="4"/>
        <v>0</v>
      </c>
      <c r="AF159" s="9">
        <f t="shared" si="5"/>
        <v>0.23532499999999998</v>
      </c>
      <c r="AG159" s="9">
        <f t="shared" si="6"/>
        <v>10.013829787234043</v>
      </c>
      <c r="AH159" s="11">
        <f t="shared" si="18"/>
        <v>1.9675</v>
      </c>
      <c r="AI159" s="11">
        <f t="shared" si="18"/>
        <v>21.564999999999998</v>
      </c>
      <c r="AJ159" s="11">
        <f t="shared" si="18"/>
        <v>214.75</v>
      </c>
      <c r="AK159" s="11">
        <f t="shared" si="18"/>
        <v>0</v>
      </c>
      <c r="AL159" s="11">
        <f t="shared" si="18"/>
        <v>0</v>
      </c>
      <c r="AM159" s="2"/>
      <c r="AN159" s="2"/>
      <c r="AO159" s="2"/>
    </row>
    <row r="160" spans="1:41" x14ac:dyDescent="0.2">
      <c r="A160" s="2" t="s">
        <v>394</v>
      </c>
      <c r="B160" s="2" t="s">
        <v>378</v>
      </c>
      <c r="C160" s="2" t="s">
        <v>54</v>
      </c>
      <c r="D160" s="2"/>
      <c r="E160" s="2" t="s">
        <v>50</v>
      </c>
      <c r="F160" s="2" t="s">
        <v>395</v>
      </c>
      <c r="G160" s="2" t="s">
        <v>396</v>
      </c>
      <c r="H160" s="2">
        <f>1.5+0.248+9.283+2.572+6.197+0.943</f>
        <v>20.742999999999999</v>
      </c>
      <c r="I160" s="9">
        <f>(0.96*1.5+0.55*0.248+0.66*9.283+0.92*2.572+0.86*6.197+0.43*0.943)/$H160</f>
        <v>0.76191148821289112</v>
      </c>
      <c r="J160" s="9">
        <f>(0.13*1.5+0.31*0.248+1.32*9.283+1.36*2.572+1.74*6.197+1.61*0.943)/$H160</f>
        <v>1.3654905269247457</v>
      </c>
      <c r="K160" s="13">
        <f>(95.9*1.5+71.2*0.248+44.1*9.283+33.4*2.572+213.6*6.197+193.1*0.943)/$H160</f>
        <v>104.25518006074338</v>
      </c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9">
        <f t="shared" si="0"/>
        <v>0.1580433</v>
      </c>
      <c r="AB160" s="9">
        <f t="shared" si="1"/>
        <v>0.28324369999999999</v>
      </c>
      <c r="AC160" s="10">
        <f t="shared" si="2"/>
        <v>2162.5652</v>
      </c>
      <c r="AD160" s="10">
        <f t="shared" si="3"/>
        <v>0</v>
      </c>
      <c r="AE160" s="9">
        <f t="shared" si="4"/>
        <v>0</v>
      </c>
      <c r="AF160" s="9">
        <f t="shared" si="5"/>
        <v>0.44128699999999998</v>
      </c>
      <c r="AG160" s="9">
        <f t="shared" si="6"/>
        <v>2.1274020151376369</v>
      </c>
      <c r="AH160" s="11">
        <f t="shared" si="18"/>
        <v>15.80433</v>
      </c>
      <c r="AI160" s="11">
        <f t="shared" si="18"/>
        <v>28.324369999999998</v>
      </c>
      <c r="AJ160" s="11">
        <f t="shared" si="18"/>
        <v>2162.5652</v>
      </c>
      <c r="AK160" s="11">
        <f t="shared" si="18"/>
        <v>0</v>
      </c>
      <c r="AL160" s="11">
        <f t="shared" si="18"/>
        <v>0</v>
      </c>
      <c r="AM160" s="2"/>
      <c r="AN160" s="2"/>
      <c r="AO160" s="2"/>
    </row>
    <row r="161" spans="1:41" x14ac:dyDescent="0.2">
      <c r="A161" s="2" t="s">
        <v>397</v>
      </c>
      <c r="B161" s="2" t="s">
        <v>378</v>
      </c>
      <c r="C161" s="2" t="s">
        <v>54</v>
      </c>
      <c r="D161" s="2"/>
      <c r="E161" s="2" t="s">
        <v>50</v>
      </c>
      <c r="F161" s="2" t="s">
        <v>70</v>
      </c>
      <c r="G161" s="2" t="s">
        <v>71</v>
      </c>
      <c r="H161" s="2">
        <f>2.1+0.7+0.5+0.2+3.1</f>
        <v>6.6</v>
      </c>
      <c r="I161" s="9">
        <f>(0.35*2.1+0.34*0.7+0.19*0.5+0.12*0.2+0.28*3.1)/$H161</f>
        <v>0.29696969696969699</v>
      </c>
      <c r="J161" s="9">
        <f>(2.85*2.1+2.55*0.7+2.16*0.5+1.47*0.2+2.53*3.1)/$H161</f>
        <v>2.5737878787878792</v>
      </c>
      <c r="K161" s="14">
        <f>(413*2.1+406*0.7+117*0.5+129*0.2+330*3.1)/$H161</f>
        <v>342.24242424242431</v>
      </c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9">
        <f t="shared" si="0"/>
        <v>1.9599999999999999E-2</v>
      </c>
      <c r="AB161" s="9">
        <f t="shared" si="1"/>
        <v>0.16987000000000002</v>
      </c>
      <c r="AC161" s="10">
        <f t="shared" si="2"/>
        <v>2258.8000000000002</v>
      </c>
      <c r="AD161" s="10">
        <f t="shared" si="3"/>
        <v>0</v>
      </c>
      <c r="AE161" s="9">
        <f t="shared" si="4"/>
        <v>0</v>
      </c>
      <c r="AF161" s="9">
        <f t="shared" si="5"/>
        <v>0.18947000000000003</v>
      </c>
      <c r="AG161" s="9">
        <f t="shared" si="6"/>
        <v>2.8707575757575761</v>
      </c>
      <c r="AH161" s="11">
        <f t="shared" si="18"/>
        <v>1.96</v>
      </c>
      <c r="AI161" s="11">
        <f t="shared" si="18"/>
        <v>16.987000000000002</v>
      </c>
      <c r="AJ161" s="11">
        <f t="shared" si="18"/>
        <v>2258.8000000000002</v>
      </c>
      <c r="AK161" s="11">
        <f t="shared" si="18"/>
        <v>0</v>
      </c>
      <c r="AL161" s="11">
        <f t="shared" si="18"/>
        <v>0</v>
      </c>
      <c r="AM161" s="2"/>
      <c r="AN161" s="2"/>
      <c r="AO161" s="2"/>
    </row>
    <row r="162" spans="1:41" x14ac:dyDescent="0.2">
      <c r="A162" s="2" t="s">
        <v>398</v>
      </c>
      <c r="B162" s="2" t="s">
        <v>399</v>
      </c>
      <c r="C162" s="2" t="s">
        <v>38</v>
      </c>
      <c r="D162" s="2" t="s">
        <v>62</v>
      </c>
      <c r="E162" s="2" t="s">
        <v>50</v>
      </c>
      <c r="F162" s="2" t="s">
        <v>400</v>
      </c>
      <c r="G162" s="2" t="s">
        <v>101</v>
      </c>
      <c r="H162" s="2">
        <v>14.4</v>
      </c>
      <c r="I162" s="2">
        <v>0.76</v>
      </c>
      <c r="J162" s="2">
        <v>1.75</v>
      </c>
      <c r="K162" s="2">
        <v>6.93</v>
      </c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9">
        <f t="shared" si="0"/>
        <v>0.10944000000000001</v>
      </c>
      <c r="AB162" s="9">
        <f t="shared" si="1"/>
        <v>0.252</v>
      </c>
      <c r="AC162" s="10">
        <f t="shared" si="2"/>
        <v>99.792000000000002</v>
      </c>
      <c r="AD162" s="10">
        <f t="shared" si="3"/>
        <v>0</v>
      </c>
      <c r="AE162" s="9">
        <f t="shared" si="4"/>
        <v>0</v>
      </c>
      <c r="AF162" s="9">
        <f t="shared" si="5"/>
        <v>0.36143999999999998</v>
      </c>
      <c r="AG162" s="9">
        <f t="shared" si="6"/>
        <v>2.5099999999999998</v>
      </c>
      <c r="AH162" s="11">
        <f t="shared" ref="AH162:AL177" si="19">$H162*I162</f>
        <v>10.944000000000001</v>
      </c>
      <c r="AI162" s="11">
        <f t="shared" si="19"/>
        <v>25.2</v>
      </c>
      <c r="AJ162" s="11">
        <f t="shared" si="19"/>
        <v>99.792000000000002</v>
      </c>
      <c r="AK162" s="11">
        <f t="shared" si="19"/>
        <v>0</v>
      </c>
      <c r="AL162" s="11">
        <f t="shared" si="19"/>
        <v>0</v>
      </c>
      <c r="AM162" s="2"/>
      <c r="AN162" s="2"/>
      <c r="AO162" s="2"/>
    </row>
    <row r="163" spans="1:41" x14ac:dyDescent="0.2">
      <c r="A163" s="2" t="s">
        <v>401</v>
      </c>
      <c r="B163" s="2" t="s">
        <v>399</v>
      </c>
      <c r="C163" s="2" t="s">
        <v>38</v>
      </c>
      <c r="D163" s="2"/>
      <c r="E163" s="2" t="s">
        <v>50</v>
      </c>
      <c r="F163" s="2" t="s">
        <v>400</v>
      </c>
      <c r="G163" s="2" t="s">
        <v>101</v>
      </c>
      <c r="H163" s="2">
        <v>10.9</v>
      </c>
      <c r="I163" s="2">
        <v>1.4</v>
      </c>
      <c r="J163" s="2">
        <v>1.8</v>
      </c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9">
        <f t="shared" si="0"/>
        <v>0.15259999999999999</v>
      </c>
      <c r="AB163" s="9">
        <f t="shared" si="1"/>
        <v>0.19620000000000001</v>
      </c>
      <c r="AC163" s="10">
        <f t="shared" si="2"/>
        <v>0</v>
      </c>
      <c r="AD163" s="10">
        <f t="shared" si="3"/>
        <v>0</v>
      </c>
      <c r="AE163" s="9">
        <f t="shared" si="4"/>
        <v>0</v>
      </c>
      <c r="AF163" s="9">
        <f t="shared" si="5"/>
        <v>0.3488</v>
      </c>
      <c r="AG163" s="9">
        <f t="shared" si="6"/>
        <v>3.2</v>
      </c>
      <c r="AH163" s="11">
        <f t="shared" si="19"/>
        <v>15.26</v>
      </c>
      <c r="AI163" s="11">
        <f t="shared" si="19"/>
        <v>19.62</v>
      </c>
      <c r="AJ163" s="11">
        <f t="shared" si="19"/>
        <v>0</v>
      </c>
      <c r="AK163" s="11">
        <f t="shared" si="19"/>
        <v>0</v>
      </c>
      <c r="AL163" s="11">
        <f t="shared" si="19"/>
        <v>0</v>
      </c>
      <c r="AM163" s="2"/>
      <c r="AN163" s="2"/>
      <c r="AO163" s="2"/>
    </row>
    <row r="164" spans="1:41" x14ac:dyDescent="0.2">
      <c r="A164" s="2" t="s">
        <v>402</v>
      </c>
      <c r="B164" s="2" t="s">
        <v>403</v>
      </c>
      <c r="C164" s="2" t="s">
        <v>48</v>
      </c>
      <c r="D164" s="2"/>
      <c r="E164" s="2" t="s">
        <v>50</v>
      </c>
      <c r="F164" s="2" t="s">
        <v>404</v>
      </c>
      <c r="G164" s="2" t="s">
        <v>405</v>
      </c>
      <c r="H164" s="2">
        <f>2.4+2.5+3.2+14.2+11.5</f>
        <v>33.799999999999997</v>
      </c>
      <c r="I164" s="9">
        <f>(2.5*2.4+1.18*2.5+1.4*3.2+1.23*14.2+1.7*11.5)/$H164</f>
        <v>1.4924852071005918</v>
      </c>
      <c r="J164" s="9">
        <f>(7.15*2.4+3.5*2.5+3.9*3.2+3.39*14.2+5*11.5)/$H164</f>
        <v>4.2611834319526629</v>
      </c>
      <c r="K164" s="14">
        <f>(73*2.4+37*2.5+39*3.2+29*14.2+40*11.5)/$H164</f>
        <v>37.405325443786985</v>
      </c>
      <c r="L164" s="9">
        <f>(0.51*2.4+1.36*2.5+0.8*3.2+0.07*14.2+0.1*11.5)/$H164</f>
        <v>0.27597633136094679</v>
      </c>
      <c r="M164" s="9">
        <f>(0.24*2.4+0.64*2.5+0.7*3.2+0.18*14.2+0.3*11.5)/$H164</f>
        <v>0.30834319526627219</v>
      </c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9">
        <f t="shared" si="0"/>
        <v>0.50446000000000002</v>
      </c>
      <c r="AB164" s="9">
        <f t="shared" si="1"/>
        <v>1.44028</v>
      </c>
      <c r="AC164" s="10">
        <f t="shared" si="2"/>
        <v>1264.3</v>
      </c>
      <c r="AD164" s="10">
        <f t="shared" si="3"/>
        <v>10.421999999999999</v>
      </c>
      <c r="AE164" s="9">
        <f t="shared" si="4"/>
        <v>9.3280000000000016E-2</v>
      </c>
      <c r="AF164" s="9">
        <f t="shared" si="5"/>
        <v>2.0380199999999999</v>
      </c>
      <c r="AG164" s="9">
        <f t="shared" si="6"/>
        <v>6.0296449704142017</v>
      </c>
      <c r="AH164" s="11">
        <f t="shared" si="19"/>
        <v>50.445999999999998</v>
      </c>
      <c r="AI164" s="11">
        <f t="shared" si="19"/>
        <v>144.02799999999999</v>
      </c>
      <c r="AJ164" s="11">
        <f t="shared" si="19"/>
        <v>1264.3</v>
      </c>
      <c r="AK164" s="11">
        <f t="shared" si="19"/>
        <v>9.3280000000000012</v>
      </c>
      <c r="AL164" s="11">
        <f t="shared" si="19"/>
        <v>10.421999999999999</v>
      </c>
      <c r="AM164" s="2"/>
      <c r="AN164" s="2"/>
      <c r="AO164" s="2"/>
    </row>
    <row r="165" spans="1:41" x14ac:dyDescent="0.2">
      <c r="A165" s="2" t="s">
        <v>406</v>
      </c>
      <c r="B165" s="2" t="s">
        <v>403</v>
      </c>
      <c r="C165" s="2" t="s">
        <v>38</v>
      </c>
      <c r="D165" s="2"/>
      <c r="E165" s="7" t="s">
        <v>40</v>
      </c>
      <c r="F165" s="2" t="s">
        <v>41</v>
      </c>
      <c r="G165" s="8" t="s">
        <v>407</v>
      </c>
      <c r="H165" s="2">
        <v>7</v>
      </c>
      <c r="I165" s="2">
        <v>4.7</v>
      </c>
      <c r="J165" s="2">
        <v>0.6</v>
      </c>
      <c r="K165" s="2">
        <v>30</v>
      </c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9">
        <f t="shared" si="0"/>
        <v>0.32899999999999996</v>
      </c>
      <c r="AB165" s="9">
        <f t="shared" si="1"/>
        <v>4.2000000000000003E-2</v>
      </c>
      <c r="AC165" s="10">
        <f t="shared" si="2"/>
        <v>210</v>
      </c>
      <c r="AD165" s="10">
        <f t="shared" si="3"/>
        <v>0</v>
      </c>
      <c r="AE165" s="9">
        <f t="shared" si="4"/>
        <v>0</v>
      </c>
      <c r="AF165" s="9">
        <f t="shared" si="5"/>
        <v>0.37099999999999994</v>
      </c>
      <c r="AG165" s="9">
        <f t="shared" si="6"/>
        <v>5.3</v>
      </c>
      <c r="AH165" s="11">
        <f t="shared" si="19"/>
        <v>32.9</v>
      </c>
      <c r="AI165" s="11">
        <f t="shared" si="19"/>
        <v>4.2</v>
      </c>
      <c r="AJ165" s="11">
        <f t="shared" si="19"/>
        <v>210</v>
      </c>
      <c r="AK165" s="11">
        <f t="shared" si="19"/>
        <v>0</v>
      </c>
      <c r="AL165" s="11">
        <f t="shared" si="19"/>
        <v>0</v>
      </c>
      <c r="AM165" s="2"/>
      <c r="AN165" s="2"/>
      <c r="AO165" s="2"/>
    </row>
    <row r="166" spans="1:41" x14ac:dyDescent="0.2">
      <c r="A166" s="2" t="s">
        <v>408</v>
      </c>
      <c r="B166" s="2" t="s">
        <v>403</v>
      </c>
      <c r="C166" s="2" t="s">
        <v>38</v>
      </c>
      <c r="D166" s="2" t="s">
        <v>62</v>
      </c>
      <c r="E166" s="7" t="s">
        <v>40</v>
      </c>
      <c r="F166" s="2" t="s">
        <v>41</v>
      </c>
      <c r="G166" s="8" t="s">
        <v>407</v>
      </c>
      <c r="H166" s="2">
        <v>1.5</v>
      </c>
      <c r="I166" s="2">
        <v>3.5</v>
      </c>
      <c r="J166" s="2">
        <v>3.5</v>
      </c>
      <c r="K166" s="2">
        <v>60</v>
      </c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9">
        <f t="shared" si="0"/>
        <v>5.2499999999999998E-2</v>
      </c>
      <c r="AB166" s="9">
        <f t="shared" si="1"/>
        <v>5.2499999999999998E-2</v>
      </c>
      <c r="AC166" s="10">
        <f t="shared" si="2"/>
        <v>90</v>
      </c>
      <c r="AD166" s="10">
        <f t="shared" si="3"/>
        <v>0</v>
      </c>
      <c r="AE166" s="9">
        <f t="shared" si="4"/>
        <v>0</v>
      </c>
      <c r="AF166" s="9">
        <f t="shared" si="5"/>
        <v>0.105</v>
      </c>
      <c r="AG166" s="9">
        <f t="shared" si="6"/>
        <v>7</v>
      </c>
      <c r="AH166" s="11">
        <f t="shared" si="19"/>
        <v>5.25</v>
      </c>
      <c r="AI166" s="11">
        <f t="shared" si="19"/>
        <v>5.25</v>
      </c>
      <c r="AJ166" s="11">
        <f t="shared" si="19"/>
        <v>90</v>
      </c>
      <c r="AK166" s="11">
        <f t="shared" si="19"/>
        <v>0</v>
      </c>
      <c r="AL166" s="11">
        <f t="shared" si="19"/>
        <v>0</v>
      </c>
      <c r="AM166" s="2"/>
      <c r="AN166" s="2"/>
      <c r="AO166" s="2"/>
    </row>
    <row r="167" spans="1:41" x14ac:dyDescent="0.2">
      <c r="A167" s="2" t="s">
        <v>409</v>
      </c>
      <c r="B167" s="2" t="s">
        <v>403</v>
      </c>
      <c r="C167" s="2" t="s">
        <v>38</v>
      </c>
      <c r="D167" s="2" t="s">
        <v>39</v>
      </c>
      <c r="E167" s="7" t="s">
        <v>40</v>
      </c>
      <c r="F167" s="2" t="s">
        <v>41</v>
      </c>
      <c r="G167" s="8" t="s">
        <v>44</v>
      </c>
      <c r="H167" s="2">
        <v>3</v>
      </c>
      <c r="I167" s="2"/>
      <c r="J167" s="2">
        <v>4.5</v>
      </c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9">
        <f t="shared" si="0"/>
        <v>0</v>
      </c>
      <c r="AB167" s="9">
        <f t="shared" si="1"/>
        <v>0.13500000000000001</v>
      </c>
      <c r="AC167" s="10">
        <f t="shared" si="2"/>
        <v>0</v>
      </c>
      <c r="AD167" s="10">
        <f t="shared" si="3"/>
        <v>0</v>
      </c>
      <c r="AE167" s="9">
        <f t="shared" si="4"/>
        <v>0</v>
      </c>
      <c r="AF167" s="9">
        <f t="shared" si="5"/>
        <v>0.13500000000000001</v>
      </c>
      <c r="AG167" s="9">
        <f t="shared" si="6"/>
        <v>4.5</v>
      </c>
      <c r="AH167" s="11">
        <f t="shared" si="19"/>
        <v>0</v>
      </c>
      <c r="AI167" s="11">
        <f t="shared" si="19"/>
        <v>13.5</v>
      </c>
      <c r="AJ167" s="11">
        <f t="shared" si="19"/>
        <v>0</v>
      </c>
      <c r="AK167" s="11">
        <f t="shared" si="19"/>
        <v>0</v>
      </c>
      <c r="AL167" s="11">
        <f t="shared" si="19"/>
        <v>0</v>
      </c>
      <c r="AM167" s="2"/>
      <c r="AN167" s="2"/>
      <c r="AO167" s="2"/>
    </row>
    <row r="168" spans="1:41" x14ac:dyDescent="0.2">
      <c r="A168" s="2" t="s">
        <v>410</v>
      </c>
      <c r="B168" s="2" t="s">
        <v>403</v>
      </c>
      <c r="C168" s="2" t="s">
        <v>38</v>
      </c>
      <c r="D168" s="2"/>
      <c r="E168" s="7" t="s">
        <v>40</v>
      </c>
      <c r="F168" s="2" t="s">
        <v>41</v>
      </c>
      <c r="G168" s="8" t="s">
        <v>407</v>
      </c>
      <c r="H168" s="2">
        <v>1.5</v>
      </c>
      <c r="I168" s="2"/>
      <c r="J168" s="2">
        <v>7.9</v>
      </c>
      <c r="K168" s="2">
        <v>120</v>
      </c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9">
        <f t="shared" si="0"/>
        <v>0</v>
      </c>
      <c r="AB168" s="9">
        <f t="shared" si="1"/>
        <v>0.11850000000000001</v>
      </c>
      <c r="AC168" s="10">
        <f t="shared" si="2"/>
        <v>180</v>
      </c>
      <c r="AD168" s="10">
        <f t="shared" si="3"/>
        <v>0</v>
      </c>
      <c r="AE168" s="9">
        <f t="shared" si="4"/>
        <v>0</v>
      </c>
      <c r="AF168" s="9">
        <f t="shared" si="5"/>
        <v>0.11850000000000001</v>
      </c>
      <c r="AG168" s="9">
        <f t="shared" si="6"/>
        <v>7.9</v>
      </c>
      <c r="AH168" s="11">
        <f t="shared" si="19"/>
        <v>0</v>
      </c>
      <c r="AI168" s="11">
        <f t="shared" si="19"/>
        <v>11.850000000000001</v>
      </c>
      <c r="AJ168" s="11">
        <f t="shared" si="19"/>
        <v>180</v>
      </c>
      <c r="AK168" s="11">
        <f t="shared" si="19"/>
        <v>0</v>
      </c>
      <c r="AL168" s="11">
        <f t="shared" si="19"/>
        <v>0</v>
      </c>
      <c r="AM168" s="2"/>
      <c r="AN168" s="2"/>
      <c r="AO168" s="2"/>
    </row>
    <row r="169" spans="1:41" x14ac:dyDescent="0.2">
      <c r="A169" s="2" t="s">
        <v>411</v>
      </c>
      <c r="B169" s="2" t="s">
        <v>403</v>
      </c>
      <c r="C169" s="2" t="s">
        <v>38</v>
      </c>
      <c r="D169" s="2" t="s">
        <v>39</v>
      </c>
      <c r="E169" s="7" t="s">
        <v>40</v>
      </c>
      <c r="F169" s="2" t="s">
        <v>41</v>
      </c>
      <c r="G169" s="8" t="s">
        <v>44</v>
      </c>
      <c r="H169" s="2">
        <v>0.1</v>
      </c>
      <c r="I169" s="2">
        <v>7.5</v>
      </c>
      <c r="J169" s="13">
        <v>4</v>
      </c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9">
        <f t="shared" si="0"/>
        <v>7.4999999999999997E-3</v>
      </c>
      <c r="AB169" s="9">
        <f t="shared" si="1"/>
        <v>4.0000000000000001E-3</v>
      </c>
      <c r="AC169" s="10">
        <f t="shared" si="2"/>
        <v>0</v>
      </c>
      <c r="AD169" s="10">
        <f t="shared" si="3"/>
        <v>0</v>
      </c>
      <c r="AE169" s="9">
        <f t="shared" si="4"/>
        <v>0</v>
      </c>
      <c r="AF169" s="9">
        <f t="shared" si="5"/>
        <v>1.15E-2</v>
      </c>
      <c r="AG169" s="9">
        <f t="shared" si="6"/>
        <v>11.5</v>
      </c>
      <c r="AH169" s="11">
        <f t="shared" si="19"/>
        <v>0.75</v>
      </c>
      <c r="AI169" s="11">
        <f t="shared" si="19"/>
        <v>0.4</v>
      </c>
      <c r="AJ169" s="11">
        <f t="shared" si="19"/>
        <v>0</v>
      </c>
      <c r="AK169" s="11">
        <f t="shared" si="19"/>
        <v>0</v>
      </c>
      <c r="AL169" s="11">
        <f t="shared" si="19"/>
        <v>0</v>
      </c>
      <c r="AM169" s="2"/>
      <c r="AN169" s="2"/>
      <c r="AO169" s="2"/>
    </row>
    <row r="170" spans="1:41" x14ac:dyDescent="0.2">
      <c r="A170" s="2" t="s">
        <v>412</v>
      </c>
      <c r="B170" s="2" t="s">
        <v>403</v>
      </c>
      <c r="C170" s="2" t="s">
        <v>38</v>
      </c>
      <c r="D170" s="2" t="s">
        <v>62</v>
      </c>
      <c r="E170" s="7" t="s">
        <v>40</v>
      </c>
      <c r="F170" s="2" t="s">
        <v>41</v>
      </c>
      <c r="G170" s="8" t="s">
        <v>413</v>
      </c>
      <c r="H170" s="2">
        <v>9.4700000000000006</v>
      </c>
      <c r="I170" s="2">
        <v>2</v>
      </c>
      <c r="J170" s="2">
        <v>6.13</v>
      </c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9">
        <f t="shared" si="0"/>
        <v>0.18940000000000001</v>
      </c>
      <c r="AB170" s="9">
        <f t="shared" si="1"/>
        <v>0.580511</v>
      </c>
      <c r="AC170" s="10">
        <f t="shared" si="2"/>
        <v>0</v>
      </c>
      <c r="AD170" s="10">
        <f t="shared" si="3"/>
        <v>0</v>
      </c>
      <c r="AE170" s="9">
        <f t="shared" si="4"/>
        <v>0</v>
      </c>
      <c r="AF170" s="9">
        <f t="shared" si="5"/>
        <v>0.76991100000000001</v>
      </c>
      <c r="AG170" s="9">
        <f t="shared" si="6"/>
        <v>8.129999999999999</v>
      </c>
      <c r="AH170" s="11">
        <f t="shared" si="19"/>
        <v>18.940000000000001</v>
      </c>
      <c r="AI170" s="11">
        <f t="shared" si="19"/>
        <v>58.051100000000005</v>
      </c>
      <c r="AJ170" s="11">
        <f t="shared" si="19"/>
        <v>0</v>
      </c>
      <c r="AK170" s="11">
        <f t="shared" si="19"/>
        <v>0</v>
      </c>
      <c r="AL170" s="11">
        <f t="shared" si="19"/>
        <v>0</v>
      </c>
      <c r="AM170" s="2"/>
      <c r="AN170" s="2"/>
      <c r="AO170" s="2"/>
    </row>
    <row r="171" spans="1:41" x14ac:dyDescent="0.2">
      <c r="A171" s="2" t="s">
        <v>414</v>
      </c>
      <c r="B171" s="2" t="s">
        <v>403</v>
      </c>
      <c r="C171" s="2" t="s">
        <v>38</v>
      </c>
      <c r="D171" s="2"/>
      <c r="E171" s="7" t="s">
        <v>40</v>
      </c>
      <c r="F171" s="2" t="s">
        <v>41</v>
      </c>
      <c r="G171" s="8" t="s">
        <v>415</v>
      </c>
      <c r="H171" s="2">
        <v>5.2</v>
      </c>
      <c r="I171" s="2">
        <v>6.3</v>
      </c>
      <c r="J171" s="2">
        <v>0.5</v>
      </c>
      <c r="K171" s="2">
        <v>33</v>
      </c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>
        <v>1E-3</v>
      </c>
      <c r="Z171" s="2" t="s">
        <v>416</v>
      </c>
      <c r="AA171" s="9">
        <f t="shared" si="0"/>
        <v>0.3276</v>
      </c>
      <c r="AB171" s="9">
        <f t="shared" si="1"/>
        <v>2.6000000000000002E-2</v>
      </c>
      <c r="AC171" s="10">
        <f t="shared" si="2"/>
        <v>171.6</v>
      </c>
      <c r="AD171" s="10">
        <f t="shared" si="3"/>
        <v>0</v>
      </c>
      <c r="AE171" s="9">
        <f t="shared" si="4"/>
        <v>0</v>
      </c>
      <c r="AF171" s="9">
        <f t="shared" si="5"/>
        <v>0.35360000000000003</v>
      </c>
      <c r="AG171" s="9">
        <f t="shared" si="6"/>
        <v>6.8</v>
      </c>
      <c r="AH171" s="11">
        <f t="shared" si="19"/>
        <v>32.76</v>
      </c>
      <c r="AI171" s="11">
        <f t="shared" si="19"/>
        <v>2.6</v>
      </c>
      <c r="AJ171" s="11">
        <f t="shared" si="19"/>
        <v>171.6</v>
      </c>
      <c r="AK171" s="11">
        <f t="shared" si="19"/>
        <v>0</v>
      </c>
      <c r="AL171" s="11">
        <f t="shared" si="19"/>
        <v>0</v>
      </c>
      <c r="AM171" s="2"/>
      <c r="AN171" s="2"/>
      <c r="AO171" s="2"/>
    </row>
    <row r="172" spans="1:41" x14ac:dyDescent="0.2">
      <c r="A172" s="2" t="s">
        <v>417</v>
      </c>
      <c r="B172" s="2" t="s">
        <v>403</v>
      </c>
      <c r="C172" s="2" t="s">
        <v>48</v>
      </c>
      <c r="D172" s="2"/>
      <c r="E172" s="2" t="s">
        <v>50</v>
      </c>
      <c r="F172" s="2" t="s">
        <v>41</v>
      </c>
      <c r="G172" s="8" t="s">
        <v>418</v>
      </c>
      <c r="H172" s="12">
        <f>1.381+1.747+0.329+1.471+1.65+0.31232</f>
        <v>6.8903200000000009</v>
      </c>
      <c r="I172" s="9">
        <f>(1.41*1.381+1.38*1.747+1.17*0.329+0.32*1.471+0.2*4.46*1.65+0.2*3*0.31232)/H172</f>
        <v>0.997473557106201</v>
      </c>
      <c r="J172" s="9">
        <f>(5.11*1.381+5.18*1.747+5.86*0.329+4.48*1.471+0.8*4.46*1.65+0.8*3*0.31232)/H172</f>
        <v>4.5369675138455099</v>
      </c>
      <c r="K172" s="13">
        <f>(33.4*1.381+31.88*1.747+22.57*0.329+28.19*1.471+16.6*1.65+0*0.31232)/H172</f>
        <v>25.848259587363138</v>
      </c>
      <c r="L172" s="9">
        <f>(1.32*1.381+1.25*1.747+0.46*0.329+1.11*1.471+0.32*1.65+0.3*0.31232)/H172</f>
        <v>0.93065576054522858</v>
      </c>
      <c r="M172" s="9">
        <f>(0*1.381+0*1.747+0*0.329+0.12*1.471+0.04*1.65+0*0.31232)/H172</f>
        <v>3.5197204193709433E-2</v>
      </c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12">
        <f>(0.012323*1.381+0.012371*1.747+0.01277*0.329+0.012433*1.471+0.00578*1.65+0*0.31232)/H172</f>
        <v>1.0254599641235821E-2</v>
      </c>
      <c r="Z172" s="2" t="s">
        <v>416</v>
      </c>
      <c r="AA172" s="9">
        <f t="shared" si="0"/>
        <v>6.8729119999999991E-2</v>
      </c>
      <c r="AB172" s="9">
        <f t="shared" si="1"/>
        <v>0.31261158</v>
      </c>
      <c r="AC172" s="10">
        <f t="shared" si="2"/>
        <v>178.10278</v>
      </c>
      <c r="AD172" s="10">
        <f t="shared" si="3"/>
        <v>0.24252000000000001</v>
      </c>
      <c r="AE172" s="9">
        <f t="shared" si="4"/>
        <v>6.412516E-2</v>
      </c>
      <c r="AF172" s="9">
        <f t="shared" si="5"/>
        <v>0.44546585999999999</v>
      </c>
      <c r="AG172" s="9">
        <f t="shared" si="6"/>
        <v>6.4650968314969397</v>
      </c>
      <c r="AH172" s="11">
        <f t="shared" si="19"/>
        <v>6.8729119999999995</v>
      </c>
      <c r="AI172" s="11">
        <f t="shared" si="19"/>
        <v>31.261157999999998</v>
      </c>
      <c r="AJ172" s="11">
        <f t="shared" si="19"/>
        <v>178.10278</v>
      </c>
      <c r="AK172" s="11">
        <f t="shared" si="19"/>
        <v>6.4125160000000001</v>
      </c>
      <c r="AL172" s="11">
        <f t="shared" si="19"/>
        <v>0.24252000000000001</v>
      </c>
      <c r="AM172" s="2"/>
      <c r="AN172" s="2"/>
      <c r="AO172" s="2"/>
    </row>
    <row r="173" spans="1:41" x14ac:dyDescent="0.2">
      <c r="A173" s="2" t="s">
        <v>419</v>
      </c>
      <c r="B173" s="2" t="s">
        <v>403</v>
      </c>
      <c r="C173" s="2" t="s">
        <v>38</v>
      </c>
      <c r="D173" s="2" t="s">
        <v>39</v>
      </c>
      <c r="E173" s="7" t="s">
        <v>40</v>
      </c>
      <c r="F173" s="2" t="s">
        <v>41</v>
      </c>
      <c r="G173" s="8" t="s">
        <v>44</v>
      </c>
      <c r="H173" s="2">
        <v>3.3</v>
      </c>
      <c r="I173" s="2">
        <v>4.13</v>
      </c>
      <c r="J173" s="2">
        <v>1.88</v>
      </c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9">
        <f t="shared" si="0"/>
        <v>0.13628999999999999</v>
      </c>
      <c r="AB173" s="9">
        <f t="shared" si="1"/>
        <v>6.2039999999999998E-2</v>
      </c>
      <c r="AC173" s="10">
        <f t="shared" si="2"/>
        <v>0</v>
      </c>
      <c r="AD173" s="10">
        <f t="shared" si="3"/>
        <v>0</v>
      </c>
      <c r="AE173" s="9">
        <f t="shared" si="4"/>
        <v>0</v>
      </c>
      <c r="AF173" s="9">
        <f t="shared" si="5"/>
        <v>0.19833000000000001</v>
      </c>
      <c r="AG173" s="9">
        <f t="shared" si="6"/>
        <v>6.01</v>
      </c>
      <c r="AH173" s="11">
        <f t="shared" si="19"/>
        <v>13.629</v>
      </c>
      <c r="AI173" s="11">
        <f t="shared" si="19"/>
        <v>6.2039999999999997</v>
      </c>
      <c r="AJ173" s="11">
        <f t="shared" si="19"/>
        <v>0</v>
      </c>
      <c r="AK173" s="11">
        <f t="shared" si="19"/>
        <v>0</v>
      </c>
      <c r="AL173" s="11">
        <f t="shared" si="19"/>
        <v>0</v>
      </c>
      <c r="AM173" s="2"/>
      <c r="AN173" s="2"/>
      <c r="AO173" s="2"/>
    </row>
    <row r="174" spans="1:41" x14ac:dyDescent="0.2">
      <c r="A174" s="2" t="s">
        <v>420</v>
      </c>
      <c r="B174" s="2" t="s">
        <v>403</v>
      </c>
      <c r="C174" s="2" t="s">
        <v>38</v>
      </c>
      <c r="D174" s="2"/>
      <c r="E174" s="7" t="s">
        <v>40</v>
      </c>
      <c r="F174" s="2" t="s">
        <v>41</v>
      </c>
      <c r="G174" s="8" t="s">
        <v>407</v>
      </c>
      <c r="H174" s="2">
        <v>46</v>
      </c>
      <c r="I174" s="2">
        <v>1.3</v>
      </c>
      <c r="J174" s="2">
        <v>0.9</v>
      </c>
      <c r="K174" s="2">
        <v>12</v>
      </c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9">
        <f t="shared" si="0"/>
        <v>0.59800000000000009</v>
      </c>
      <c r="AB174" s="9">
        <f t="shared" si="1"/>
        <v>0.41399999999999998</v>
      </c>
      <c r="AC174" s="10">
        <f t="shared" si="2"/>
        <v>552</v>
      </c>
      <c r="AD174" s="10">
        <f t="shared" si="3"/>
        <v>0</v>
      </c>
      <c r="AE174" s="9">
        <f t="shared" si="4"/>
        <v>0</v>
      </c>
      <c r="AF174" s="9">
        <f t="shared" si="5"/>
        <v>1.012</v>
      </c>
      <c r="AG174" s="9">
        <f t="shared" si="6"/>
        <v>2.2000000000000002</v>
      </c>
      <c r="AH174" s="11">
        <f t="shared" si="19"/>
        <v>59.800000000000004</v>
      </c>
      <c r="AI174" s="11">
        <f t="shared" si="19"/>
        <v>41.4</v>
      </c>
      <c r="AJ174" s="11">
        <f t="shared" si="19"/>
        <v>552</v>
      </c>
      <c r="AK174" s="11">
        <f t="shared" si="19"/>
        <v>0</v>
      </c>
      <c r="AL174" s="11">
        <f t="shared" si="19"/>
        <v>0</v>
      </c>
      <c r="AM174" s="2"/>
      <c r="AN174" s="2"/>
      <c r="AO174" s="2"/>
    </row>
    <row r="175" spans="1:41" x14ac:dyDescent="0.2">
      <c r="A175" s="2" t="s">
        <v>421</v>
      </c>
      <c r="B175" s="2" t="s">
        <v>403</v>
      </c>
      <c r="C175" s="2" t="s">
        <v>38</v>
      </c>
      <c r="D175" s="2" t="s">
        <v>39</v>
      </c>
      <c r="E175" s="7" t="s">
        <v>40</v>
      </c>
      <c r="F175" s="2" t="s">
        <v>41</v>
      </c>
      <c r="G175" s="8" t="s">
        <v>44</v>
      </c>
      <c r="H175" s="13">
        <v>7</v>
      </c>
      <c r="I175" s="2">
        <v>1.4</v>
      </c>
      <c r="J175" s="2">
        <v>7.6</v>
      </c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9">
        <f t="shared" si="0"/>
        <v>9.799999999999999E-2</v>
      </c>
      <c r="AB175" s="9">
        <f t="shared" si="1"/>
        <v>0.53199999999999992</v>
      </c>
      <c r="AC175" s="10">
        <f t="shared" si="2"/>
        <v>0</v>
      </c>
      <c r="AD175" s="10">
        <f t="shared" si="3"/>
        <v>0</v>
      </c>
      <c r="AE175" s="9">
        <f t="shared" si="4"/>
        <v>0</v>
      </c>
      <c r="AF175" s="9">
        <f t="shared" si="5"/>
        <v>0.62999999999999989</v>
      </c>
      <c r="AG175" s="9">
        <f t="shared" si="6"/>
        <v>9</v>
      </c>
      <c r="AH175" s="11">
        <f t="shared" si="19"/>
        <v>9.7999999999999989</v>
      </c>
      <c r="AI175" s="11">
        <f t="shared" si="19"/>
        <v>53.199999999999996</v>
      </c>
      <c r="AJ175" s="11">
        <f t="shared" si="19"/>
        <v>0</v>
      </c>
      <c r="AK175" s="11">
        <f t="shared" si="19"/>
        <v>0</v>
      </c>
      <c r="AL175" s="11">
        <f t="shared" si="19"/>
        <v>0</v>
      </c>
      <c r="AM175" s="2"/>
      <c r="AN175" s="2"/>
      <c r="AO175" s="2"/>
    </row>
    <row r="176" spans="1:41" x14ac:dyDescent="0.2">
      <c r="A176" s="2" t="s">
        <v>422</v>
      </c>
      <c r="B176" s="2" t="s">
        <v>403</v>
      </c>
      <c r="C176" s="2" t="s">
        <v>38</v>
      </c>
      <c r="D176" s="2"/>
      <c r="E176" s="7" t="s">
        <v>40</v>
      </c>
      <c r="F176" s="2" t="s">
        <v>41</v>
      </c>
      <c r="G176" s="8" t="s">
        <v>423</v>
      </c>
      <c r="H176" s="2">
        <v>18.8</v>
      </c>
      <c r="I176" s="2"/>
      <c r="J176" s="2">
        <v>23.7</v>
      </c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9">
        <f t="shared" si="0"/>
        <v>0</v>
      </c>
      <c r="AB176" s="9">
        <f t="shared" si="1"/>
        <v>4.4556000000000004</v>
      </c>
      <c r="AC176" s="10">
        <f t="shared" si="2"/>
        <v>0</v>
      </c>
      <c r="AD176" s="10">
        <f t="shared" si="3"/>
        <v>0</v>
      </c>
      <c r="AE176" s="9">
        <f t="shared" si="4"/>
        <v>0</v>
      </c>
      <c r="AF176" s="9">
        <f t="shared" si="5"/>
        <v>4.4556000000000004</v>
      </c>
      <c r="AG176" s="9">
        <f t="shared" si="6"/>
        <v>23.7</v>
      </c>
      <c r="AH176" s="11">
        <f t="shared" si="19"/>
        <v>0</v>
      </c>
      <c r="AI176" s="11">
        <f t="shared" si="19"/>
        <v>445.56</v>
      </c>
      <c r="AJ176" s="11">
        <f t="shared" si="19"/>
        <v>0</v>
      </c>
      <c r="AK176" s="11">
        <f t="shared" si="19"/>
        <v>0</v>
      </c>
      <c r="AL176" s="11">
        <f t="shared" si="19"/>
        <v>0</v>
      </c>
      <c r="AM176" s="2"/>
      <c r="AN176" s="2"/>
      <c r="AO176" s="2"/>
    </row>
    <row r="177" spans="1:41" x14ac:dyDescent="0.2">
      <c r="A177" s="2" t="s">
        <v>424</v>
      </c>
      <c r="B177" s="2" t="s">
        <v>425</v>
      </c>
      <c r="C177" s="2" t="s">
        <v>48</v>
      </c>
      <c r="D177" s="2"/>
      <c r="E177" s="2" t="s">
        <v>50</v>
      </c>
      <c r="F177" s="2" t="s">
        <v>63</v>
      </c>
      <c r="G177" s="2" t="s">
        <v>64</v>
      </c>
      <c r="H177" s="2">
        <f>0.96+4.8+7.2</f>
        <v>12.96</v>
      </c>
      <c r="I177" s="13">
        <f>(0*0.96+0.09*4.8+0.2*7.2)/$H177</f>
        <v>0.14444444444444443</v>
      </c>
      <c r="J177" s="13">
        <f>(15.1*0.96+10*4.8+9*7.2)/$H177</f>
        <v>9.8222222222222211</v>
      </c>
      <c r="K177" s="14">
        <f>(0*0.96+77*4.8+50*7.2)/$H177</f>
        <v>56.296296296296283</v>
      </c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9">
        <f t="shared" si="0"/>
        <v>1.8720000000000001E-2</v>
      </c>
      <c r="AB177" s="9">
        <f t="shared" si="1"/>
        <v>1.2729599999999999</v>
      </c>
      <c r="AC177" s="10">
        <f t="shared" si="2"/>
        <v>729.59999999999991</v>
      </c>
      <c r="AD177" s="10">
        <f t="shared" si="3"/>
        <v>0</v>
      </c>
      <c r="AE177" s="9">
        <f t="shared" si="4"/>
        <v>0</v>
      </c>
      <c r="AF177" s="9">
        <f t="shared" si="5"/>
        <v>1.2916799999999999</v>
      </c>
      <c r="AG177" s="9">
        <f t="shared" si="6"/>
        <v>9.966666666666665</v>
      </c>
      <c r="AH177" s="11">
        <f t="shared" si="19"/>
        <v>1.8719999999999999</v>
      </c>
      <c r="AI177" s="11">
        <f t="shared" si="19"/>
        <v>127.29599999999999</v>
      </c>
      <c r="AJ177" s="11">
        <f t="shared" si="19"/>
        <v>729.59999999999991</v>
      </c>
      <c r="AK177" s="11">
        <f t="shared" si="19"/>
        <v>0</v>
      </c>
      <c r="AL177" s="11">
        <f t="shared" si="19"/>
        <v>0</v>
      </c>
      <c r="AM177" s="2"/>
      <c r="AN177" s="2"/>
      <c r="AO177" s="2"/>
    </row>
    <row r="178" spans="1:41" x14ac:dyDescent="0.2">
      <c r="A178" s="2" t="s">
        <v>426</v>
      </c>
      <c r="B178" s="2" t="s">
        <v>427</v>
      </c>
      <c r="C178" s="2" t="s">
        <v>48</v>
      </c>
      <c r="D178" s="2"/>
      <c r="E178" s="2" t="s">
        <v>50</v>
      </c>
      <c r="F178" s="2" t="s">
        <v>428</v>
      </c>
      <c r="G178" s="2" t="s">
        <v>429</v>
      </c>
      <c r="H178" s="12">
        <f>6.264198+1.821799+2.041146</f>
        <v>10.127143</v>
      </c>
      <c r="I178" s="2"/>
      <c r="J178" s="9">
        <f>(3.09*6.264198+2.98*1.821799+2.89*2.041146)/$H178</f>
        <v>3.0299014025969613</v>
      </c>
      <c r="K178" s="13">
        <f>(43.93*6.264198+94.75*1.821799+114.32*2.041146)/$H178</f>
        <v>67.259392319235545</v>
      </c>
      <c r="L178" s="2"/>
      <c r="M178" s="2">
        <v>0.13800000000000001</v>
      </c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9">
        <f t="shared" si="0"/>
        <v>0</v>
      </c>
      <c r="AB178" s="9">
        <f t="shared" si="1"/>
        <v>0.30684244780000003</v>
      </c>
      <c r="AC178" s="10">
        <f t="shared" si="2"/>
        <v>681.14548410999998</v>
      </c>
      <c r="AD178" s="10">
        <f t="shared" si="3"/>
        <v>1.3975457340000002</v>
      </c>
      <c r="AE178" s="9">
        <f t="shared" si="4"/>
        <v>0</v>
      </c>
      <c r="AF178" s="9">
        <f t="shared" si="5"/>
        <v>0.30684244780000003</v>
      </c>
      <c r="AG178" s="9">
        <f t="shared" si="6"/>
        <v>3.0299014025969613</v>
      </c>
      <c r="AH178" s="11">
        <f t="shared" ref="AH178:AL193" si="20">$H178*I178</f>
        <v>0</v>
      </c>
      <c r="AI178" s="11">
        <f t="shared" si="20"/>
        <v>30.68424478</v>
      </c>
      <c r="AJ178" s="11">
        <f t="shared" si="20"/>
        <v>681.14548410999998</v>
      </c>
      <c r="AK178" s="11">
        <f t="shared" si="20"/>
        <v>0</v>
      </c>
      <c r="AL178" s="11">
        <f t="shared" si="20"/>
        <v>1.3975457340000002</v>
      </c>
      <c r="AM178" s="2"/>
      <c r="AN178" s="2"/>
      <c r="AO178" s="2"/>
    </row>
    <row r="179" spans="1:41" x14ac:dyDescent="0.2">
      <c r="A179" s="2" t="s">
        <v>430</v>
      </c>
      <c r="B179" s="2" t="s">
        <v>427</v>
      </c>
      <c r="C179" s="2" t="s">
        <v>38</v>
      </c>
      <c r="D179" s="2" t="s">
        <v>62</v>
      </c>
      <c r="E179" s="2" t="s">
        <v>50</v>
      </c>
      <c r="F179" s="2" t="s">
        <v>431</v>
      </c>
      <c r="G179" s="2" t="s">
        <v>432</v>
      </c>
      <c r="H179" s="2">
        <f>20.088+48.102</f>
        <v>68.19</v>
      </c>
      <c r="I179" s="9">
        <f>(1.31*20.088+0.83*48.102)/$H179</f>
        <v>0.97140255169379663</v>
      </c>
      <c r="J179" s="9">
        <f>(6.59*20.088+4.62*48.102)/$H179</f>
        <v>5.2003396392432908</v>
      </c>
      <c r="K179" s="13">
        <f>(11.2*20.088+8.1*48.102)/$H179</f>
        <v>9.0132248130224379</v>
      </c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9">
        <f t="shared" si="0"/>
        <v>0.66239939999999986</v>
      </c>
      <c r="AB179" s="9">
        <f t="shared" si="1"/>
        <v>3.5461115999999997</v>
      </c>
      <c r="AC179" s="10">
        <f t="shared" si="2"/>
        <v>614.61180000000002</v>
      </c>
      <c r="AD179" s="10">
        <f t="shared" si="3"/>
        <v>0</v>
      </c>
      <c r="AE179" s="9">
        <f t="shared" si="4"/>
        <v>0</v>
      </c>
      <c r="AF179" s="9">
        <f t="shared" si="5"/>
        <v>4.2085109999999997</v>
      </c>
      <c r="AG179" s="9">
        <f t="shared" si="6"/>
        <v>6.1717421909370875</v>
      </c>
      <c r="AH179" s="11">
        <f t="shared" si="20"/>
        <v>66.23993999999999</v>
      </c>
      <c r="AI179" s="11">
        <f t="shared" si="20"/>
        <v>354.61115999999998</v>
      </c>
      <c r="AJ179" s="11">
        <f t="shared" si="20"/>
        <v>614.61180000000002</v>
      </c>
      <c r="AK179" s="11">
        <f t="shared" si="20"/>
        <v>0</v>
      </c>
      <c r="AL179" s="11">
        <f t="shared" si="20"/>
        <v>0</v>
      </c>
      <c r="AM179" s="2"/>
      <c r="AN179" s="2"/>
      <c r="AO179" s="2"/>
    </row>
    <row r="180" spans="1:41" x14ac:dyDescent="0.2">
      <c r="A180" s="2" t="s">
        <v>433</v>
      </c>
      <c r="B180" s="2" t="s">
        <v>427</v>
      </c>
      <c r="C180" s="2" t="s">
        <v>48</v>
      </c>
      <c r="D180" s="2"/>
      <c r="E180" s="7" t="s">
        <v>40</v>
      </c>
      <c r="F180" s="2" t="s">
        <v>434</v>
      </c>
      <c r="G180" s="2" t="s">
        <v>435</v>
      </c>
      <c r="H180" s="9">
        <f>1.7*0.9072</f>
        <v>1.5422400000000001</v>
      </c>
      <c r="I180" s="2"/>
      <c r="J180" s="13">
        <v>3</v>
      </c>
      <c r="K180" s="2"/>
      <c r="L180" s="2">
        <v>1.55</v>
      </c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9">
        <f t="shared" si="0"/>
        <v>0</v>
      </c>
      <c r="AB180" s="9">
        <f t="shared" si="1"/>
        <v>4.6267200000000008E-2</v>
      </c>
      <c r="AC180" s="10">
        <f t="shared" si="2"/>
        <v>0</v>
      </c>
      <c r="AD180" s="10">
        <f t="shared" si="3"/>
        <v>0</v>
      </c>
      <c r="AE180" s="9">
        <f t="shared" si="4"/>
        <v>2.3904720000000004E-2</v>
      </c>
      <c r="AF180" s="9">
        <f t="shared" si="5"/>
        <v>7.0171920000000013E-2</v>
      </c>
      <c r="AG180" s="9">
        <f t="shared" si="6"/>
        <v>4.55</v>
      </c>
      <c r="AH180" s="11">
        <f t="shared" si="20"/>
        <v>0</v>
      </c>
      <c r="AI180" s="11">
        <f t="shared" si="20"/>
        <v>4.6267200000000006</v>
      </c>
      <c r="AJ180" s="11">
        <f t="shared" si="20"/>
        <v>0</v>
      </c>
      <c r="AK180" s="11">
        <f t="shared" si="20"/>
        <v>2.3904720000000004</v>
      </c>
      <c r="AL180" s="11">
        <f t="shared" si="20"/>
        <v>0</v>
      </c>
      <c r="AM180" s="2"/>
      <c r="AN180" s="2"/>
      <c r="AO180" s="2"/>
    </row>
    <row r="181" spans="1:41" x14ac:dyDescent="0.2">
      <c r="A181" s="2" t="s">
        <v>436</v>
      </c>
      <c r="B181" s="2" t="s">
        <v>427</v>
      </c>
      <c r="C181" s="2" t="s">
        <v>38</v>
      </c>
      <c r="D181" s="2" t="s">
        <v>437</v>
      </c>
      <c r="E181" s="7" t="s">
        <v>40</v>
      </c>
      <c r="F181" s="2" t="s">
        <v>41</v>
      </c>
      <c r="G181" s="2" t="s">
        <v>438</v>
      </c>
      <c r="H181" s="12">
        <v>7.2430999999999995E-2</v>
      </c>
      <c r="I181" s="2">
        <v>2.84</v>
      </c>
      <c r="J181" s="2">
        <v>6.03</v>
      </c>
      <c r="K181" s="2">
        <v>366.7</v>
      </c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9">
        <f t="shared" si="0"/>
        <v>2.0570403999999997E-3</v>
      </c>
      <c r="AB181" s="9">
        <f t="shared" si="1"/>
        <v>4.3675892999999995E-3</v>
      </c>
      <c r="AC181" s="10">
        <f t="shared" si="2"/>
        <v>26.560447699999997</v>
      </c>
      <c r="AD181" s="10">
        <f t="shared" si="3"/>
        <v>0</v>
      </c>
      <c r="AE181" s="9">
        <f t="shared" si="4"/>
        <v>0</v>
      </c>
      <c r="AF181" s="9">
        <f t="shared" si="5"/>
        <v>6.4246296999999992E-3</v>
      </c>
      <c r="AG181" s="9">
        <f t="shared" si="6"/>
        <v>8.870000000000001</v>
      </c>
      <c r="AH181" s="11">
        <f t="shared" si="20"/>
        <v>0.20570403999999998</v>
      </c>
      <c r="AI181" s="11">
        <f t="shared" si="20"/>
        <v>0.43675892999999999</v>
      </c>
      <c r="AJ181" s="11">
        <f t="shared" si="20"/>
        <v>26.560447699999997</v>
      </c>
      <c r="AK181" s="11">
        <f t="shared" si="20"/>
        <v>0</v>
      </c>
      <c r="AL181" s="11">
        <f t="shared" si="20"/>
        <v>0</v>
      </c>
      <c r="AM181" s="2"/>
      <c r="AN181" s="2"/>
      <c r="AO181" s="2"/>
    </row>
    <row r="182" spans="1:41" x14ac:dyDescent="0.2">
      <c r="A182" s="2" t="s">
        <v>439</v>
      </c>
      <c r="B182" s="2" t="s">
        <v>427</v>
      </c>
      <c r="C182" s="2" t="s">
        <v>440</v>
      </c>
      <c r="D182" s="2"/>
      <c r="E182" s="2" t="s">
        <v>50</v>
      </c>
      <c r="F182" s="2" t="s">
        <v>441</v>
      </c>
      <c r="G182" s="2" t="s">
        <v>106</v>
      </c>
      <c r="H182" s="2">
        <v>7.7619999999999996</v>
      </c>
      <c r="I182" s="2">
        <v>1.4</v>
      </c>
      <c r="J182" s="2">
        <v>5.8</v>
      </c>
      <c r="K182" s="2">
        <v>9.49</v>
      </c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>
        <v>14.86</v>
      </c>
      <c r="Z182" s="2" t="s">
        <v>442</v>
      </c>
      <c r="AA182" s="9">
        <f t="shared" si="0"/>
        <v>0.108668</v>
      </c>
      <c r="AB182" s="9">
        <f t="shared" si="1"/>
        <v>0.45019599999999999</v>
      </c>
      <c r="AC182" s="10">
        <f t="shared" si="2"/>
        <v>73.661379999999994</v>
      </c>
      <c r="AD182" s="10">
        <f t="shared" si="3"/>
        <v>0</v>
      </c>
      <c r="AE182" s="9">
        <f t="shared" si="4"/>
        <v>0</v>
      </c>
      <c r="AF182" s="9">
        <f t="shared" si="5"/>
        <v>0.55886400000000003</v>
      </c>
      <c r="AG182" s="9">
        <f t="shared" si="6"/>
        <v>7.1999999999999993</v>
      </c>
      <c r="AH182" s="11">
        <f t="shared" si="20"/>
        <v>10.8668</v>
      </c>
      <c r="AI182" s="11">
        <f t="shared" si="20"/>
        <v>45.019599999999997</v>
      </c>
      <c r="AJ182" s="11">
        <f t="shared" si="20"/>
        <v>73.661379999999994</v>
      </c>
      <c r="AK182" s="11">
        <f t="shared" si="20"/>
        <v>0</v>
      </c>
      <c r="AL182" s="11">
        <f t="shared" si="20"/>
        <v>0</v>
      </c>
      <c r="AM182" s="2"/>
      <c r="AN182" s="2"/>
      <c r="AO182" s="2"/>
    </row>
    <row r="183" spans="1:41" x14ac:dyDescent="0.2">
      <c r="A183" s="2" t="s">
        <v>443</v>
      </c>
      <c r="B183" s="2" t="s">
        <v>427</v>
      </c>
      <c r="C183" s="2" t="s">
        <v>187</v>
      </c>
      <c r="D183" s="2"/>
      <c r="E183" s="7" t="s">
        <v>40</v>
      </c>
      <c r="F183" s="2" t="s">
        <v>41</v>
      </c>
      <c r="G183" s="2" t="s">
        <v>438</v>
      </c>
      <c r="H183" s="12">
        <v>0.113638</v>
      </c>
      <c r="I183" s="2">
        <v>5</v>
      </c>
      <c r="J183" s="13"/>
      <c r="K183" s="2">
        <v>600</v>
      </c>
      <c r="L183" s="9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9">
        <f t="shared" si="0"/>
        <v>5.6819000000000001E-3</v>
      </c>
      <c r="AB183" s="9">
        <f t="shared" si="1"/>
        <v>0</v>
      </c>
      <c r="AC183" s="10">
        <f t="shared" si="2"/>
        <v>68.1828</v>
      </c>
      <c r="AD183" s="10">
        <f t="shared" si="3"/>
        <v>0</v>
      </c>
      <c r="AE183" s="9">
        <f t="shared" si="4"/>
        <v>0</v>
      </c>
      <c r="AF183" s="9">
        <f t="shared" si="5"/>
        <v>5.6819000000000001E-3</v>
      </c>
      <c r="AG183" s="9">
        <f t="shared" si="6"/>
        <v>5</v>
      </c>
      <c r="AH183" s="11">
        <f t="shared" si="20"/>
        <v>0.56818999999999997</v>
      </c>
      <c r="AI183" s="11">
        <f t="shared" si="20"/>
        <v>0</v>
      </c>
      <c r="AJ183" s="11">
        <f t="shared" si="20"/>
        <v>68.1828</v>
      </c>
      <c r="AK183" s="11">
        <f t="shared" si="20"/>
        <v>0</v>
      </c>
      <c r="AL183" s="11">
        <f t="shared" si="20"/>
        <v>0</v>
      </c>
      <c r="AM183" s="2"/>
      <c r="AN183" s="2"/>
      <c r="AO183" s="2"/>
    </row>
    <row r="184" spans="1:41" x14ac:dyDescent="0.2">
      <c r="A184" s="2" t="s">
        <v>444</v>
      </c>
      <c r="B184" s="2" t="s">
        <v>427</v>
      </c>
      <c r="C184" s="2" t="s">
        <v>48</v>
      </c>
      <c r="D184" s="2"/>
      <c r="E184" s="2" t="s">
        <v>50</v>
      </c>
      <c r="F184" s="2" t="s">
        <v>434</v>
      </c>
      <c r="G184" s="2" t="s">
        <v>405</v>
      </c>
      <c r="H184" s="12">
        <f>0.152826+0.123096</f>
        <v>0.275922</v>
      </c>
      <c r="I184" s="2"/>
      <c r="J184" s="9">
        <f>(5.26*0.152826+3.3*0.123096)/$H184</f>
        <v>4.3855928849457451</v>
      </c>
      <c r="K184" s="13">
        <f>(52.54*0.152826+42.5*0.123096)/$H184</f>
        <v>48.060894165742489</v>
      </c>
      <c r="L184" s="9">
        <f>(1.05*0.152826+0.65*0.123096)/$H184</f>
        <v>0.87154956835627462</v>
      </c>
      <c r="M184" s="9">
        <f>(1.39*0.152826+1.2*0.123096)/$H184</f>
        <v>1.3052360449692302</v>
      </c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9">
        <f t="shared" si="0"/>
        <v>0</v>
      </c>
      <c r="AB184" s="9">
        <f t="shared" si="1"/>
        <v>1.2100815599999998E-2</v>
      </c>
      <c r="AC184" s="10">
        <f t="shared" si="2"/>
        <v>13.26105804</v>
      </c>
      <c r="AD184" s="10">
        <f t="shared" si="3"/>
        <v>0.36014333999999992</v>
      </c>
      <c r="AE184" s="9">
        <f t="shared" si="4"/>
        <v>2.4047970000000002E-3</v>
      </c>
      <c r="AF184" s="9">
        <f t="shared" si="5"/>
        <v>1.4505612599999999E-2</v>
      </c>
      <c r="AG184" s="9">
        <f t="shared" si="6"/>
        <v>5.2571424533020199</v>
      </c>
      <c r="AH184" s="11">
        <f t="shared" si="20"/>
        <v>0</v>
      </c>
      <c r="AI184" s="11">
        <f t="shared" si="20"/>
        <v>1.2100815599999999</v>
      </c>
      <c r="AJ184" s="11">
        <f t="shared" si="20"/>
        <v>13.26105804</v>
      </c>
      <c r="AK184" s="11">
        <f t="shared" si="20"/>
        <v>0.24047970000000002</v>
      </c>
      <c r="AL184" s="11">
        <f t="shared" si="20"/>
        <v>0.36014333999999992</v>
      </c>
      <c r="AM184" s="2"/>
      <c r="AN184" s="2"/>
      <c r="AO184" s="2"/>
    </row>
    <row r="185" spans="1:41" x14ac:dyDescent="0.2">
      <c r="A185" s="2" t="s">
        <v>445</v>
      </c>
      <c r="B185" s="2" t="s">
        <v>427</v>
      </c>
      <c r="C185" s="2" t="s">
        <v>48</v>
      </c>
      <c r="D185" s="2"/>
      <c r="E185" s="7" t="s">
        <v>40</v>
      </c>
      <c r="F185" s="2" t="s">
        <v>446</v>
      </c>
      <c r="G185" s="8" t="s">
        <v>447</v>
      </c>
      <c r="H185" s="12">
        <v>1.13625</v>
      </c>
      <c r="I185" s="2">
        <v>2.2000000000000002</v>
      </c>
      <c r="J185" s="2">
        <v>5.0999999999999996</v>
      </c>
      <c r="K185" s="2">
        <v>336</v>
      </c>
      <c r="L185" s="2"/>
      <c r="M185" s="2">
        <v>0.6</v>
      </c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9">
        <f t="shared" si="0"/>
        <v>2.4997500000000002E-2</v>
      </c>
      <c r="AB185" s="9">
        <f t="shared" si="1"/>
        <v>5.7948749999999993E-2</v>
      </c>
      <c r="AC185" s="10">
        <f t="shared" si="2"/>
        <v>381.78</v>
      </c>
      <c r="AD185" s="10">
        <f t="shared" si="3"/>
        <v>0.68174999999999997</v>
      </c>
      <c r="AE185" s="9">
        <f t="shared" si="4"/>
        <v>0</v>
      </c>
      <c r="AF185" s="9">
        <f t="shared" si="5"/>
        <v>8.2946249999999999E-2</v>
      </c>
      <c r="AG185" s="9">
        <f t="shared" si="6"/>
        <v>7.3</v>
      </c>
      <c r="AH185" s="11">
        <f t="shared" si="20"/>
        <v>2.4997500000000001</v>
      </c>
      <c r="AI185" s="11">
        <f t="shared" si="20"/>
        <v>5.7948749999999993</v>
      </c>
      <c r="AJ185" s="11">
        <f t="shared" si="20"/>
        <v>381.78</v>
      </c>
      <c r="AK185" s="11">
        <f t="shared" si="20"/>
        <v>0</v>
      </c>
      <c r="AL185" s="11">
        <f t="shared" si="20"/>
        <v>0.68174999999999997</v>
      </c>
      <c r="AM185" s="2"/>
      <c r="AN185" s="2"/>
      <c r="AO185" s="2"/>
    </row>
    <row r="186" spans="1:41" x14ac:dyDescent="0.2">
      <c r="A186" s="2" t="s">
        <v>448</v>
      </c>
      <c r="B186" s="2" t="s">
        <v>427</v>
      </c>
      <c r="C186" s="2" t="s">
        <v>38</v>
      </c>
      <c r="D186" s="2" t="s">
        <v>39</v>
      </c>
      <c r="E186" s="7" t="s">
        <v>40</v>
      </c>
      <c r="F186" s="2" t="s">
        <v>41</v>
      </c>
      <c r="G186" s="8" t="s">
        <v>447</v>
      </c>
      <c r="H186" s="2">
        <v>9.07</v>
      </c>
      <c r="I186" s="2">
        <v>2.6</v>
      </c>
      <c r="J186" s="2">
        <v>5.4</v>
      </c>
      <c r="K186" s="2">
        <v>17.100000000000001</v>
      </c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9">
        <f t="shared" si="0"/>
        <v>0.23582</v>
      </c>
      <c r="AB186" s="9">
        <f t="shared" si="1"/>
        <v>0.48977999999999999</v>
      </c>
      <c r="AC186" s="10">
        <f t="shared" si="2"/>
        <v>155.09700000000001</v>
      </c>
      <c r="AD186" s="10">
        <f t="shared" si="3"/>
        <v>0</v>
      </c>
      <c r="AE186" s="9">
        <f t="shared" si="4"/>
        <v>0</v>
      </c>
      <c r="AF186" s="9">
        <f t="shared" si="5"/>
        <v>0.72560000000000002</v>
      </c>
      <c r="AG186" s="9">
        <f t="shared" si="6"/>
        <v>8</v>
      </c>
      <c r="AH186" s="11">
        <f t="shared" si="20"/>
        <v>23.582000000000001</v>
      </c>
      <c r="AI186" s="11">
        <f t="shared" si="20"/>
        <v>48.978000000000002</v>
      </c>
      <c r="AJ186" s="11">
        <f t="shared" si="20"/>
        <v>155.09700000000001</v>
      </c>
      <c r="AK186" s="11">
        <f t="shared" si="20"/>
        <v>0</v>
      </c>
      <c r="AL186" s="11">
        <f t="shared" si="20"/>
        <v>0</v>
      </c>
      <c r="AM186" s="2"/>
      <c r="AN186" s="2"/>
      <c r="AO186" s="2"/>
    </row>
    <row r="187" spans="1:41" x14ac:dyDescent="0.2">
      <c r="A187" s="2" t="s">
        <v>449</v>
      </c>
      <c r="B187" s="2" t="s">
        <v>427</v>
      </c>
      <c r="C187" s="2" t="s">
        <v>48</v>
      </c>
      <c r="D187" s="2"/>
      <c r="E187" s="2" t="s">
        <v>50</v>
      </c>
      <c r="F187" s="2" t="s">
        <v>434</v>
      </c>
      <c r="G187" s="2" t="s">
        <v>405</v>
      </c>
      <c r="H187" s="12">
        <v>6.6625000000000004E-2</v>
      </c>
      <c r="I187" s="2"/>
      <c r="J187" s="2">
        <v>5.71</v>
      </c>
      <c r="K187" s="2">
        <v>19.22</v>
      </c>
      <c r="L187" s="2">
        <v>0.18</v>
      </c>
      <c r="M187" s="2">
        <v>1.05</v>
      </c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9">
        <f t="shared" si="0"/>
        <v>0</v>
      </c>
      <c r="AB187" s="9">
        <f t="shared" si="1"/>
        <v>3.8042875000000006E-3</v>
      </c>
      <c r="AC187" s="10">
        <f t="shared" si="2"/>
        <v>1.2805325000000001</v>
      </c>
      <c r="AD187" s="10">
        <f t="shared" si="3"/>
        <v>6.9956250000000011E-2</v>
      </c>
      <c r="AE187" s="9">
        <f t="shared" si="4"/>
        <v>1.19925E-4</v>
      </c>
      <c r="AF187" s="9">
        <f t="shared" si="5"/>
        <v>3.9242125000000004E-3</v>
      </c>
      <c r="AG187" s="9">
        <f t="shared" si="6"/>
        <v>5.89</v>
      </c>
      <c r="AH187" s="11">
        <f t="shared" si="20"/>
        <v>0</v>
      </c>
      <c r="AI187" s="11">
        <f t="shared" si="20"/>
        <v>0.38042875000000004</v>
      </c>
      <c r="AJ187" s="11">
        <f t="shared" si="20"/>
        <v>1.2805325000000001</v>
      </c>
      <c r="AK187" s="11">
        <f t="shared" si="20"/>
        <v>1.19925E-2</v>
      </c>
      <c r="AL187" s="11">
        <f t="shared" si="20"/>
        <v>6.9956250000000011E-2</v>
      </c>
      <c r="AM187" s="2"/>
      <c r="AN187" s="2"/>
      <c r="AO187" s="2"/>
    </row>
    <row r="188" spans="1:41" x14ac:dyDescent="0.2">
      <c r="A188" s="2" t="s">
        <v>450</v>
      </c>
      <c r="B188" s="2" t="s">
        <v>427</v>
      </c>
      <c r="C188" s="2" t="s">
        <v>38</v>
      </c>
      <c r="D188" s="2" t="s">
        <v>451</v>
      </c>
      <c r="E188" s="7" t="s">
        <v>40</v>
      </c>
      <c r="F188" s="2" t="s">
        <v>41</v>
      </c>
      <c r="G188" s="2" t="s">
        <v>438</v>
      </c>
      <c r="H188" s="2">
        <v>5</v>
      </c>
      <c r="I188" s="2">
        <v>2.2999999999999998</v>
      </c>
      <c r="J188" s="2">
        <v>0.6</v>
      </c>
      <c r="K188" s="2">
        <v>7</v>
      </c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9">
        <f t="shared" si="0"/>
        <v>0.115</v>
      </c>
      <c r="AB188" s="9">
        <f t="shared" si="1"/>
        <v>0.03</v>
      </c>
      <c r="AC188" s="10">
        <f t="shared" si="2"/>
        <v>35</v>
      </c>
      <c r="AD188" s="10">
        <f t="shared" si="3"/>
        <v>0</v>
      </c>
      <c r="AE188" s="9">
        <f t="shared" si="4"/>
        <v>0</v>
      </c>
      <c r="AF188" s="9">
        <f t="shared" si="5"/>
        <v>0.14500000000000002</v>
      </c>
      <c r="AG188" s="9">
        <f t="shared" si="6"/>
        <v>2.9</v>
      </c>
      <c r="AH188" s="11">
        <f t="shared" si="20"/>
        <v>11.5</v>
      </c>
      <c r="AI188" s="11">
        <f t="shared" si="20"/>
        <v>3</v>
      </c>
      <c r="AJ188" s="11">
        <f t="shared" si="20"/>
        <v>35</v>
      </c>
      <c r="AK188" s="11">
        <f t="shared" si="20"/>
        <v>0</v>
      </c>
      <c r="AL188" s="11">
        <f t="shared" si="20"/>
        <v>0</v>
      </c>
      <c r="AM188" s="2"/>
      <c r="AN188" s="2"/>
      <c r="AO188" s="2"/>
    </row>
    <row r="189" spans="1:41" x14ac:dyDescent="0.2">
      <c r="A189" s="2" t="s">
        <v>452</v>
      </c>
      <c r="B189" s="2" t="s">
        <v>427</v>
      </c>
      <c r="C189" s="2" t="s">
        <v>48</v>
      </c>
      <c r="D189" s="2"/>
      <c r="E189" s="7" t="s">
        <v>40</v>
      </c>
      <c r="F189" s="2" t="s">
        <v>453</v>
      </c>
      <c r="G189" s="2" t="s">
        <v>454</v>
      </c>
      <c r="H189" s="12">
        <v>1.3889149999999999</v>
      </c>
      <c r="I189" s="2"/>
      <c r="J189" s="2">
        <v>3.17</v>
      </c>
      <c r="K189" s="2"/>
      <c r="L189" s="2"/>
      <c r="M189" s="2">
        <v>1.77</v>
      </c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9">
        <f t="shared" si="0"/>
        <v>0</v>
      </c>
      <c r="AB189" s="9">
        <f t="shared" si="1"/>
        <v>4.4028605499999998E-2</v>
      </c>
      <c r="AC189" s="10">
        <f t="shared" si="2"/>
        <v>0</v>
      </c>
      <c r="AD189" s="10">
        <f t="shared" si="3"/>
        <v>2.4583795499999996</v>
      </c>
      <c r="AE189" s="9">
        <f t="shared" si="4"/>
        <v>0</v>
      </c>
      <c r="AF189" s="9">
        <f t="shared" si="5"/>
        <v>4.4028605499999998E-2</v>
      </c>
      <c r="AG189" s="9">
        <f t="shared" si="6"/>
        <v>3.17</v>
      </c>
      <c r="AH189" s="11">
        <f t="shared" si="20"/>
        <v>0</v>
      </c>
      <c r="AI189" s="11">
        <f t="shared" si="20"/>
        <v>4.4028605499999998</v>
      </c>
      <c r="AJ189" s="11">
        <f t="shared" si="20"/>
        <v>0</v>
      </c>
      <c r="AK189" s="11">
        <f t="shared" si="20"/>
        <v>0</v>
      </c>
      <c r="AL189" s="11">
        <f t="shared" si="20"/>
        <v>2.4583795499999996</v>
      </c>
      <c r="AM189" s="2"/>
      <c r="AN189" s="2"/>
      <c r="AO189" s="2"/>
    </row>
    <row r="190" spans="1:41" x14ac:dyDescent="0.2">
      <c r="A190" s="2" t="s">
        <v>455</v>
      </c>
      <c r="B190" s="2" t="s">
        <v>427</v>
      </c>
      <c r="C190" s="2" t="s">
        <v>48</v>
      </c>
      <c r="D190" s="2"/>
      <c r="E190" s="7" t="s">
        <v>40</v>
      </c>
      <c r="F190" s="2" t="s">
        <v>453</v>
      </c>
      <c r="G190" s="2" t="s">
        <v>454</v>
      </c>
      <c r="H190" s="12">
        <v>0.25963700000000001</v>
      </c>
      <c r="I190" s="2"/>
      <c r="J190" s="2">
        <v>3.05</v>
      </c>
      <c r="K190" s="2"/>
      <c r="L190" s="2"/>
      <c r="M190" s="2">
        <v>0.57999999999999996</v>
      </c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9">
        <f t="shared" si="0"/>
        <v>0</v>
      </c>
      <c r="AB190" s="9">
        <f t="shared" si="1"/>
        <v>7.9189285000000002E-3</v>
      </c>
      <c r="AC190" s="10">
        <f t="shared" si="2"/>
        <v>0</v>
      </c>
      <c r="AD190" s="10">
        <f t="shared" si="3"/>
        <v>0.15058945999999998</v>
      </c>
      <c r="AE190" s="9">
        <f t="shared" si="4"/>
        <v>0</v>
      </c>
      <c r="AF190" s="9">
        <f t="shared" si="5"/>
        <v>7.9189285000000002E-3</v>
      </c>
      <c r="AG190" s="9">
        <f t="shared" si="6"/>
        <v>3.05</v>
      </c>
      <c r="AH190" s="11">
        <f t="shared" si="20"/>
        <v>0</v>
      </c>
      <c r="AI190" s="11">
        <f t="shared" si="20"/>
        <v>0.79189284999999998</v>
      </c>
      <c r="AJ190" s="11">
        <f t="shared" si="20"/>
        <v>0</v>
      </c>
      <c r="AK190" s="11">
        <f t="shared" si="20"/>
        <v>0</v>
      </c>
      <c r="AL190" s="11">
        <f t="shared" si="20"/>
        <v>0.15058945999999998</v>
      </c>
      <c r="AM190" s="2"/>
      <c r="AN190" s="2"/>
      <c r="AO190" s="2"/>
    </row>
    <row r="191" spans="1:41" x14ac:dyDescent="0.2">
      <c r="A191" s="2" t="s">
        <v>456</v>
      </c>
      <c r="B191" s="2" t="s">
        <v>427</v>
      </c>
      <c r="C191" s="2" t="s">
        <v>38</v>
      </c>
      <c r="D191" s="2" t="s">
        <v>361</v>
      </c>
      <c r="E191" s="7" t="s">
        <v>40</v>
      </c>
      <c r="F191" s="2" t="s">
        <v>41</v>
      </c>
      <c r="G191" s="2" t="s">
        <v>438</v>
      </c>
      <c r="H191" s="12">
        <v>2.7212999999999998</v>
      </c>
      <c r="I191" s="2">
        <v>3.66</v>
      </c>
      <c r="J191" s="2"/>
      <c r="K191" s="2">
        <v>36.299999999999997</v>
      </c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9">
        <f t="shared" si="0"/>
        <v>9.9599580000000007E-2</v>
      </c>
      <c r="AB191" s="9">
        <f t="shared" si="1"/>
        <v>0</v>
      </c>
      <c r="AC191" s="10">
        <f t="shared" si="2"/>
        <v>98.783189999999991</v>
      </c>
      <c r="AD191" s="10">
        <f t="shared" si="3"/>
        <v>0</v>
      </c>
      <c r="AE191" s="9">
        <f t="shared" si="4"/>
        <v>0</v>
      </c>
      <c r="AF191" s="9">
        <f t="shared" si="5"/>
        <v>9.9599580000000007E-2</v>
      </c>
      <c r="AG191" s="9">
        <f t="shared" si="6"/>
        <v>3.66</v>
      </c>
      <c r="AH191" s="11">
        <f t="shared" si="20"/>
        <v>9.9599580000000003</v>
      </c>
      <c r="AI191" s="11">
        <f t="shared" si="20"/>
        <v>0</v>
      </c>
      <c r="AJ191" s="11">
        <f t="shared" si="20"/>
        <v>98.783189999999991</v>
      </c>
      <c r="AK191" s="11">
        <f t="shared" si="20"/>
        <v>0</v>
      </c>
      <c r="AL191" s="11">
        <f t="shared" si="20"/>
        <v>0</v>
      </c>
      <c r="AM191" s="2"/>
      <c r="AN191" s="2"/>
      <c r="AO191" s="2"/>
    </row>
    <row r="192" spans="1:41" x14ac:dyDescent="0.2">
      <c r="A192" s="2" t="s">
        <v>457</v>
      </c>
      <c r="B192" s="2" t="s">
        <v>427</v>
      </c>
      <c r="C192" s="2" t="s">
        <v>48</v>
      </c>
      <c r="D192" s="2"/>
      <c r="E192" s="2" t="s">
        <v>50</v>
      </c>
      <c r="F192" s="2" t="s">
        <v>458</v>
      </c>
      <c r="G192" s="2" t="s">
        <v>459</v>
      </c>
      <c r="H192" s="2">
        <f>0.231+0.728</f>
        <v>0.95899999999999996</v>
      </c>
      <c r="I192" s="9">
        <f>(1.2*0.231+2.42*0.728)/$H192</f>
        <v>2.1261313868613136</v>
      </c>
      <c r="J192" s="9">
        <f>(3.22*0.231+5.61*0.728)/$H192</f>
        <v>5.0343065693430669</v>
      </c>
      <c r="K192" s="14">
        <f>(152*0.231+185*0.728)/$H192</f>
        <v>177.05109489051097</v>
      </c>
      <c r="L192" s="9">
        <f>(0.38*0.231+0.34*0.728)/$H192</f>
        <v>0.34963503649635042</v>
      </c>
      <c r="M192" s="13">
        <f>(2.9*0.231+3.9*0.728)/$H192</f>
        <v>3.6591240875912412</v>
      </c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9">
        <f t="shared" si="0"/>
        <v>2.0389599999999997E-2</v>
      </c>
      <c r="AB192" s="9">
        <f t="shared" si="1"/>
        <v>4.8279000000000002E-2</v>
      </c>
      <c r="AC192" s="10">
        <f t="shared" si="2"/>
        <v>169.792</v>
      </c>
      <c r="AD192" s="10">
        <f t="shared" si="3"/>
        <v>3.5091000000000001</v>
      </c>
      <c r="AE192" s="9">
        <f t="shared" si="4"/>
        <v>3.3530000000000005E-3</v>
      </c>
      <c r="AF192" s="9">
        <f t="shared" si="5"/>
        <v>7.2021599999999991E-2</v>
      </c>
      <c r="AG192" s="9">
        <f t="shared" si="6"/>
        <v>7.5100729927007306</v>
      </c>
      <c r="AH192" s="11">
        <f t="shared" si="20"/>
        <v>2.0389599999999999</v>
      </c>
      <c r="AI192" s="11">
        <f t="shared" si="20"/>
        <v>4.8279000000000005</v>
      </c>
      <c r="AJ192" s="11">
        <f t="shared" si="20"/>
        <v>169.792</v>
      </c>
      <c r="AK192" s="11">
        <f t="shared" si="20"/>
        <v>0.33530000000000004</v>
      </c>
      <c r="AL192" s="11">
        <f t="shared" si="20"/>
        <v>3.5091000000000001</v>
      </c>
      <c r="AM192" s="2"/>
      <c r="AN192" s="2"/>
      <c r="AO192" s="2"/>
    </row>
    <row r="193" spans="1:41" x14ac:dyDescent="0.2">
      <c r="A193" s="2" t="s">
        <v>460</v>
      </c>
      <c r="B193" s="2" t="s">
        <v>427</v>
      </c>
      <c r="C193" s="2" t="s">
        <v>38</v>
      </c>
      <c r="D193" s="2" t="s">
        <v>62</v>
      </c>
      <c r="E193" s="7" t="s">
        <v>40</v>
      </c>
      <c r="F193" s="2" t="s">
        <v>41</v>
      </c>
      <c r="G193" s="8" t="s">
        <v>461</v>
      </c>
      <c r="H193" s="2">
        <v>6.5</v>
      </c>
      <c r="I193" s="2"/>
      <c r="J193" s="2">
        <v>4</v>
      </c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9">
        <f t="shared" si="0"/>
        <v>0</v>
      </c>
      <c r="AB193" s="9">
        <f t="shared" si="1"/>
        <v>0.26</v>
      </c>
      <c r="AC193" s="10">
        <f t="shared" si="2"/>
        <v>0</v>
      </c>
      <c r="AD193" s="10">
        <f t="shared" si="3"/>
        <v>0</v>
      </c>
      <c r="AE193" s="9">
        <f t="shared" si="4"/>
        <v>0</v>
      </c>
      <c r="AF193" s="9">
        <f t="shared" si="5"/>
        <v>0.26</v>
      </c>
      <c r="AG193" s="9">
        <f t="shared" si="6"/>
        <v>4</v>
      </c>
      <c r="AH193" s="11">
        <f t="shared" si="20"/>
        <v>0</v>
      </c>
      <c r="AI193" s="11">
        <f t="shared" si="20"/>
        <v>26</v>
      </c>
      <c r="AJ193" s="11">
        <f t="shared" si="20"/>
        <v>0</v>
      </c>
      <c r="AK193" s="11">
        <f t="shared" si="20"/>
        <v>0</v>
      </c>
      <c r="AL193" s="11">
        <f t="shared" si="20"/>
        <v>0</v>
      </c>
      <c r="AM193" s="2"/>
      <c r="AN193" s="2"/>
      <c r="AO193" s="2"/>
    </row>
    <row r="194" spans="1:41" x14ac:dyDescent="0.2">
      <c r="A194" s="2" t="s">
        <v>462</v>
      </c>
      <c r="B194" s="2" t="s">
        <v>427</v>
      </c>
      <c r="C194" s="2" t="s">
        <v>38</v>
      </c>
      <c r="D194" s="2" t="s">
        <v>39</v>
      </c>
      <c r="E194" s="7" t="s">
        <v>40</v>
      </c>
      <c r="F194" s="2" t="s">
        <v>463</v>
      </c>
      <c r="G194" s="2" t="s">
        <v>384</v>
      </c>
      <c r="H194" s="12">
        <f>0.04874*0.9072</f>
        <v>4.4216927999999996E-2</v>
      </c>
      <c r="I194" s="2">
        <v>7.94</v>
      </c>
      <c r="J194" s="2">
        <v>6.74</v>
      </c>
      <c r="K194" s="2">
        <v>161.1</v>
      </c>
      <c r="L194" s="2"/>
      <c r="M194" s="13">
        <f>0.13*31.1/0.9072</f>
        <v>4.4565696649029984</v>
      </c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9">
        <f t="shared" si="0"/>
        <v>3.5108240831999999E-3</v>
      </c>
      <c r="AB194" s="9">
        <f t="shared" si="1"/>
        <v>2.9802209471999994E-3</v>
      </c>
      <c r="AC194" s="10">
        <f t="shared" si="2"/>
        <v>7.1233471007999993</v>
      </c>
      <c r="AD194" s="10">
        <f t="shared" si="3"/>
        <v>0.19705581999999999</v>
      </c>
      <c r="AE194" s="9">
        <f t="shared" si="4"/>
        <v>0</v>
      </c>
      <c r="AF194" s="9">
        <f t="shared" si="5"/>
        <v>6.4910450303999993E-3</v>
      </c>
      <c r="AG194" s="9">
        <f t="shared" si="6"/>
        <v>14.68</v>
      </c>
      <c r="AH194" s="11">
        <f t="shared" ref="AH194:AL209" si="21">$H194*I194</f>
        <v>0.35108240831999998</v>
      </c>
      <c r="AI194" s="11">
        <f t="shared" si="21"/>
        <v>0.29802209471999996</v>
      </c>
      <c r="AJ194" s="11">
        <f t="shared" si="21"/>
        <v>7.1233471007999993</v>
      </c>
      <c r="AK194" s="11">
        <f t="shared" si="21"/>
        <v>0</v>
      </c>
      <c r="AL194" s="11">
        <f t="shared" si="21"/>
        <v>0.19705581999999999</v>
      </c>
      <c r="AM194" s="2"/>
      <c r="AN194" s="2"/>
      <c r="AO194" s="2"/>
    </row>
    <row r="195" spans="1:41" x14ac:dyDescent="0.2">
      <c r="A195" s="2" t="s">
        <v>464</v>
      </c>
      <c r="B195" s="2" t="s">
        <v>427</v>
      </c>
      <c r="C195" s="2" t="s">
        <v>38</v>
      </c>
      <c r="D195" s="2" t="s">
        <v>39</v>
      </c>
      <c r="E195" s="2" t="s">
        <v>50</v>
      </c>
      <c r="F195" s="2" t="s">
        <v>465</v>
      </c>
      <c r="G195" s="2" t="s">
        <v>466</v>
      </c>
      <c r="H195" s="2">
        <v>19.600000000000001</v>
      </c>
      <c r="I195" s="9">
        <v>2.8</v>
      </c>
      <c r="J195" s="2">
        <v>3.04</v>
      </c>
      <c r="K195" s="13">
        <v>56</v>
      </c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9">
        <f t="shared" si="0"/>
        <v>0.54880000000000007</v>
      </c>
      <c r="AB195" s="9">
        <f t="shared" si="1"/>
        <v>0.59584000000000004</v>
      </c>
      <c r="AC195" s="10">
        <f t="shared" si="2"/>
        <v>1097.6000000000001</v>
      </c>
      <c r="AD195" s="10">
        <f t="shared" si="3"/>
        <v>0</v>
      </c>
      <c r="AE195" s="9">
        <f t="shared" si="4"/>
        <v>0</v>
      </c>
      <c r="AF195" s="9">
        <f t="shared" si="5"/>
        <v>1.1446400000000001</v>
      </c>
      <c r="AG195" s="9">
        <f t="shared" si="6"/>
        <v>5.84</v>
      </c>
      <c r="AH195" s="11">
        <f t="shared" si="21"/>
        <v>54.88</v>
      </c>
      <c r="AI195" s="11">
        <f t="shared" si="21"/>
        <v>59.584000000000003</v>
      </c>
      <c r="AJ195" s="11">
        <f t="shared" si="21"/>
        <v>1097.6000000000001</v>
      </c>
      <c r="AK195" s="11">
        <f t="shared" si="21"/>
        <v>0</v>
      </c>
      <c r="AL195" s="11">
        <f t="shared" si="21"/>
        <v>0</v>
      </c>
      <c r="AM195" s="2"/>
      <c r="AN195" s="2"/>
      <c r="AO195" s="2"/>
    </row>
    <row r="196" spans="1:41" x14ac:dyDescent="0.2">
      <c r="A196" s="2" t="s">
        <v>467</v>
      </c>
      <c r="B196" s="2" t="s">
        <v>427</v>
      </c>
      <c r="C196" s="2" t="s">
        <v>48</v>
      </c>
      <c r="D196" s="2"/>
      <c r="E196" s="2" t="s">
        <v>50</v>
      </c>
      <c r="F196" s="2" t="s">
        <v>468</v>
      </c>
      <c r="G196" s="2" t="s">
        <v>469</v>
      </c>
      <c r="H196" s="2">
        <f>1.095+1.177</f>
        <v>2.2720000000000002</v>
      </c>
      <c r="I196" s="9">
        <f>(0.44*1.095+0.27*1.177)/H196</f>
        <v>0.3519322183098591</v>
      </c>
      <c r="J196" s="9">
        <f>(4.61*1.095+3.75*1.177)/H196</f>
        <v>4.1644806338028166</v>
      </c>
      <c r="K196" s="13">
        <f>(16.56*1.095+10.95*1.177)/H196</f>
        <v>13.653763204225349</v>
      </c>
      <c r="L196" s="9">
        <f>(0.86*1.095+0.95*1.177)/H196</f>
        <v>0.9066241197183097</v>
      </c>
      <c r="M196" s="9">
        <f>(0.2*1.095+0.06*1.177)/H196</f>
        <v>0.12747359154929574</v>
      </c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9">
        <f t="shared" si="0"/>
        <v>7.9958999999999985E-3</v>
      </c>
      <c r="AB196" s="9">
        <f t="shared" si="1"/>
        <v>9.4617000000000007E-2</v>
      </c>
      <c r="AC196" s="10">
        <f t="shared" si="2"/>
        <v>31.021349999999998</v>
      </c>
      <c r="AD196" s="10">
        <f t="shared" si="3"/>
        <v>0.28961999999999999</v>
      </c>
      <c r="AE196" s="9">
        <f t="shared" si="4"/>
        <v>2.0598499999999999E-2</v>
      </c>
      <c r="AF196" s="9">
        <f t="shared" si="5"/>
        <v>0.1232114</v>
      </c>
      <c r="AG196" s="9">
        <f t="shared" si="6"/>
        <v>5.4230369718309852</v>
      </c>
      <c r="AH196" s="11">
        <f t="shared" si="21"/>
        <v>0.79958999999999991</v>
      </c>
      <c r="AI196" s="11">
        <f t="shared" si="21"/>
        <v>9.4617000000000004</v>
      </c>
      <c r="AJ196" s="11">
        <f t="shared" si="21"/>
        <v>31.021349999999998</v>
      </c>
      <c r="AK196" s="11">
        <f t="shared" si="21"/>
        <v>2.05985</v>
      </c>
      <c r="AL196" s="11">
        <f t="shared" si="21"/>
        <v>0.28961999999999999</v>
      </c>
      <c r="AM196" s="2"/>
      <c r="AN196" s="2"/>
      <c r="AO196" s="2"/>
    </row>
    <row r="197" spans="1:41" x14ac:dyDescent="0.2">
      <c r="A197" s="2" t="s">
        <v>470</v>
      </c>
      <c r="B197" s="2" t="s">
        <v>427</v>
      </c>
      <c r="C197" s="2" t="s">
        <v>48</v>
      </c>
      <c r="D197" s="2"/>
      <c r="E197" s="2" t="s">
        <v>50</v>
      </c>
      <c r="F197" s="2" t="s">
        <v>471</v>
      </c>
      <c r="G197" s="2" t="s">
        <v>466</v>
      </c>
      <c r="H197" s="12">
        <f>0.2782+1.3688+0.4302</f>
        <v>2.0771999999999999</v>
      </c>
      <c r="I197" s="9">
        <f>(2.88*0.2782+3*1.3688+2.7*0.4302)/$H197</f>
        <v>2.9217966493356444</v>
      </c>
      <c r="J197" s="9">
        <f>(6.71*0.2782+7.07*1.3688+6.1*0.4302)/$H197</f>
        <v>6.8208925476603124</v>
      </c>
      <c r="K197" s="13">
        <f>(96.51*0.2782+110.22*1.3688+89*0.4302)/$H197</f>
        <v>103.98903235124206</v>
      </c>
      <c r="L197" s="9">
        <f>(0.44*0.2782+0.51*1.3688+0.4*0.4302)/$H197</f>
        <v>0.47784325052955906</v>
      </c>
      <c r="M197" s="9">
        <f>(1.29*0.2782+1.66*1.3688+0.6*0.4302)/$H197</f>
        <v>1.3909137300211822</v>
      </c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9">
        <f t="shared" si="0"/>
        <v>6.0691560000000006E-2</v>
      </c>
      <c r="AB197" s="9">
        <f t="shared" si="1"/>
        <v>0.14168358</v>
      </c>
      <c r="AC197" s="10">
        <f t="shared" si="2"/>
        <v>216.00601800000001</v>
      </c>
      <c r="AD197" s="10">
        <f t="shared" si="3"/>
        <v>2.8892059999999997</v>
      </c>
      <c r="AE197" s="9">
        <f t="shared" si="4"/>
        <v>9.9257600000000005E-3</v>
      </c>
      <c r="AF197" s="9">
        <f t="shared" si="5"/>
        <v>0.21230090000000001</v>
      </c>
      <c r="AG197" s="9">
        <f t="shared" si="6"/>
        <v>10.220532447525517</v>
      </c>
      <c r="AH197" s="11">
        <f t="shared" si="21"/>
        <v>6.0691560000000004</v>
      </c>
      <c r="AI197" s="11">
        <f t="shared" si="21"/>
        <v>14.168358000000001</v>
      </c>
      <c r="AJ197" s="11">
        <f t="shared" si="21"/>
        <v>216.00601800000001</v>
      </c>
      <c r="AK197" s="11">
        <f t="shared" si="21"/>
        <v>0.99257600000000001</v>
      </c>
      <c r="AL197" s="11">
        <f t="shared" si="21"/>
        <v>2.8892059999999997</v>
      </c>
      <c r="AM197" s="2"/>
      <c r="AN197" s="2"/>
      <c r="AO197" s="2"/>
    </row>
    <row r="198" spans="1:41" x14ac:dyDescent="0.2">
      <c r="A198" s="2" t="s">
        <v>472</v>
      </c>
      <c r="B198" s="2" t="s">
        <v>427</v>
      </c>
      <c r="C198" s="2" t="s">
        <v>48</v>
      </c>
      <c r="D198" s="2" t="s">
        <v>48</v>
      </c>
      <c r="E198" s="7" t="s">
        <v>40</v>
      </c>
      <c r="F198" s="2" t="s">
        <v>41</v>
      </c>
      <c r="G198" s="2" t="s">
        <v>438</v>
      </c>
      <c r="H198" s="12">
        <f>0.148+0.148</f>
        <v>0.29599999999999999</v>
      </c>
      <c r="I198" s="9">
        <f>(0.53*0.148+1*0.148)/$H198</f>
        <v>0.7649999999999999</v>
      </c>
      <c r="J198" s="9">
        <f>(2.43*0.148+2.72*0.148)/$H198</f>
        <v>2.5750000000000002</v>
      </c>
      <c r="K198" s="13">
        <f>(49.7*0.148+54.9*0.148)/$H198</f>
        <v>52.3</v>
      </c>
      <c r="L198" s="9">
        <f>(0.19*0.148+0.2*0.148)/$H198</f>
        <v>0.19500000000000001</v>
      </c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9">
        <f t="shared" si="0"/>
        <v>2.2643999999999993E-3</v>
      </c>
      <c r="AB198" s="9">
        <f t="shared" si="1"/>
        <v>7.6220000000000003E-3</v>
      </c>
      <c r="AC198" s="10">
        <f t="shared" si="2"/>
        <v>15.480799999999999</v>
      </c>
      <c r="AD198" s="10">
        <f t="shared" si="3"/>
        <v>0</v>
      </c>
      <c r="AE198" s="9">
        <f t="shared" si="4"/>
        <v>5.7720000000000004E-4</v>
      </c>
      <c r="AF198" s="9">
        <f t="shared" si="5"/>
        <v>1.04636E-2</v>
      </c>
      <c r="AG198" s="9">
        <f t="shared" si="6"/>
        <v>3.5349999999999997</v>
      </c>
      <c r="AH198" s="11">
        <f t="shared" si="21"/>
        <v>0.22643999999999995</v>
      </c>
      <c r="AI198" s="11">
        <f t="shared" si="21"/>
        <v>0.76219999999999999</v>
      </c>
      <c r="AJ198" s="11">
        <f t="shared" si="21"/>
        <v>15.480799999999999</v>
      </c>
      <c r="AK198" s="11">
        <f t="shared" si="21"/>
        <v>5.772E-2</v>
      </c>
      <c r="AL198" s="11">
        <f t="shared" si="21"/>
        <v>0</v>
      </c>
      <c r="AM198" s="2"/>
      <c r="AN198" s="2"/>
      <c r="AO198" s="2"/>
    </row>
    <row r="199" spans="1:41" x14ac:dyDescent="0.2">
      <c r="A199" s="2" t="s">
        <v>473</v>
      </c>
      <c r="B199" s="2" t="s">
        <v>427</v>
      </c>
      <c r="C199" s="2" t="s">
        <v>48</v>
      </c>
      <c r="D199" s="2"/>
      <c r="E199" s="2" t="s">
        <v>50</v>
      </c>
      <c r="F199" s="2" t="s">
        <v>474</v>
      </c>
      <c r="G199" s="2" t="s">
        <v>469</v>
      </c>
      <c r="H199" s="2">
        <f>1.475+2.975</f>
        <v>4.45</v>
      </c>
      <c r="I199" s="9">
        <f>(0.23*1.475+0.13*2.975)/$H199</f>
        <v>0.16314606741573034</v>
      </c>
      <c r="J199" s="9">
        <f>(9.18*1.475+5.55*2.975)/$H199</f>
        <v>6.7532022471910107</v>
      </c>
      <c r="K199" s="13">
        <f>(32.6*1.475+13.9*2.975)/$H199</f>
        <v>20.098314606741571</v>
      </c>
      <c r="L199" s="9">
        <f>(0.79*1.475+0.55*2.975)/$H199</f>
        <v>0.62955056179775282</v>
      </c>
      <c r="M199" s="9">
        <f>(0.15*1.475+0.1*2.975)/$H199</f>
        <v>0.11657303370786518</v>
      </c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9">
        <f t="shared" si="0"/>
        <v>7.2600000000000008E-3</v>
      </c>
      <c r="AB199" s="9">
        <f t="shared" si="1"/>
        <v>0.30051749999999999</v>
      </c>
      <c r="AC199" s="10">
        <f t="shared" si="2"/>
        <v>89.4375</v>
      </c>
      <c r="AD199" s="10">
        <f t="shared" si="3"/>
        <v>0.51875000000000004</v>
      </c>
      <c r="AE199" s="9">
        <f t="shared" si="4"/>
        <v>2.8015000000000002E-2</v>
      </c>
      <c r="AF199" s="9">
        <f t="shared" si="5"/>
        <v>0.33579249999999999</v>
      </c>
      <c r="AG199" s="9">
        <f t="shared" si="6"/>
        <v>7.5458988764044932</v>
      </c>
      <c r="AH199" s="11">
        <f t="shared" si="21"/>
        <v>0.72600000000000009</v>
      </c>
      <c r="AI199" s="11">
        <f t="shared" si="21"/>
        <v>30.051749999999998</v>
      </c>
      <c r="AJ199" s="11">
        <f t="shared" si="21"/>
        <v>89.4375</v>
      </c>
      <c r="AK199" s="11">
        <f t="shared" si="21"/>
        <v>2.8015000000000003</v>
      </c>
      <c r="AL199" s="11">
        <f t="shared" si="21"/>
        <v>0.51875000000000004</v>
      </c>
      <c r="AM199" s="2"/>
      <c r="AN199" s="2"/>
      <c r="AO199" s="2"/>
    </row>
    <row r="200" spans="1:41" x14ac:dyDescent="0.2">
      <c r="A200" s="2" t="s">
        <v>475</v>
      </c>
      <c r="B200" s="2" t="s">
        <v>427</v>
      </c>
      <c r="C200" s="2" t="s">
        <v>48</v>
      </c>
      <c r="D200" s="2"/>
      <c r="E200" s="2" t="s">
        <v>50</v>
      </c>
      <c r="F200" s="2" t="s">
        <v>63</v>
      </c>
      <c r="G200" s="2" t="s">
        <v>64</v>
      </c>
      <c r="H200" s="2">
        <f>2.18+1.1+2.6</f>
        <v>5.8800000000000008</v>
      </c>
      <c r="I200" s="2"/>
      <c r="J200" s="9">
        <f>(8.9*2.18+8.5*1.1+9*2.6)/$H200</f>
        <v>8.8693877551020393</v>
      </c>
      <c r="K200" s="13">
        <f>(33.9*2.18+21*1.1+40*2.6)/$H200</f>
        <v>34.184013605442175</v>
      </c>
      <c r="L200" s="9">
        <f>(1.53*2.18+1.1*1.1+1*2.6)/$H200</f>
        <v>1.215204081632653</v>
      </c>
      <c r="M200" s="13">
        <f>(0.46*2.18+0.5*1.1+1*2.6)/$H200</f>
        <v>0.70625850340136043</v>
      </c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9">
        <f t="shared" si="0"/>
        <v>0</v>
      </c>
      <c r="AB200" s="9">
        <f t="shared" si="1"/>
        <v>0.52151999999999998</v>
      </c>
      <c r="AC200" s="10">
        <f t="shared" si="2"/>
        <v>201.00200000000001</v>
      </c>
      <c r="AD200" s="10">
        <f t="shared" si="3"/>
        <v>4.1528</v>
      </c>
      <c r="AE200" s="9">
        <f t="shared" si="4"/>
        <v>7.1454000000000004E-2</v>
      </c>
      <c r="AF200" s="9">
        <f t="shared" si="5"/>
        <v>0.592974</v>
      </c>
      <c r="AG200" s="9">
        <f t="shared" si="6"/>
        <v>10.084591836734692</v>
      </c>
      <c r="AH200" s="11">
        <f t="shared" si="21"/>
        <v>0</v>
      </c>
      <c r="AI200" s="11">
        <f t="shared" si="21"/>
        <v>52.152000000000001</v>
      </c>
      <c r="AJ200" s="11">
        <f t="shared" si="21"/>
        <v>201.00200000000001</v>
      </c>
      <c r="AK200" s="11">
        <f t="shared" si="21"/>
        <v>7.1454000000000004</v>
      </c>
      <c r="AL200" s="11">
        <f t="shared" si="21"/>
        <v>4.1528</v>
      </c>
      <c r="AM200" s="2"/>
      <c r="AN200" s="2"/>
      <c r="AO200" s="2"/>
    </row>
    <row r="201" spans="1:41" x14ac:dyDescent="0.2">
      <c r="A201" s="2" t="s">
        <v>476</v>
      </c>
      <c r="B201" s="2" t="s">
        <v>427</v>
      </c>
      <c r="C201" s="2" t="s">
        <v>48</v>
      </c>
      <c r="D201" s="2"/>
      <c r="E201" s="7" t="s">
        <v>40</v>
      </c>
      <c r="F201" s="2" t="s">
        <v>41</v>
      </c>
      <c r="G201" s="2" t="s">
        <v>438</v>
      </c>
      <c r="H201" s="12">
        <f>0.146224+0.101413+0.05506+0.1348+0.059071</f>
        <v>0.49656800000000001</v>
      </c>
      <c r="I201" s="9">
        <f>(0.19*0.146224+0.19*0.101413+0.27*0.05506+5*0.1348+2*0.059071)/$H201</f>
        <v>1.7199240184627282</v>
      </c>
      <c r="J201" s="9">
        <f>(0.43*0.146224+0.43*0.101413+0.45*0.05506+0*0.1348+0*0.059071)/$H201</f>
        <v>0.26433622384044081</v>
      </c>
      <c r="K201" s="13">
        <f>(414.7*0.146224+414.7*0.101413+397.6*0.05506+85.7*0.1348+26.73*0.059071)/$H201</f>
        <v>277.34015830661662</v>
      </c>
      <c r="L201" s="9">
        <f>(0*0.146224+0*0.101413+0*0.05506+0.65*0.1348+0*0.059071)/$H201</f>
        <v>0.17645116076750819</v>
      </c>
      <c r="M201" s="9">
        <f>(0.27*0.146224+0.27*0.101413+0.68*0.05506+1.03*0.1348+9.08*0.059071)/$H201</f>
        <v>1.5697980337033399</v>
      </c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9">
        <f t="shared" si="0"/>
        <v>8.5405923000000002E-3</v>
      </c>
      <c r="AB201" s="9">
        <f t="shared" si="1"/>
        <v>1.3126091E-3</v>
      </c>
      <c r="AC201" s="10">
        <f t="shared" si="2"/>
        <v>137.71824773</v>
      </c>
      <c r="AD201" s="10">
        <f t="shared" si="3"/>
        <v>0.7795114700000001</v>
      </c>
      <c r="AE201" s="9">
        <f t="shared" si="4"/>
        <v>8.7620000000000005E-4</v>
      </c>
      <c r="AF201" s="9">
        <f t="shared" si="5"/>
        <v>1.0729401400000001E-2</v>
      </c>
      <c r="AG201" s="9">
        <f t="shared" si="6"/>
        <v>2.1607114030706773</v>
      </c>
      <c r="AH201" s="11">
        <f t="shared" si="21"/>
        <v>0.85405923000000006</v>
      </c>
      <c r="AI201" s="11">
        <f t="shared" si="21"/>
        <v>0.13126091000000001</v>
      </c>
      <c r="AJ201" s="11">
        <f t="shared" si="21"/>
        <v>137.71824773</v>
      </c>
      <c r="AK201" s="11">
        <f t="shared" si="21"/>
        <v>8.7620000000000003E-2</v>
      </c>
      <c r="AL201" s="11">
        <f t="shared" si="21"/>
        <v>0.7795114700000001</v>
      </c>
      <c r="AM201" s="2"/>
      <c r="AN201" s="2"/>
      <c r="AO201" s="2"/>
    </row>
    <row r="202" spans="1:41" x14ac:dyDescent="0.2">
      <c r="A202" s="2" t="s">
        <v>477</v>
      </c>
      <c r="B202" s="2" t="s">
        <v>427</v>
      </c>
      <c r="C202" s="2" t="s">
        <v>478</v>
      </c>
      <c r="D202" s="2"/>
      <c r="E202" s="2" t="s">
        <v>50</v>
      </c>
      <c r="F202" s="2" t="s">
        <v>479</v>
      </c>
      <c r="G202" s="2" t="s">
        <v>480</v>
      </c>
      <c r="H202" s="10">
        <f>6.609+65.329+3516.944+923.168+369.002+127.696</f>
        <v>5008.7480000000005</v>
      </c>
      <c r="I202" s="2"/>
      <c r="J202" s="12">
        <f>(0.01436*6.609+0.02736*65.329+0.01407*3516.944+0.028*923.168+0.01532*369.002+0.02758*127.696)/$H202</f>
        <v>1.7247699241407233E-2</v>
      </c>
      <c r="K202" s="2"/>
      <c r="L202" s="12">
        <f>(0.00313*6.609+0.00744*65.329+0.00308*3516.944+0.0076*923.168+0.00339*369.002+0.00857*127.696)/$H202</f>
        <v>4.132823162594724E-3</v>
      </c>
      <c r="M202" s="2"/>
      <c r="N202" s="2"/>
      <c r="O202" s="12">
        <f>(0.00473*6.609+0.01429*65.329+0.00477*3516.944+0.01424*923.168+0.00503*369.002+0.01321*127.696)/$H202</f>
        <v>6.8738717539792377E-3</v>
      </c>
      <c r="P202" s="12">
        <f>(0.00143*6.609+0.00234*65.329+0.00136*3516.944+0.0022*923.168+0.00133*369.002+0.00207*127.696)/$H202</f>
        <v>1.5435868504464591E-3</v>
      </c>
      <c r="Q202" s="2"/>
      <c r="R202" s="2"/>
      <c r="S202" s="18">
        <f>(95.95/(95.95+3*16))*((3.7*6.609+100.4*65.329+2.9*3516.944+99.4*923.168+2.6*369.002+93.3*127.696)/10000)/$H202</f>
        <v>1.615811332451756E-3</v>
      </c>
      <c r="T202" s="2"/>
      <c r="U202" s="2"/>
      <c r="V202" s="18">
        <f>((5.2*6.609+29.1*65.329+5.2*3516.944+31.9*923.168+5.1*369.002+31.1*127.696)/10000)/$H202</f>
        <v>1.1085777224168593E-3</v>
      </c>
      <c r="W202" s="2"/>
      <c r="X202" s="12">
        <f>(2*50.9415/(2*50.9415+5*16))*((452.7*6.609+1315.5*65.329+445.8*3516.944+1218.3*923.168+494*369.002+1375.6*127.696)/10000)/$H202</f>
        <v>3.5109999546085881E-2</v>
      </c>
      <c r="Y202" s="12">
        <f>(((45.5+82.2+9.7+36.8+7.1+1.5+5.7+0.9+5.2+1.1+3.1+0.5+3.2+0.5+34.2)*6.609+(57.7+89.4+11.9+45.8+9.2+2+8.7+1.3+7.8+1.6+4.3+0.6+4.1+0.6+54.9)*65.329+(44.3+79.1+9.6+36+6.9+1.4+5.6+0.9+5+1+3+0.5+3.1+0.5+32)*3516.944+(65.1+102.8+14.1+56.1+11.7+2.5+10.9+1.7+9.4+1.8+5.1+0.7+4.7+0.7+72.6)*923.168+(43.7+78.6+9.7+35.9+6.9+1.5+5.7+0.9+5.4+1.1+3.2+0.5+3.2+0.7+33.2)*369.002+(55.2+90+12.7+49.4+10.1+2.2+9.6+1.5+8.6+1.6+4.6+0.7+4.3+0.6+57)*127.696)/10000)/$H202</f>
        <v>2.5609670614293232E-2</v>
      </c>
      <c r="Z202" s="2" t="s">
        <v>481</v>
      </c>
      <c r="AA202" s="9">
        <f t="shared" si="0"/>
        <v>0</v>
      </c>
      <c r="AB202" s="9">
        <f t="shared" si="1"/>
        <v>0.86389379079999995</v>
      </c>
      <c r="AC202" s="10">
        <f t="shared" si="2"/>
        <v>0</v>
      </c>
      <c r="AD202" s="10">
        <f t="shared" si="3"/>
        <v>0</v>
      </c>
      <c r="AE202" s="9">
        <f t="shared" si="4"/>
        <v>0.2070026975</v>
      </c>
      <c r="AF202" s="9">
        <f t="shared" si="5"/>
        <v>1.0708964882999998</v>
      </c>
      <c r="AG202" s="9">
        <f t="shared" si="6"/>
        <v>2.1380522404001956E-2</v>
      </c>
      <c r="AH202" s="11">
        <f t="shared" si="21"/>
        <v>0</v>
      </c>
      <c r="AI202" s="11">
        <f t="shared" si="21"/>
        <v>86.389379079999998</v>
      </c>
      <c r="AJ202" s="11">
        <f t="shared" si="21"/>
        <v>0</v>
      </c>
      <c r="AK202" s="11">
        <f t="shared" si="21"/>
        <v>20.70026975</v>
      </c>
      <c r="AL202" s="11">
        <f t="shared" si="21"/>
        <v>0</v>
      </c>
      <c r="AM202" s="2"/>
      <c r="AN202" s="2"/>
      <c r="AO202" s="2"/>
    </row>
    <row r="203" spans="1:41" x14ac:dyDescent="0.2">
      <c r="A203" s="2" t="s">
        <v>482</v>
      </c>
      <c r="B203" s="2" t="s">
        <v>427</v>
      </c>
      <c r="C203" s="2" t="s">
        <v>38</v>
      </c>
      <c r="D203" s="2"/>
      <c r="E203" s="7" t="s">
        <v>40</v>
      </c>
      <c r="F203" s="2" t="s">
        <v>41</v>
      </c>
      <c r="G203" s="8" t="s">
        <v>483</v>
      </c>
      <c r="H203" s="2">
        <v>1.25</v>
      </c>
      <c r="I203" s="2">
        <v>0.7</v>
      </c>
      <c r="J203" s="2">
        <v>9.4</v>
      </c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9">
        <f t="shared" si="0"/>
        <v>8.7500000000000008E-3</v>
      </c>
      <c r="AB203" s="9">
        <f t="shared" si="1"/>
        <v>0.11749999999999999</v>
      </c>
      <c r="AC203" s="10">
        <f t="shared" si="2"/>
        <v>0</v>
      </c>
      <c r="AD203" s="10">
        <f t="shared" si="3"/>
        <v>0</v>
      </c>
      <c r="AE203" s="9">
        <f t="shared" si="4"/>
        <v>0</v>
      </c>
      <c r="AF203" s="9">
        <f t="shared" si="5"/>
        <v>0.12625</v>
      </c>
      <c r="AG203" s="9">
        <f t="shared" si="6"/>
        <v>10.1</v>
      </c>
      <c r="AH203" s="11">
        <f t="shared" si="21"/>
        <v>0.875</v>
      </c>
      <c r="AI203" s="11">
        <f t="shared" si="21"/>
        <v>11.75</v>
      </c>
      <c r="AJ203" s="11">
        <f t="shared" si="21"/>
        <v>0</v>
      </c>
      <c r="AK203" s="11">
        <f t="shared" si="21"/>
        <v>0</v>
      </c>
      <c r="AL203" s="11">
        <f t="shared" si="21"/>
        <v>0</v>
      </c>
      <c r="AM203" s="2"/>
      <c r="AN203" s="2"/>
      <c r="AO203" s="2"/>
    </row>
    <row r="204" spans="1:41" x14ac:dyDescent="0.2">
      <c r="A204" s="2" t="s">
        <v>484</v>
      </c>
      <c r="B204" s="2" t="s">
        <v>427</v>
      </c>
      <c r="C204" s="2" t="s">
        <v>157</v>
      </c>
      <c r="D204" s="2"/>
      <c r="E204" s="7" t="s">
        <v>40</v>
      </c>
      <c r="F204" s="2" t="s">
        <v>41</v>
      </c>
      <c r="G204" s="2" t="s">
        <v>485</v>
      </c>
      <c r="H204" s="2">
        <v>6.8000000000000005E-2</v>
      </c>
      <c r="I204" s="2">
        <v>0.6</v>
      </c>
      <c r="J204" s="2">
        <v>7.45</v>
      </c>
      <c r="K204" s="2">
        <v>704.2</v>
      </c>
      <c r="L204" s="2">
        <v>6.1</v>
      </c>
      <c r="M204" s="2">
        <v>0.34</v>
      </c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9">
        <f t="shared" si="0"/>
        <v>4.0800000000000005E-4</v>
      </c>
      <c r="AB204" s="9">
        <f t="shared" si="1"/>
        <v>5.0660000000000002E-3</v>
      </c>
      <c r="AC204" s="10">
        <f t="shared" si="2"/>
        <v>47.885600000000004</v>
      </c>
      <c r="AD204" s="10">
        <f t="shared" si="3"/>
        <v>2.3120000000000002E-2</v>
      </c>
      <c r="AE204" s="9">
        <f t="shared" si="4"/>
        <v>4.1479999999999998E-3</v>
      </c>
      <c r="AF204" s="9">
        <f t="shared" si="5"/>
        <v>9.6220000000000003E-3</v>
      </c>
      <c r="AG204" s="9">
        <f t="shared" si="6"/>
        <v>14.15</v>
      </c>
      <c r="AH204" s="11">
        <f t="shared" si="21"/>
        <v>4.0800000000000003E-2</v>
      </c>
      <c r="AI204" s="11">
        <f t="shared" si="21"/>
        <v>0.50660000000000005</v>
      </c>
      <c r="AJ204" s="11">
        <f t="shared" si="21"/>
        <v>47.885600000000004</v>
      </c>
      <c r="AK204" s="11">
        <f t="shared" si="21"/>
        <v>0.4148</v>
      </c>
      <c r="AL204" s="11">
        <f t="shared" si="21"/>
        <v>2.3120000000000002E-2</v>
      </c>
      <c r="AM204" s="2"/>
      <c r="AN204" s="2"/>
      <c r="AO204" s="2"/>
    </row>
    <row r="205" spans="1:41" x14ac:dyDescent="0.2">
      <c r="A205" s="2" t="s">
        <v>486</v>
      </c>
      <c r="B205" s="2" t="s">
        <v>427</v>
      </c>
      <c r="C205" s="2" t="s">
        <v>48</v>
      </c>
      <c r="D205" s="2"/>
      <c r="E205" s="2" t="s">
        <v>50</v>
      </c>
      <c r="F205" s="2" t="s">
        <v>487</v>
      </c>
      <c r="G205" s="2" t="s">
        <v>291</v>
      </c>
      <c r="H205" s="2">
        <f>5.61+1.62+3.66</f>
        <v>10.89</v>
      </c>
      <c r="I205" s="9">
        <f>(2.93*5.61+2.94*1.62+2.81*3.66)/$H205</f>
        <v>2.8911570247933884</v>
      </c>
      <c r="J205" s="9">
        <f>(6.91*5.61+7.28*1.62+6.95*3.66)/$H205</f>
        <v>6.9784848484848476</v>
      </c>
      <c r="K205" s="13">
        <f>(84.64*5.61+83.68*1.62+78.31*3.66)/$H205</f>
        <v>82.369752066115709</v>
      </c>
      <c r="L205" s="9">
        <f>(0.46*5.61+0.34*1.62+0.32*3.66)/$H205</f>
        <v>0.39509641873278245</v>
      </c>
      <c r="M205" s="9">
        <f>(0.84*5.61+1.06*1.62+1.23*3.66)/$H205</f>
        <v>1.003801652892562</v>
      </c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9">
        <f t="shared" si="0"/>
        <v>0.31484699999999999</v>
      </c>
      <c r="AB205" s="9">
        <f t="shared" si="1"/>
        <v>0.75995699999999999</v>
      </c>
      <c r="AC205" s="10">
        <f t="shared" si="2"/>
        <v>897.00660000000016</v>
      </c>
      <c r="AD205" s="10">
        <f t="shared" si="3"/>
        <v>10.9314</v>
      </c>
      <c r="AE205" s="9">
        <f t="shared" si="4"/>
        <v>4.3026000000000009E-2</v>
      </c>
      <c r="AF205" s="9">
        <f t="shared" si="5"/>
        <v>1.1178299999999999</v>
      </c>
      <c r="AG205" s="9">
        <f t="shared" si="6"/>
        <v>10.264738292011019</v>
      </c>
      <c r="AH205" s="11">
        <f t="shared" si="21"/>
        <v>31.4847</v>
      </c>
      <c r="AI205" s="11">
        <f t="shared" si="21"/>
        <v>75.995699999999999</v>
      </c>
      <c r="AJ205" s="11">
        <f t="shared" si="21"/>
        <v>897.00660000000016</v>
      </c>
      <c r="AK205" s="11">
        <f t="shared" si="21"/>
        <v>4.3026000000000009</v>
      </c>
      <c r="AL205" s="11">
        <f t="shared" si="21"/>
        <v>10.9314</v>
      </c>
      <c r="AM205" s="2"/>
      <c r="AN205" s="2"/>
      <c r="AO205" s="2"/>
    </row>
    <row r="206" spans="1:41" x14ac:dyDescent="0.2">
      <c r="A206" s="2" t="s">
        <v>488</v>
      </c>
      <c r="B206" s="2" t="s">
        <v>427</v>
      </c>
      <c r="C206" s="2" t="s">
        <v>489</v>
      </c>
      <c r="D206" s="2"/>
      <c r="E206" s="7" t="s">
        <v>40</v>
      </c>
      <c r="F206" s="2" t="s">
        <v>41</v>
      </c>
      <c r="G206" s="2" t="s">
        <v>438</v>
      </c>
      <c r="H206" s="12">
        <f>0.48851+0.072568+0.226775+0.02721+0.09</f>
        <v>0.90506299999999984</v>
      </c>
      <c r="I206" s="13">
        <f>(5.3*0.48851+5.5*0.072568+9.4*0.226775+3.6*0.02721+3.3*0.09)/$H206</f>
        <v>6.0933526174421004</v>
      </c>
      <c r="J206" s="9">
        <f>(4.46*0.48851+4.14*0.072568+0*0.226775+3*0.02721+6.6*0.09)/$H206</f>
        <v>3.4857420091198077</v>
      </c>
      <c r="K206" s="14">
        <f>(168*0.48851+219.39*0.072568+49.7*0.226775+294.81*0.02721+70*0.09)/$H206</f>
        <v>136.54615327330808</v>
      </c>
      <c r="L206" s="9">
        <f>(0*0.48851+0*0.072568+0.1*0.226775+0.35*0.02721+0*0.09)/$H206</f>
        <v>3.5578738717636248E-2</v>
      </c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9">
        <f t="shared" si="0"/>
        <v>5.5148679999999992E-2</v>
      </c>
      <c r="AB206" s="9">
        <f t="shared" si="1"/>
        <v>3.1548161200000001E-2</v>
      </c>
      <c r="AC206" s="10">
        <f t="shared" si="2"/>
        <v>123.58287112000001</v>
      </c>
      <c r="AD206" s="10">
        <f t="shared" si="3"/>
        <v>0</v>
      </c>
      <c r="AE206" s="9">
        <f t="shared" si="4"/>
        <v>3.2201000000000007E-4</v>
      </c>
      <c r="AF206" s="9">
        <f t="shared" si="5"/>
        <v>8.7018851199999983E-2</v>
      </c>
      <c r="AG206" s="9">
        <f t="shared" si="6"/>
        <v>9.6146733652795433</v>
      </c>
      <c r="AH206" s="11">
        <f t="shared" si="21"/>
        <v>5.514867999999999</v>
      </c>
      <c r="AI206" s="11">
        <f t="shared" si="21"/>
        <v>3.15481612</v>
      </c>
      <c r="AJ206" s="11">
        <f t="shared" si="21"/>
        <v>123.58287112000001</v>
      </c>
      <c r="AK206" s="11">
        <f t="shared" si="21"/>
        <v>3.2201000000000007E-2</v>
      </c>
      <c r="AL206" s="11">
        <f t="shared" si="21"/>
        <v>0</v>
      </c>
      <c r="AM206" s="2"/>
      <c r="AN206" s="2"/>
      <c r="AO206" s="2"/>
    </row>
    <row r="207" spans="1:41" x14ac:dyDescent="0.2">
      <c r="A207" s="2" t="s">
        <v>490</v>
      </c>
      <c r="B207" s="2" t="s">
        <v>427</v>
      </c>
      <c r="C207" s="2" t="s">
        <v>48</v>
      </c>
      <c r="D207" s="2"/>
      <c r="E207" s="2" t="s">
        <v>50</v>
      </c>
      <c r="F207" s="2" t="s">
        <v>491</v>
      </c>
      <c r="G207" s="2" t="s">
        <v>429</v>
      </c>
      <c r="H207" s="12">
        <f>0.107+1.449+2.342+0.116</f>
        <v>4.0140000000000002</v>
      </c>
      <c r="I207" s="2"/>
      <c r="J207" s="9">
        <f>(0.13*0.107+0.05*1.449+0*2.342+0*0.116)/H207</f>
        <v>2.1514698555057301E-2</v>
      </c>
      <c r="K207" s="13">
        <f>(6.4*0.107+3*1.449+0*2.342+0*0.116)/H207</f>
        <v>1.2535625311410066</v>
      </c>
      <c r="L207" s="9">
        <f>(1.78*0.107+1.24*1.449+1.15*2.342+1.62*0.116)/H207</f>
        <v>1.2128649725959142</v>
      </c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9">
        <f t="shared" si="0"/>
        <v>0</v>
      </c>
      <c r="AB207" s="9">
        <f t="shared" si="1"/>
        <v>8.6360000000000007E-4</v>
      </c>
      <c r="AC207" s="10">
        <f t="shared" si="2"/>
        <v>5.0318000000000005</v>
      </c>
      <c r="AD207" s="10">
        <f t="shared" si="3"/>
        <v>0</v>
      </c>
      <c r="AE207" s="9">
        <f t="shared" si="4"/>
        <v>4.8684399999999996E-2</v>
      </c>
      <c r="AF207" s="9">
        <f t="shared" si="5"/>
        <v>4.9547999999999995E-2</v>
      </c>
      <c r="AG207" s="9">
        <f t="shared" si="6"/>
        <v>1.2343796711509716</v>
      </c>
      <c r="AH207" s="11">
        <f t="shared" si="21"/>
        <v>0</v>
      </c>
      <c r="AI207" s="11">
        <f t="shared" si="21"/>
        <v>8.6360000000000006E-2</v>
      </c>
      <c r="AJ207" s="11">
        <f t="shared" si="21"/>
        <v>5.0318000000000005</v>
      </c>
      <c r="AK207" s="11">
        <f t="shared" si="21"/>
        <v>4.8684399999999997</v>
      </c>
      <c r="AL207" s="11">
        <f t="shared" si="21"/>
        <v>0</v>
      </c>
      <c r="AM207" s="2"/>
      <c r="AN207" s="2"/>
      <c r="AO207" s="2"/>
    </row>
    <row r="208" spans="1:41" x14ac:dyDescent="0.2">
      <c r="A208" s="2" t="s">
        <v>492</v>
      </c>
      <c r="B208" s="2" t="s">
        <v>427</v>
      </c>
      <c r="C208" s="2" t="s">
        <v>48</v>
      </c>
      <c r="D208" s="2"/>
      <c r="E208" s="2" t="s">
        <v>50</v>
      </c>
      <c r="F208" s="2" t="s">
        <v>493</v>
      </c>
      <c r="G208" s="2" t="s">
        <v>68</v>
      </c>
      <c r="H208" s="12">
        <v>2.8270469999999999</v>
      </c>
      <c r="I208" s="2"/>
      <c r="J208" s="2">
        <v>0.32</v>
      </c>
      <c r="K208" s="2">
        <v>8.9600000000000009</v>
      </c>
      <c r="L208" s="9">
        <v>1.9</v>
      </c>
      <c r="M208" s="2">
        <v>0.47</v>
      </c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9">
        <f t="shared" si="0"/>
        <v>0</v>
      </c>
      <c r="AB208" s="9">
        <f t="shared" si="1"/>
        <v>9.0465503999999988E-3</v>
      </c>
      <c r="AC208" s="10">
        <f t="shared" si="2"/>
        <v>25.33034112</v>
      </c>
      <c r="AD208" s="10">
        <f t="shared" si="3"/>
        <v>1.3287120899999998</v>
      </c>
      <c r="AE208" s="9">
        <f t="shared" si="4"/>
        <v>5.3713892999999999E-2</v>
      </c>
      <c r="AF208" s="9">
        <f t="shared" si="5"/>
        <v>6.2760443400000004E-2</v>
      </c>
      <c r="AG208" s="9">
        <f t="shared" si="6"/>
        <v>2.2199999999999998</v>
      </c>
      <c r="AH208" s="11">
        <f t="shared" si="21"/>
        <v>0</v>
      </c>
      <c r="AI208" s="11">
        <f t="shared" si="21"/>
        <v>0.90465503999999997</v>
      </c>
      <c r="AJ208" s="11">
        <f t="shared" si="21"/>
        <v>25.33034112</v>
      </c>
      <c r="AK208" s="11">
        <f t="shared" si="21"/>
        <v>5.3713892999999997</v>
      </c>
      <c r="AL208" s="11">
        <f t="shared" si="21"/>
        <v>1.3287120899999998</v>
      </c>
      <c r="AM208" s="2"/>
      <c r="AN208" s="2"/>
      <c r="AO208" s="2"/>
    </row>
    <row r="209" spans="1:41" x14ac:dyDescent="0.2">
      <c r="A209" s="2" t="s">
        <v>494</v>
      </c>
      <c r="B209" s="2" t="s">
        <v>427</v>
      </c>
      <c r="C209" s="2" t="s">
        <v>38</v>
      </c>
      <c r="D209" s="2" t="s">
        <v>62</v>
      </c>
      <c r="E209" s="7" t="s">
        <v>40</v>
      </c>
      <c r="F209" s="2" t="s">
        <v>495</v>
      </c>
      <c r="G209" s="2" t="s">
        <v>496</v>
      </c>
      <c r="H209" s="2">
        <v>54</v>
      </c>
      <c r="I209" s="13">
        <v>2</v>
      </c>
      <c r="J209" s="2">
        <v>7.7</v>
      </c>
      <c r="K209" s="2">
        <v>42.8</v>
      </c>
      <c r="L209" s="2"/>
      <c r="M209" s="2"/>
      <c r="N209" s="2">
        <v>47.5</v>
      </c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9">
        <f t="shared" si="0"/>
        <v>1.08</v>
      </c>
      <c r="AB209" s="9">
        <f t="shared" si="1"/>
        <v>4.1580000000000004</v>
      </c>
      <c r="AC209" s="10">
        <f t="shared" si="2"/>
        <v>2311.1999999999998</v>
      </c>
      <c r="AD209" s="10">
        <f t="shared" si="3"/>
        <v>0</v>
      </c>
      <c r="AE209" s="9">
        <f t="shared" si="4"/>
        <v>0</v>
      </c>
      <c r="AF209" s="9">
        <f t="shared" si="5"/>
        <v>5.2380000000000004</v>
      </c>
      <c r="AG209" s="9">
        <f t="shared" si="6"/>
        <v>9.6999999999999993</v>
      </c>
      <c r="AH209" s="11">
        <f t="shared" si="21"/>
        <v>108</v>
      </c>
      <c r="AI209" s="11">
        <f t="shared" si="21"/>
        <v>415.8</v>
      </c>
      <c r="AJ209" s="11">
        <f t="shared" si="21"/>
        <v>2311.1999999999998</v>
      </c>
      <c r="AK209" s="11">
        <f t="shared" si="21"/>
        <v>0</v>
      </c>
      <c r="AL209" s="11">
        <f t="shared" si="21"/>
        <v>0</v>
      </c>
      <c r="AM209" s="2"/>
      <c r="AN209" s="2"/>
      <c r="AO209" s="2"/>
    </row>
    <row r="210" spans="1:41" x14ac:dyDescent="0.2">
      <c r="A210" s="2" t="s">
        <v>497</v>
      </c>
      <c r="B210" s="2" t="s">
        <v>427</v>
      </c>
      <c r="C210" s="2" t="s">
        <v>38</v>
      </c>
      <c r="D210" s="2" t="s">
        <v>62</v>
      </c>
      <c r="E210" s="7" t="s">
        <v>40</v>
      </c>
      <c r="F210" s="2" t="s">
        <v>41</v>
      </c>
      <c r="G210" s="2" t="s">
        <v>438</v>
      </c>
      <c r="H210" s="12">
        <v>1.4903649999999999</v>
      </c>
      <c r="I210" s="2">
        <v>1.4</v>
      </c>
      <c r="J210" s="2">
        <v>8.6</v>
      </c>
      <c r="K210" s="2">
        <v>8.5</v>
      </c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9">
        <f t="shared" si="0"/>
        <v>2.0865109999999999E-2</v>
      </c>
      <c r="AB210" s="9">
        <f t="shared" si="1"/>
        <v>0.12817139</v>
      </c>
      <c r="AC210" s="10">
        <f t="shared" si="2"/>
        <v>12.6681025</v>
      </c>
      <c r="AD210" s="10">
        <f t="shared" si="3"/>
        <v>0</v>
      </c>
      <c r="AE210" s="9">
        <f t="shared" si="4"/>
        <v>0</v>
      </c>
      <c r="AF210" s="9">
        <f t="shared" si="5"/>
        <v>0.14903649999999999</v>
      </c>
      <c r="AG210" s="9">
        <f t="shared" si="6"/>
        <v>10</v>
      </c>
      <c r="AH210" s="11">
        <f t="shared" ref="AH210:AL225" si="22">$H210*I210</f>
        <v>2.0865109999999998</v>
      </c>
      <c r="AI210" s="11">
        <f t="shared" si="22"/>
        <v>12.817138999999999</v>
      </c>
      <c r="AJ210" s="11">
        <f t="shared" si="22"/>
        <v>12.6681025</v>
      </c>
      <c r="AK210" s="11">
        <f t="shared" si="22"/>
        <v>0</v>
      </c>
      <c r="AL210" s="11">
        <f t="shared" si="22"/>
        <v>0</v>
      </c>
      <c r="AM210" s="2"/>
      <c r="AN210" s="2"/>
      <c r="AO210" s="2"/>
    </row>
    <row r="211" spans="1:41" x14ac:dyDescent="0.2">
      <c r="A211" s="2" t="s">
        <v>498</v>
      </c>
      <c r="B211" s="2" t="s">
        <v>427</v>
      </c>
      <c r="C211" s="2" t="s">
        <v>499</v>
      </c>
      <c r="D211" s="2"/>
      <c r="E211" s="7" t="s">
        <v>40</v>
      </c>
      <c r="F211" s="2" t="s">
        <v>41</v>
      </c>
      <c r="G211" s="2" t="s">
        <v>500</v>
      </c>
      <c r="H211" s="12">
        <v>0.32737300000000003</v>
      </c>
      <c r="I211" s="2">
        <v>5.64</v>
      </c>
      <c r="J211" s="2">
        <v>4.5999999999999996</v>
      </c>
      <c r="K211" s="2">
        <v>254.8</v>
      </c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9">
        <f t="shared" si="0"/>
        <v>1.84638372E-2</v>
      </c>
      <c r="AB211" s="9">
        <f t="shared" si="1"/>
        <v>1.5059158E-2</v>
      </c>
      <c r="AC211" s="10">
        <f t="shared" si="2"/>
        <v>83.41464040000001</v>
      </c>
      <c r="AD211" s="10">
        <f t="shared" si="3"/>
        <v>0</v>
      </c>
      <c r="AE211" s="9">
        <f t="shared" si="4"/>
        <v>0</v>
      </c>
      <c r="AF211" s="9">
        <f t="shared" si="5"/>
        <v>3.3522995200000003E-2</v>
      </c>
      <c r="AG211" s="9">
        <f t="shared" si="6"/>
        <v>10.239999999999998</v>
      </c>
      <c r="AH211" s="11">
        <f t="shared" si="22"/>
        <v>1.84638372</v>
      </c>
      <c r="AI211" s="11">
        <f t="shared" si="22"/>
        <v>1.5059157999999999</v>
      </c>
      <c r="AJ211" s="11">
        <f t="shared" si="22"/>
        <v>83.41464040000001</v>
      </c>
      <c r="AK211" s="11">
        <f t="shared" si="22"/>
        <v>0</v>
      </c>
      <c r="AL211" s="11">
        <f t="shared" si="22"/>
        <v>0</v>
      </c>
      <c r="AM211" s="2"/>
      <c r="AN211" s="2"/>
      <c r="AO211" s="2"/>
    </row>
    <row r="212" spans="1:41" x14ac:dyDescent="0.2">
      <c r="A212" s="2" t="s">
        <v>501</v>
      </c>
      <c r="B212" s="2" t="s">
        <v>427</v>
      </c>
      <c r="C212" s="2" t="s">
        <v>38</v>
      </c>
      <c r="D212" s="2"/>
      <c r="E212" s="2" t="s">
        <v>50</v>
      </c>
      <c r="F212" s="2" t="s">
        <v>502</v>
      </c>
      <c r="G212" s="2" t="s">
        <v>503</v>
      </c>
      <c r="H212" s="2">
        <v>9.2050000000000001</v>
      </c>
      <c r="I212" s="2">
        <v>0.97</v>
      </c>
      <c r="J212" s="9">
        <v>6.6</v>
      </c>
      <c r="K212" s="2">
        <v>19</v>
      </c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9">
        <f t="shared" si="0"/>
        <v>8.9288500000000007E-2</v>
      </c>
      <c r="AB212" s="9">
        <f t="shared" si="1"/>
        <v>0.60753000000000001</v>
      </c>
      <c r="AC212" s="10">
        <f t="shared" si="2"/>
        <v>174.89500000000001</v>
      </c>
      <c r="AD212" s="10">
        <f t="shared" si="3"/>
        <v>0</v>
      </c>
      <c r="AE212" s="9">
        <f t="shared" si="4"/>
        <v>0</v>
      </c>
      <c r="AF212" s="9">
        <f t="shared" si="5"/>
        <v>0.69681850000000001</v>
      </c>
      <c r="AG212" s="9">
        <f t="shared" si="6"/>
        <v>7.5699999999999994</v>
      </c>
      <c r="AH212" s="11">
        <f t="shared" si="22"/>
        <v>8.9288500000000006</v>
      </c>
      <c r="AI212" s="11">
        <f t="shared" si="22"/>
        <v>60.753</v>
      </c>
      <c r="AJ212" s="11">
        <f t="shared" si="22"/>
        <v>174.89500000000001</v>
      </c>
      <c r="AK212" s="11">
        <f t="shared" si="22"/>
        <v>0</v>
      </c>
      <c r="AL212" s="11">
        <f t="shared" si="22"/>
        <v>0</v>
      </c>
      <c r="AM212" s="2"/>
      <c r="AN212" s="2"/>
      <c r="AO212" s="2"/>
    </row>
    <row r="213" spans="1:41" x14ac:dyDescent="0.2">
      <c r="A213" s="2" t="s">
        <v>504</v>
      </c>
      <c r="B213" s="2" t="s">
        <v>427</v>
      </c>
      <c r="C213" s="2" t="s">
        <v>38</v>
      </c>
      <c r="D213" s="2" t="s">
        <v>62</v>
      </c>
      <c r="E213" s="7" t="s">
        <v>40</v>
      </c>
      <c r="F213" s="2" t="s">
        <v>505</v>
      </c>
      <c r="G213" s="8" t="s">
        <v>506</v>
      </c>
      <c r="H213" s="2">
        <v>1.8</v>
      </c>
      <c r="I213" s="2">
        <v>0.57999999999999996</v>
      </c>
      <c r="J213" s="2">
        <v>2.6</v>
      </c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9">
        <f t="shared" si="0"/>
        <v>1.044E-2</v>
      </c>
      <c r="AB213" s="9">
        <f t="shared" si="1"/>
        <v>4.6800000000000008E-2</v>
      </c>
      <c r="AC213" s="10">
        <f t="shared" si="2"/>
        <v>0</v>
      </c>
      <c r="AD213" s="10">
        <f t="shared" si="3"/>
        <v>0</v>
      </c>
      <c r="AE213" s="9">
        <f t="shared" si="4"/>
        <v>0</v>
      </c>
      <c r="AF213" s="9">
        <f t="shared" si="5"/>
        <v>5.7240000000000006E-2</v>
      </c>
      <c r="AG213" s="9">
        <f t="shared" si="6"/>
        <v>3.18</v>
      </c>
      <c r="AH213" s="11">
        <f t="shared" si="22"/>
        <v>1.044</v>
      </c>
      <c r="AI213" s="11">
        <f t="shared" si="22"/>
        <v>4.6800000000000006</v>
      </c>
      <c r="AJ213" s="11">
        <f t="shared" si="22"/>
        <v>0</v>
      </c>
      <c r="AK213" s="11">
        <f t="shared" si="22"/>
        <v>0</v>
      </c>
      <c r="AL213" s="11">
        <f t="shared" si="22"/>
        <v>0</v>
      </c>
      <c r="AM213" s="2"/>
      <c r="AN213" s="2"/>
      <c r="AO213" s="2"/>
    </row>
    <row r="214" spans="1:41" x14ac:dyDescent="0.2">
      <c r="A214" s="2" t="s">
        <v>507</v>
      </c>
      <c r="B214" s="2" t="s">
        <v>427</v>
      </c>
      <c r="C214" s="2" t="s">
        <v>187</v>
      </c>
      <c r="D214" s="2"/>
      <c r="E214" s="7" t="s">
        <v>40</v>
      </c>
      <c r="F214" s="2" t="s">
        <v>41</v>
      </c>
      <c r="G214" s="2" t="s">
        <v>438</v>
      </c>
      <c r="H214" s="12">
        <v>4.3354999999999998E-2</v>
      </c>
      <c r="I214" s="2">
        <v>6</v>
      </c>
      <c r="J214" s="2">
        <v>10</v>
      </c>
      <c r="K214" s="2"/>
      <c r="L214" s="20">
        <v>0.11998</v>
      </c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9">
        <f t="shared" si="0"/>
        <v>2.6012999999999995E-3</v>
      </c>
      <c r="AB214" s="9">
        <f t="shared" si="1"/>
        <v>4.3354999999999999E-3</v>
      </c>
      <c r="AC214" s="10">
        <f t="shared" si="2"/>
        <v>0</v>
      </c>
      <c r="AD214" s="10">
        <f t="shared" si="3"/>
        <v>0</v>
      </c>
      <c r="AE214" s="9">
        <f t="shared" si="4"/>
        <v>5.2017328999999993E-5</v>
      </c>
      <c r="AF214" s="9">
        <f t="shared" si="5"/>
        <v>6.9888173289999996E-3</v>
      </c>
      <c r="AG214" s="9">
        <f t="shared" si="6"/>
        <v>16.119980000000002</v>
      </c>
      <c r="AH214" s="11">
        <f t="shared" si="22"/>
        <v>0.26012999999999997</v>
      </c>
      <c r="AI214" s="11">
        <f t="shared" si="22"/>
        <v>0.43354999999999999</v>
      </c>
      <c r="AJ214" s="11">
        <f t="shared" si="22"/>
        <v>0</v>
      </c>
      <c r="AK214" s="11">
        <f t="shared" si="22"/>
        <v>5.2017328999999996E-3</v>
      </c>
      <c r="AL214" s="11">
        <f t="shared" si="22"/>
        <v>0</v>
      </c>
      <c r="AM214" s="2"/>
      <c r="AN214" s="2"/>
      <c r="AO214" s="2"/>
    </row>
    <row r="215" spans="1:41" x14ac:dyDescent="0.2">
      <c r="A215" s="2" t="s">
        <v>508</v>
      </c>
      <c r="B215" s="2" t="s">
        <v>427</v>
      </c>
      <c r="C215" s="2" t="s">
        <v>54</v>
      </c>
      <c r="D215" s="2" t="s">
        <v>77</v>
      </c>
      <c r="E215" s="7" t="s">
        <v>40</v>
      </c>
      <c r="F215" s="2" t="s">
        <v>41</v>
      </c>
      <c r="G215" s="2" t="s">
        <v>438</v>
      </c>
      <c r="H215" s="12">
        <v>0.31748500000000002</v>
      </c>
      <c r="I215" s="2"/>
      <c r="J215" s="2">
        <v>4.2300000000000004</v>
      </c>
      <c r="K215" s="13">
        <v>30.16</v>
      </c>
      <c r="L215" s="2">
        <v>0.38</v>
      </c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9">
        <f t="shared" si="0"/>
        <v>0</v>
      </c>
      <c r="AB215" s="9">
        <f t="shared" si="1"/>
        <v>1.3429615500000002E-2</v>
      </c>
      <c r="AC215" s="10">
        <f t="shared" si="2"/>
        <v>9.5753476000000006</v>
      </c>
      <c r="AD215" s="10">
        <f t="shared" si="3"/>
        <v>0</v>
      </c>
      <c r="AE215" s="9">
        <f t="shared" si="4"/>
        <v>1.2064430000000002E-3</v>
      </c>
      <c r="AF215" s="9">
        <f t="shared" si="5"/>
        <v>1.4636058500000002E-2</v>
      </c>
      <c r="AG215" s="9">
        <f t="shared" si="6"/>
        <v>4.6100000000000003</v>
      </c>
      <c r="AH215" s="11">
        <f t="shared" si="22"/>
        <v>0</v>
      </c>
      <c r="AI215" s="11">
        <f t="shared" si="22"/>
        <v>1.3429615500000003</v>
      </c>
      <c r="AJ215" s="11">
        <f t="shared" si="22"/>
        <v>9.5753476000000006</v>
      </c>
      <c r="AK215" s="11">
        <f t="shared" si="22"/>
        <v>0.12064430000000001</v>
      </c>
      <c r="AL215" s="11">
        <f t="shared" si="22"/>
        <v>0</v>
      </c>
      <c r="AM215" s="2"/>
      <c r="AN215" s="2"/>
      <c r="AO215" s="2"/>
    </row>
    <row r="216" spans="1:41" x14ac:dyDescent="0.2">
      <c r="A216" s="2" t="s">
        <v>509</v>
      </c>
      <c r="B216" s="2" t="s">
        <v>427</v>
      </c>
      <c r="C216" s="2" t="s">
        <v>38</v>
      </c>
      <c r="D216" s="2" t="s">
        <v>62</v>
      </c>
      <c r="E216" s="7" t="s">
        <v>40</v>
      </c>
      <c r="F216" s="2" t="s">
        <v>41</v>
      </c>
      <c r="G216" s="2" t="s">
        <v>438</v>
      </c>
      <c r="H216" s="2">
        <v>1</v>
      </c>
      <c r="I216" s="2">
        <v>6</v>
      </c>
      <c r="J216" s="2">
        <v>2</v>
      </c>
      <c r="K216" s="2">
        <v>50</v>
      </c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9">
        <f t="shared" si="0"/>
        <v>0.06</v>
      </c>
      <c r="AB216" s="9">
        <f t="shared" si="1"/>
        <v>0.02</v>
      </c>
      <c r="AC216" s="10">
        <f t="shared" si="2"/>
        <v>50</v>
      </c>
      <c r="AD216" s="10">
        <f t="shared" si="3"/>
        <v>0</v>
      </c>
      <c r="AE216" s="9">
        <f t="shared" si="4"/>
        <v>0</v>
      </c>
      <c r="AF216" s="9">
        <f t="shared" si="5"/>
        <v>0.08</v>
      </c>
      <c r="AG216" s="9">
        <f t="shared" si="6"/>
        <v>8</v>
      </c>
      <c r="AH216" s="11">
        <f t="shared" si="22"/>
        <v>6</v>
      </c>
      <c r="AI216" s="11">
        <f t="shared" si="22"/>
        <v>2</v>
      </c>
      <c r="AJ216" s="11">
        <f t="shared" si="22"/>
        <v>50</v>
      </c>
      <c r="AK216" s="11">
        <f t="shared" si="22"/>
        <v>0</v>
      </c>
      <c r="AL216" s="11">
        <f t="shared" si="22"/>
        <v>0</v>
      </c>
      <c r="AM216" s="2"/>
      <c r="AN216" s="2"/>
      <c r="AO216" s="2"/>
    </row>
    <row r="217" spans="1:41" x14ac:dyDescent="0.2">
      <c r="A217" s="2" t="s">
        <v>510</v>
      </c>
      <c r="B217" s="2" t="s">
        <v>427</v>
      </c>
      <c r="C217" s="2" t="s">
        <v>48</v>
      </c>
      <c r="D217" s="2"/>
      <c r="E217" s="2" t="s">
        <v>50</v>
      </c>
      <c r="F217" s="2" t="s">
        <v>511</v>
      </c>
      <c r="G217" s="2" t="s">
        <v>512</v>
      </c>
      <c r="H217" s="2">
        <f>3.675+10.058</f>
        <v>13.733000000000001</v>
      </c>
      <c r="I217" s="9">
        <f>(0.4*3.675+0.19*10.058)/$H217</f>
        <v>0.24619675234835794</v>
      </c>
      <c r="J217" s="9">
        <f>(3.61*3.675+3.92*10.058)/$H217</f>
        <v>3.8370428893905189</v>
      </c>
      <c r="K217" s="13">
        <f>(37.2*3.675+34.5*10.058)/$H217</f>
        <v>35.222529673050317</v>
      </c>
      <c r="L217" s="9">
        <f>(1.27*3.675+1.33*10.058)/$H217</f>
        <v>1.3139437850433262</v>
      </c>
      <c r="M217" s="9">
        <f>(0.25*3.675+0.18*10.058)/$H217</f>
        <v>0.19873225078278597</v>
      </c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9">
        <f t="shared" si="0"/>
        <v>3.3810199999999999E-2</v>
      </c>
      <c r="AB217" s="9">
        <f t="shared" si="1"/>
        <v>0.52694109999999994</v>
      </c>
      <c r="AC217" s="10">
        <f t="shared" si="2"/>
        <v>483.71100000000001</v>
      </c>
      <c r="AD217" s="10">
        <f t="shared" si="3"/>
        <v>2.72919</v>
      </c>
      <c r="AE217" s="9">
        <f t="shared" si="4"/>
        <v>0.18044389999999999</v>
      </c>
      <c r="AF217" s="9">
        <f t="shared" si="5"/>
        <v>0.74119519999999994</v>
      </c>
      <c r="AG217" s="9">
        <f t="shared" si="6"/>
        <v>5.3971834267822034</v>
      </c>
      <c r="AH217" s="11">
        <f t="shared" si="22"/>
        <v>3.3810199999999999</v>
      </c>
      <c r="AI217" s="11">
        <f t="shared" si="22"/>
        <v>52.694109999999995</v>
      </c>
      <c r="AJ217" s="11">
        <f t="shared" si="22"/>
        <v>483.71100000000001</v>
      </c>
      <c r="AK217" s="11">
        <f t="shared" si="22"/>
        <v>18.04439</v>
      </c>
      <c r="AL217" s="11">
        <f t="shared" si="22"/>
        <v>2.72919</v>
      </c>
      <c r="AM217" s="2"/>
      <c r="AN217" s="2"/>
      <c r="AO217" s="2"/>
    </row>
    <row r="218" spans="1:41" x14ac:dyDescent="0.2">
      <c r="A218" s="2" t="s">
        <v>513</v>
      </c>
      <c r="B218" s="2" t="s">
        <v>427</v>
      </c>
      <c r="C218" s="2" t="s">
        <v>38</v>
      </c>
      <c r="D218" s="2" t="s">
        <v>39</v>
      </c>
      <c r="E218" s="2" t="s">
        <v>50</v>
      </c>
      <c r="F218" s="2" t="s">
        <v>514</v>
      </c>
      <c r="G218" s="2" t="s">
        <v>500</v>
      </c>
      <c r="H218" s="12">
        <v>0.87497999999999998</v>
      </c>
      <c r="I218" s="2">
        <v>13.5</v>
      </c>
      <c r="J218" s="2">
        <v>8.5</v>
      </c>
      <c r="K218" s="2">
        <v>123</v>
      </c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9">
        <f t="shared" si="0"/>
        <v>0.1181223</v>
      </c>
      <c r="AB218" s="9">
        <f t="shared" si="1"/>
        <v>7.4373300000000003E-2</v>
      </c>
      <c r="AC218" s="10">
        <f t="shared" si="2"/>
        <v>107.62254</v>
      </c>
      <c r="AD218" s="10">
        <f t="shared" si="3"/>
        <v>0</v>
      </c>
      <c r="AE218" s="9">
        <f t="shared" si="4"/>
        <v>0</v>
      </c>
      <c r="AF218" s="9">
        <f t="shared" si="5"/>
        <v>0.19249559999999999</v>
      </c>
      <c r="AG218" s="9">
        <f t="shared" si="6"/>
        <v>22</v>
      </c>
      <c r="AH218" s="11">
        <f t="shared" si="22"/>
        <v>11.81223</v>
      </c>
      <c r="AI218" s="11">
        <f t="shared" si="22"/>
        <v>7.4373300000000002</v>
      </c>
      <c r="AJ218" s="11">
        <f t="shared" si="22"/>
        <v>107.62254</v>
      </c>
      <c r="AK218" s="11">
        <f t="shared" si="22"/>
        <v>0</v>
      </c>
      <c r="AL218" s="11">
        <f t="shared" si="22"/>
        <v>0</v>
      </c>
      <c r="AM218" s="2"/>
      <c r="AN218" s="2"/>
      <c r="AO218" s="2"/>
    </row>
    <row r="219" spans="1:41" x14ac:dyDescent="0.2">
      <c r="A219" s="2" t="s">
        <v>515</v>
      </c>
      <c r="B219" s="2" t="s">
        <v>427</v>
      </c>
      <c r="C219" s="2" t="s">
        <v>187</v>
      </c>
      <c r="D219" s="2"/>
      <c r="E219" s="7" t="s">
        <v>40</v>
      </c>
      <c r="F219" s="2" t="s">
        <v>41</v>
      </c>
      <c r="G219" s="2" t="s">
        <v>438</v>
      </c>
      <c r="H219" s="12">
        <v>0.160331</v>
      </c>
      <c r="I219" s="2">
        <v>7.11</v>
      </c>
      <c r="J219" s="2">
        <v>8.1199999999999992</v>
      </c>
      <c r="K219" s="2">
        <v>428.5</v>
      </c>
      <c r="L219" s="2"/>
      <c r="M219" s="2">
        <v>0.34</v>
      </c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9">
        <f t="shared" si="0"/>
        <v>1.1399534100000002E-2</v>
      </c>
      <c r="AB219" s="9">
        <f t="shared" si="1"/>
        <v>1.3018877199999999E-2</v>
      </c>
      <c r="AC219" s="10">
        <f t="shared" si="2"/>
        <v>68.701833500000006</v>
      </c>
      <c r="AD219" s="10">
        <f t="shared" si="3"/>
        <v>5.4512540000000005E-2</v>
      </c>
      <c r="AE219" s="9">
        <f t="shared" si="4"/>
        <v>0</v>
      </c>
      <c r="AF219" s="9">
        <f t="shared" si="5"/>
        <v>2.4418411300000002E-2</v>
      </c>
      <c r="AG219" s="9">
        <f t="shared" si="6"/>
        <v>15.23</v>
      </c>
      <c r="AH219" s="11">
        <f t="shared" si="22"/>
        <v>1.1399534100000002</v>
      </c>
      <c r="AI219" s="11">
        <f t="shared" si="22"/>
        <v>1.3018877199999999</v>
      </c>
      <c r="AJ219" s="11">
        <f t="shared" si="22"/>
        <v>68.701833500000006</v>
      </c>
      <c r="AK219" s="11">
        <f t="shared" si="22"/>
        <v>0</v>
      </c>
      <c r="AL219" s="11">
        <f t="shared" si="22"/>
        <v>5.4512540000000005E-2</v>
      </c>
      <c r="AM219" s="2"/>
      <c r="AN219" s="2"/>
      <c r="AO219" s="2"/>
    </row>
    <row r="220" spans="1:41" x14ac:dyDescent="0.2">
      <c r="A220" s="2" t="s">
        <v>516</v>
      </c>
      <c r="B220" s="2" t="s">
        <v>427</v>
      </c>
      <c r="C220" s="2" t="s">
        <v>54</v>
      </c>
      <c r="D220" s="2" t="s">
        <v>308</v>
      </c>
      <c r="E220" s="7" t="s">
        <v>40</v>
      </c>
      <c r="F220" s="2" t="s">
        <v>517</v>
      </c>
      <c r="G220" s="2" t="s">
        <v>518</v>
      </c>
      <c r="H220" s="12">
        <v>0.19600000000000001</v>
      </c>
      <c r="I220" s="13">
        <f>0.33*7</f>
        <v>2.31</v>
      </c>
      <c r="J220" s="13">
        <f>0.67*7</f>
        <v>4.6900000000000004</v>
      </c>
      <c r="K220" s="2">
        <v>411</v>
      </c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9">
        <f t="shared" si="0"/>
        <v>4.5276000000000005E-3</v>
      </c>
      <c r="AB220" s="9">
        <f t="shared" si="1"/>
        <v>9.1923999999999999E-3</v>
      </c>
      <c r="AC220" s="10">
        <f t="shared" si="2"/>
        <v>80.555999999999997</v>
      </c>
      <c r="AD220" s="10">
        <f t="shared" si="3"/>
        <v>0</v>
      </c>
      <c r="AE220" s="9">
        <f t="shared" si="4"/>
        <v>0</v>
      </c>
      <c r="AF220" s="18">
        <f t="shared" si="5"/>
        <v>1.372E-2</v>
      </c>
      <c r="AG220" s="9">
        <f t="shared" si="6"/>
        <v>7</v>
      </c>
      <c r="AH220" s="11">
        <f t="shared" si="22"/>
        <v>0.45276000000000005</v>
      </c>
      <c r="AI220" s="11">
        <f t="shared" si="22"/>
        <v>0.91924000000000006</v>
      </c>
      <c r="AJ220" s="11">
        <f t="shared" si="22"/>
        <v>80.555999999999997</v>
      </c>
      <c r="AK220" s="11">
        <f t="shared" si="22"/>
        <v>0</v>
      </c>
      <c r="AL220" s="11">
        <f t="shared" si="22"/>
        <v>0</v>
      </c>
      <c r="AM220" s="2"/>
      <c r="AN220" s="2"/>
      <c r="AO220" s="2"/>
    </row>
    <row r="221" spans="1:41" x14ac:dyDescent="0.2">
      <c r="A221" s="2" t="s">
        <v>519</v>
      </c>
      <c r="B221" s="2" t="s">
        <v>427</v>
      </c>
      <c r="C221" s="2" t="s">
        <v>440</v>
      </c>
      <c r="D221" s="2"/>
      <c r="E221" s="2" t="s">
        <v>50</v>
      </c>
      <c r="F221" s="2" t="s">
        <v>441</v>
      </c>
      <c r="G221" s="2" t="s">
        <v>106</v>
      </c>
      <c r="H221" s="2">
        <v>5.55</v>
      </c>
      <c r="I221" s="2"/>
      <c r="J221" s="2">
        <v>4.7</v>
      </c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9">
        <f t="shared" si="0"/>
        <v>0</v>
      </c>
      <c r="AB221" s="9">
        <f t="shared" si="1"/>
        <v>0.26085000000000003</v>
      </c>
      <c r="AC221" s="10">
        <f t="shared" si="2"/>
        <v>0</v>
      </c>
      <c r="AD221" s="10">
        <f t="shared" si="3"/>
        <v>0</v>
      </c>
      <c r="AE221" s="9">
        <f t="shared" si="4"/>
        <v>0</v>
      </c>
      <c r="AF221" s="9">
        <f t="shared" si="5"/>
        <v>0.26085000000000003</v>
      </c>
      <c r="AG221" s="9">
        <f t="shared" si="6"/>
        <v>4.7</v>
      </c>
      <c r="AH221" s="11">
        <f t="shared" si="22"/>
        <v>0</v>
      </c>
      <c r="AI221" s="11">
        <f t="shared" si="22"/>
        <v>26.085000000000001</v>
      </c>
      <c r="AJ221" s="11">
        <f t="shared" si="22"/>
        <v>0</v>
      </c>
      <c r="AK221" s="11">
        <f t="shared" si="22"/>
        <v>0</v>
      </c>
      <c r="AL221" s="11">
        <f t="shared" si="22"/>
        <v>0</v>
      </c>
      <c r="AM221" s="2"/>
      <c r="AN221" s="2"/>
      <c r="AO221" s="2"/>
    </row>
    <row r="222" spans="1:41" x14ac:dyDescent="0.2">
      <c r="A222" s="2" t="s">
        <v>520</v>
      </c>
      <c r="B222" s="2" t="s">
        <v>427</v>
      </c>
      <c r="C222" s="2" t="s">
        <v>440</v>
      </c>
      <c r="D222" s="2"/>
      <c r="E222" s="2" t="s">
        <v>50</v>
      </c>
      <c r="F222" s="2" t="s">
        <v>441</v>
      </c>
      <c r="G222" s="2" t="s">
        <v>106</v>
      </c>
      <c r="H222" s="2">
        <v>0.36</v>
      </c>
      <c r="I222" s="2">
        <v>0.2</v>
      </c>
      <c r="J222" s="13">
        <v>4</v>
      </c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9">
        <f t="shared" si="0"/>
        <v>7.1999999999999994E-4</v>
      </c>
      <c r="AB222" s="9">
        <f t="shared" si="1"/>
        <v>1.44E-2</v>
      </c>
      <c r="AC222" s="10">
        <f t="shared" si="2"/>
        <v>0</v>
      </c>
      <c r="AD222" s="10">
        <f t="shared" si="3"/>
        <v>0</v>
      </c>
      <c r="AE222" s="9">
        <f t="shared" si="4"/>
        <v>0</v>
      </c>
      <c r="AF222" s="9">
        <f t="shared" si="5"/>
        <v>1.512E-2</v>
      </c>
      <c r="AG222" s="9">
        <f t="shared" si="6"/>
        <v>4.2</v>
      </c>
      <c r="AH222" s="11">
        <f t="shared" si="22"/>
        <v>7.1999999999999995E-2</v>
      </c>
      <c r="AI222" s="11">
        <f t="shared" si="22"/>
        <v>1.44</v>
      </c>
      <c r="AJ222" s="11">
        <f t="shared" si="22"/>
        <v>0</v>
      </c>
      <c r="AK222" s="11">
        <f t="shared" si="22"/>
        <v>0</v>
      </c>
      <c r="AL222" s="11">
        <f t="shared" si="22"/>
        <v>0</v>
      </c>
      <c r="AM222" s="2"/>
      <c r="AN222" s="2"/>
      <c r="AO222" s="2"/>
    </row>
    <row r="223" spans="1:41" x14ac:dyDescent="0.2">
      <c r="A223" s="2" t="s">
        <v>521</v>
      </c>
      <c r="B223" s="2" t="s">
        <v>427</v>
      </c>
      <c r="C223" s="2" t="s">
        <v>48</v>
      </c>
      <c r="D223" s="2"/>
      <c r="E223" s="7" t="s">
        <v>40</v>
      </c>
      <c r="F223" s="2" t="s">
        <v>522</v>
      </c>
      <c r="G223" s="8" t="s">
        <v>447</v>
      </c>
      <c r="H223" s="2">
        <v>1.0149999999999999</v>
      </c>
      <c r="I223" s="2"/>
      <c r="J223" s="2">
        <v>2.96</v>
      </c>
      <c r="K223" s="2">
        <v>21.9</v>
      </c>
      <c r="L223" s="2">
        <v>0.83</v>
      </c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9">
        <f t="shared" si="0"/>
        <v>0</v>
      </c>
      <c r="AB223" s="9">
        <f t="shared" si="1"/>
        <v>3.0043999999999994E-2</v>
      </c>
      <c r="AC223" s="10">
        <f t="shared" si="2"/>
        <v>22.228499999999997</v>
      </c>
      <c r="AD223" s="10">
        <f t="shared" si="3"/>
        <v>0</v>
      </c>
      <c r="AE223" s="9">
        <f t="shared" si="4"/>
        <v>8.4244999999999997E-3</v>
      </c>
      <c r="AF223" s="9">
        <f t="shared" si="5"/>
        <v>3.8468499999999996E-2</v>
      </c>
      <c r="AG223" s="9">
        <f t="shared" si="6"/>
        <v>3.79</v>
      </c>
      <c r="AH223" s="11">
        <f t="shared" si="22"/>
        <v>0</v>
      </c>
      <c r="AI223" s="11">
        <f t="shared" si="22"/>
        <v>3.0043999999999995</v>
      </c>
      <c r="AJ223" s="11">
        <f t="shared" si="22"/>
        <v>22.228499999999997</v>
      </c>
      <c r="AK223" s="11">
        <f t="shared" si="22"/>
        <v>0.84244999999999992</v>
      </c>
      <c r="AL223" s="11">
        <f t="shared" si="22"/>
        <v>0</v>
      </c>
      <c r="AM223" s="2"/>
      <c r="AN223" s="2"/>
      <c r="AO223" s="2"/>
    </row>
    <row r="224" spans="1:41" x14ac:dyDescent="0.2">
      <c r="A224" s="2" t="s">
        <v>523</v>
      </c>
      <c r="B224" s="2" t="s">
        <v>427</v>
      </c>
      <c r="C224" s="2" t="s">
        <v>48</v>
      </c>
      <c r="D224" s="2"/>
      <c r="E224" s="7" t="s">
        <v>40</v>
      </c>
      <c r="F224" s="2" t="s">
        <v>41</v>
      </c>
      <c r="G224" s="2" t="s">
        <v>524</v>
      </c>
      <c r="H224" s="12">
        <v>0.35</v>
      </c>
      <c r="I224" s="2"/>
      <c r="J224" s="2">
        <v>7.84</v>
      </c>
      <c r="K224" s="2">
        <v>22.31</v>
      </c>
      <c r="L224" s="2">
        <v>1.35</v>
      </c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9">
        <f t="shared" si="0"/>
        <v>0</v>
      </c>
      <c r="AB224" s="9">
        <f t="shared" si="1"/>
        <v>2.7439999999999999E-2</v>
      </c>
      <c r="AC224" s="10">
        <f t="shared" si="2"/>
        <v>7.8084999999999987</v>
      </c>
      <c r="AD224" s="10">
        <f t="shared" si="3"/>
        <v>0</v>
      </c>
      <c r="AE224" s="9">
        <f t="shared" si="4"/>
        <v>4.725E-3</v>
      </c>
      <c r="AF224" s="9">
        <f t="shared" si="5"/>
        <v>3.2164999999999999E-2</v>
      </c>
      <c r="AG224" s="9">
        <f t="shared" si="6"/>
        <v>9.19</v>
      </c>
      <c r="AH224" s="11">
        <f t="shared" si="22"/>
        <v>0</v>
      </c>
      <c r="AI224" s="11">
        <f t="shared" si="22"/>
        <v>2.7439999999999998</v>
      </c>
      <c r="AJ224" s="11">
        <f t="shared" si="22"/>
        <v>7.8084999999999987</v>
      </c>
      <c r="AK224" s="11">
        <f t="shared" si="22"/>
        <v>0.47249999999999998</v>
      </c>
      <c r="AL224" s="11">
        <f t="shared" si="22"/>
        <v>0</v>
      </c>
      <c r="AM224" s="2"/>
      <c r="AN224" s="2"/>
      <c r="AO224" s="2"/>
    </row>
    <row r="225" spans="1:41" x14ac:dyDescent="0.2">
      <c r="A225" s="2" t="s">
        <v>525</v>
      </c>
      <c r="B225" s="2" t="s">
        <v>427</v>
      </c>
      <c r="C225" s="2" t="s">
        <v>48</v>
      </c>
      <c r="D225" s="2"/>
      <c r="E225" s="7" t="s">
        <v>40</v>
      </c>
      <c r="F225" s="2" t="s">
        <v>41</v>
      </c>
      <c r="G225" s="2" t="s">
        <v>524</v>
      </c>
      <c r="H225" s="2">
        <v>0.03</v>
      </c>
      <c r="I225" s="2"/>
      <c r="J225" s="2">
        <v>5.51</v>
      </c>
      <c r="K225" s="2"/>
      <c r="L225" s="2">
        <v>1.8</v>
      </c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9">
        <f t="shared" si="0"/>
        <v>0</v>
      </c>
      <c r="AB225" s="9">
        <f t="shared" si="1"/>
        <v>1.6529999999999997E-3</v>
      </c>
      <c r="AC225" s="10">
        <f t="shared" si="2"/>
        <v>0</v>
      </c>
      <c r="AD225" s="10">
        <f t="shared" si="3"/>
        <v>0</v>
      </c>
      <c r="AE225" s="9">
        <f t="shared" si="4"/>
        <v>5.4000000000000001E-4</v>
      </c>
      <c r="AF225" s="9">
        <f t="shared" si="5"/>
        <v>2.1929999999999996E-3</v>
      </c>
      <c r="AG225" s="9">
        <f t="shared" si="6"/>
        <v>7.31</v>
      </c>
      <c r="AH225" s="11">
        <f t="shared" si="22"/>
        <v>0</v>
      </c>
      <c r="AI225" s="11">
        <f t="shared" si="22"/>
        <v>0.16529999999999997</v>
      </c>
      <c r="AJ225" s="11">
        <f t="shared" si="22"/>
        <v>0</v>
      </c>
      <c r="AK225" s="11">
        <f t="shared" si="22"/>
        <v>5.3999999999999999E-2</v>
      </c>
      <c r="AL225" s="11">
        <f t="shared" si="22"/>
        <v>0</v>
      </c>
      <c r="AM225" s="2"/>
      <c r="AN225" s="2"/>
      <c r="AO225" s="2"/>
    </row>
    <row r="226" spans="1:41" x14ac:dyDescent="0.2">
      <c r="A226" s="2" t="s">
        <v>526</v>
      </c>
      <c r="B226" s="2" t="s">
        <v>427</v>
      </c>
      <c r="C226" s="2" t="s">
        <v>38</v>
      </c>
      <c r="D226" s="2" t="s">
        <v>62</v>
      </c>
      <c r="E226" s="7" t="s">
        <v>40</v>
      </c>
      <c r="F226" s="2" t="s">
        <v>527</v>
      </c>
      <c r="G226" s="2" t="s">
        <v>496</v>
      </c>
      <c r="H226" s="2">
        <v>2.44</v>
      </c>
      <c r="I226" s="13">
        <v>3.1</v>
      </c>
      <c r="J226" s="2">
        <v>11.9</v>
      </c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9">
        <f t="shared" si="0"/>
        <v>7.5639999999999999E-2</v>
      </c>
      <c r="AB226" s="9">
        <f t="shared" si="1"/>
        <v>0.29036000000000001</v>
      </c>
      <c r="AC226" s="10">
        <f t="shared" si="2"/>
        <v>0</v>
      </c>
      <c r="AD226" s="10">
        <f t="shared" si="3"/>
        <v>0</v>
      </c>
      <c r="AE226" s="9">
        <f t="shared" si="4"/>
        <v>0</v>
      </c>
      <c r="AF226" s="9">
        <f t="shared" si="5"/>
        <v>0.36599999999999999</v>
      </c>
      <c r="AG226" s="9">
        <f t="shared" si="6"/>
        <v>15</v>
      </c>
      <c r="AH226" s="11">
        <f t="shared" ref="AH226:AL241" si="23">$H226*I226</f>
        <v>7.5640000000000001</v>
      </c>
      <c r="AI226" s="11">
        <f t="shared" si="23"/>
        <v>29.036000000000001</v>
      </c>
      <c r="AJ226" s="11">
        <f t="shared" si="23"/>
        <v>0</v>
      </c>
      <c r="AK226" s="11">
        <f t="shared" si="23"/>
        <v>0</v>
      </c>
      <c r="AL226" s="11">
        <f t="shared" si="23"/>
        <v>0</v>
      </c>
      <c r="AM226" s="2"/>
      <c r="AN226" s="2"/>
      <c r="AO226" s="2"/>
    </row>
    <row r="227" spans="1:41" x14ac:dyDescent="0.2">
      <c r="A227" s="2" t="s">
        <v>528</v>
      </c>
      <c r="B227" s="2" t="s">
        <v>427</v>
      </c>
      <c r="C227" s="2" t="s">
        <v>48</v>
      </c>
      <c r="D227" s="2"/>
      <c r="E227" s="2" t="s">
        <v>50</v>
      </c>
      <c r="F227" s="2" t="s">
        <v>529</v>
      </c>
      <c r="G227" s="2" t="s">
        <v>71</v>
      </c>
      <c r="H227" s="2">
        <f>0.7+0.2+0.7+0.1</f>
        <v>1.7</v>
      </c>
      <c r="I227" s="2"/>
      <c r="J227" s="13">
        <f>(4.1*0.7+3.7*0.2+4.8*0.7+4.8*0.1)/$H227</f>
        <v>4.3823529411764701</v>
      </c>
      <c r="K227" s="2"/>
      <c r="L227" s="9">
        <f>(3.13*0.7+3.16*0.2+3.22*0.7+2.97*0.1)/$H227</f>
        <v>3.1611764705882353</v>
      </c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9">
        <f t="shared" si="0"/>
        <v>0</v>
      </c>
      <c r="AB227" s="9">
        <f t="shared" si="1"/>
        <v>7.4499999999999997E-2</v>
      </c>
      <c r="AC227" s="10">
        <f t="shared" si="2"/>
        <v>0</v>
      </c>
      <c r="AD227" s="10">
        <f t="shared" si="3"/>
        <v>0</v>
      </c>
      <c r="AE227" s="9">
        <f t="shared" si="4"/>
        <v>5.3739999999999996E-2</v>
      </c>
      <c r="AF227" s="9">
        <f t="shared" si="5"/>
        <v>0.12823999999999999</v>
      </c>
      <c r="AG227" s="9">
        <f t="shared" si="6"/>
        <v>7.5435294117647054</v>
      </c>
      <c r="AH227" s="11">
        <f t="shared" si="23"/>
        <v>0</v>
      </c>
      <c r="AI227" s="11">
        <f t="shared" si="23"/>
        <v>7.4499999999999993</v>
      </c>
      <c r="AJ227" s="11">
        <f t="shared" si="23"/>
        <v>0</v>
      </c>
      <c r="AK227" s="11">
        <f t="shared" si="23"/>
        <v>5.3739999999999997</v>
      </c>
      <c r="AL227" s="11">
        <f t="shared" si="23"/>
        <v>0</v>
      </c>
      <c r="AM227" s="2"/>
      <c r="AN227" s="2"/>
      <c r="AO227" s="2"/>
    </row>
    <row r="228" spans="1:41" x14ac:dyDescent="0.2">
      <c r="A228" s="2" t="s">
        <v>530</v>
      </c>
      <c r="B228" s="2" t="s">
        <v>427</v>
      </c>
      <c r="C228" s="2" t="s">
        <v>38</v>
      </c>
      <c r="D228" s="2" t="s">
        <v>62</v>
      </c>
      <c r="E228" s="7" t="s">
        <v>40</v>
      </c>
      <c r="F228" s="2" t="s">
        <v>41</v>
      </c>
      <c r="G228" s="8" t="s">
        <v>531</v>
      </c>
      <c r="H228" s="2">
        <v>2.76</v>
      </c>
      <c r="I228" s="2">
        <v>3.3</v>
      </c>
      <c r="J228" s="2">
        <v>3.1</v>
      </c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9">
        <f t="shared" si="0"/>
        <v>9.1079999999999994E-2</v>
      </c>
      <c r="AB228" s="9">
        <f t="shared" si="1"/>
        <v>8.5559999999999997E-2</v>
      </c>
      <c r="AC228" s="10">
        <f t="shared" si="2"/>
        <v>0</v>
      </c>
      <c r="AD228" s="10">
        <f t="shared" si="3"/>
        <v>0</v>
      </c>
      <c r="AE228" s="9">
        <f t="shared" si="4"/>
        <v>0</v>
      </c>
      <c r="AF228" s="9">
        <f t="shared" si="5"/>
        <v>0.17663999999999999</v>
      </c>
      <c r="AG228" s="9">
        <f t="shared" si="6"/>
        <v>6.4</v>
      </c>
      <c r="AH228" s="11">
        <f t="shared" si="23"/>
        <v>9.1079999999999988</v>
      </c>
      <c r="AI228" s="11">
        <f t="shared" si="23"/>
        <v>8.5559999999999992</v>
      </c>
      <c r="AJ228" s="11">
        <f t="shared" si="23"/>
        <v>0</v>
      </c>
      <c r="AK228" s="11">
        <f t="shared" si="23"/>
        <v>0</v>
      </c>
      <c r="AL228" s="11">
        <f t="shared" si="23"/>
        <v>0</v>
      </c>
      <c r="AM228" s="2"/>
      <c r="AN228" s="2"/>
      <c r="AO228" s="2"/>
    </row>
    <row r="229" spans="1:41" x14ac:dyDescent="0.2">
      <c r="A229" s="2" t="s">
        <v>532</v>
      </c>
      <c r="B229" s="2" t="s">
        <v>427</v>
      </c>
      <c r="C229" s="2" t="s">
        <v>48</v>
      </c>
      <c r="D229" s="2"/>
      <c r="E229" s="7" t="s">
        <v>40</v>
      </c>
      <c r="F229" s="2" t="s">
        <v>78</v>
      </c>
      <c r="G229" s="2" t="s">
        <v>438</v>
      </c>
      <c r="H229" s="12">
        <f>0.0197+0.05533</f>
        <v>7.5029999999999999E-2</v>
      </c>
      <c r="I229" s="13">
        <f>(5*0.0197+0*0.05533)/$H229</f>
        <v>1.3128082100493135</v>
      </c>
      <c r="J229" s="13">
        <f>(7.5*0.0197+7*0.05533)/$H229</f>
        <v>7.131280821004931</v>
      </c>
      <c r="K229" s="14">
        <f>(207*0.0197+102.84*0.05533)/$H229</f>
        <v>130.18842063174728</v>
      </c>
      <c r="L229" s="13">
        <f>(0*0.0197+0.7*0.05533)/$H229</f>
        <v>0.51620685059309601</v>
      </c>
      <c r="M229" s="9">
        <f>(2.55*0.0197+10.97*0.05533)/$H229</f>
        <v>8.7592309742769565</v>
      </c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9">
        <f t="shared" si="0"/>
        <v>9.8499999999999998E-4</v>
      </c>
      <c r="AB229" s="9">
        <f t="shared" si="1"/>
        <v>5.3505999999999996E-3</v>
      </c>
      <c r="AC229" s="10">
        <f t="shared" si="2"/>
        <v>9.7680371999999984</v>
      </c>
      <c r="AD229" s="10">
        <f t="shared" si="3"/>
        <v>0.6572051000000001</v>
      </c>
      <c r="AE229" s="9">
        <f t="shared" si="4"/>
        <v>3.8730999999999992E-4</v>
      </c>
      <c r="AF229" s="9">
        <f t="shared" si="5"/>
        <v>6.7229099999999995E-3</v>
      </c>
      <c r="AG229" s="9">
        <f t="shared" si="6"/>
        <v>8.9602958816473404</v>
      </c>
      <c r="AH229" s="11">
        <f t="shared" si="23"/>
        <v>9.849999999999999E-2</v>
      </c>
      <c r="AI229" s="11">
        <f t="shared" si="23"/>
        <v>0.53505999999999998</v>
      </c>
      <c r="AJ229" s="11">
        <f t="shared" si="23"/>
        <v>9.7680371999999984</v>
      </c>
      <c r="AK229" s="11">
        <f t="shared" si="23"/>
        <v>3.8730999999999995E-2</v>
      </c>
      <c r="AL229" s="11">
        <f t="shared" si="23"/>
        <v>0.6572051000000001</v>
      </c>
      <c r="AM229" s="2"/>
      <c r="AN229" s="2"/>
      <c r="AO229" s="2"/>
    </row>
    <row r="230" spans="1:41" x14ac:dyDescent="0.2">
      <c r="A230" s="2" t="s">
        <v>533</v>
      </c>
      <c r="B230" s="2" t="s">
        <v>427</v>
      </c>
      <c r="C230" s="2" t="s">
        <v>534</v>
      </c>
      <c r="D230" s="2"/>
      <c r="E230" s="2" t="s">
        <v>50</v>
      </c>
      <c r="F230" s="2" t="s">
        <v>535</v>
      </c>
      <c r="G230" s="2" t="s">
        <v>536</v>
      </c>
      <c r="H230" s="2">
        <f>46.07+34.29</f>
        <v>80.36</v>
      </c>
      <c r="I230" s="2"/>
      <c r="J230" s="12">
        <f>(0.132*46.07+0.104*34.29)/$H230</f>
        <v>0.12005226480836236</v>
      </c>
      <c r="K230" s="2"/>
      <c r="L230" s="12">
        <f>(0.051*46.07+0.052*34.29)/$H230</f>
        <v>5.1426704828272773E-2</v>
      </c>
      <c r="M230" s="2"/>
      <c r="N230" s="2"/>
      <c r="O230" s="2"/>
      <c r="P230" s="2"/>
      <c r="Q230" s="12">
        <f>(0.104*46.07+0.102*34.29)/$H230</f>
        <v>0.10314659034345446</v>
      </c>
      <c r="R230" s="2"/>
      <c r="S230" s="2"/>
      <c r="T230" s="2"/>
      <c r="U230" s="2"/>
      <c r="V230" s="2"/>
      <c r="W230" s="2"/>
      <c r="X230" s="2"/>
      <c r="Y230" s="2"/>
      <c r="Z230" s="2"/>
      <c r="AA230" s="9">
        <f t="shared" si="0"/>
        <v>0</v>
      </c>
      <c r="AB230" s="9">
        <f t="shared" si="1"/>
        <v>9.647399999999999E-2</v>
      </c>
      <c r="AC230" s="10">
        <f t="shared" si="2"/>
        <v>0</v>
      </c>
      <c r="AD230" s="10">
        <f t="shared" si="3"/>
        <v>0</v>
      </c>
      <c r="AE230" s="9">
        <f t="shared" si="4"/>
        <v>4.1326500000000002E-2</v>
      </c>
      <c r="AF230" s="9">
        <f t="shared" si="5"/>
        <v>0.13780049999999999</v>
      </c>
      <c r="AG230" s="9">
        <f t="shared" si="6"/>
        <v>0.17147896963663511</v>
      </c>
      <c r="AH230" s="11">
        <f t="shared" si="23"/>
        <v>0</v>
      </c>
      <c r="AI230" s="11">
        <f t="shared" si="23"/>
        <v>9.6473999999999993</v>
      </c>
      <c r="AJ230" s="11">
        <f t="shared" si="23"/>
        <v>0</v>
      </c>
      <c r="AK230" s="11">
        <f t="shared" si="23"/>
        <v>4.1326499999999999</v>
      </c>
      <c r="AL230" s="11">
        <f t="shared" si="23"/>
        <v>0</v>
      </c>
      <c r="AM230" s="2"/>
      <c r="AN230" s="2"/>
      <c r="AO230" s="2"/>
    </row>
    <row r="231" spans="1:41" x14ac:dyDescent="0.2">
      <c r="A231" s="2" t="s">
        <v>537</v>
      </c>
      <c r="B231" s="2" t="s">
        <v>427</v>
      </c>
      <c r="C231" s="2" t="s">
        <v>38</v>
      </c>
      <c r="D231" s="2" t="s">
        <v>39</v>
      </c>
      <c r="E231" s="7" t="s">
        <v>40</v>
      </c>
      <c r="F231" s="2" t="s">
        <v>41</v>
      </c>
      <c r="G231" s="8" t="s">
        <v>538</v>
      </c>
      <c r="H231" s="2">
        <v>1</v>
      </c>
      <c r="I231" s="2"/>
      <c r="J231" s="2">
        <v>13</v>
      </c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9">
        <f t="shared" si="0"/>
        <v>0</v>
      </c>
      <c r="AB231" s="9">
        <f t="shared" si="1"/>
        <v>0.13</v>
      </c>
      <c r="AC231" s="10">
        <f t="shared" si="2"/>
        <v>0</v>
      </c>
      <c r="AD231" s="10">
        <f t="shared" si="3"/>
        <v>0</v>
      </c>
      <c r="AE231" s="9">
        <f t="shared" si="4"/>
        <v>0</v>
      </c>
      <c r="AF231" s="9">
        <f t="shared" si="5"/>
        <v>0.13</v>
      </c>
      <c r="AG231" s="9">
        <f t="shared" si="6"/>
        <v>13</v>
      </c>
      <c r="AH231" s="11">
        <f t="shared" si="23"/>
        <v>0</v>
      </c>
      <c r="AI231" s="11">
        <f t="shared" si="23"/>
        <v>13</v>
      </c>
      <c r="AJ231" s="11">
        <f t="shared" si="23"/>
        <v>0</v>
      </c>
      <c r="AK231" s="11">
        <f t="shared" si="23"/>
        <v>0</v>
      </c>
      <c r="AL231" s="11">
        <f t="shared" si="23"/>
        <v>0</v>
      </c>
      <c r="AM231" s="2"/>
      <c r="AN231" s="2"/>
      <c r="AO231" s="2"/>
    </row>
    <row r="232" spans="1:41" x14ac:dyDescent="0.2">
      <c r="A232" s="2" t="s">
        <v>539</v>
      </c>
      <c r="B232" s="2" t="s">
        <v>427</v>
      </c>
      <c r="C232" s="2" t="s">
        <v>48</v>
      </c>
      <c r="D232" s="2"/>
      <c r="E232" s="7" t="s">
        <v>40</v>
      </c>
      <c r="F232" s="2" t="s">
        <v>540</v>
      </c>
      <c r="G232" s="2" t="s">
        <v>438</v>
      </c>
      <c r="H232" s="12">
        <v>6.3497000000000003</v>
      </c>
      <c r="I232" s="2"/>
      <c r="J232" s="13">
        <v>2.5</v>
      </c>
      <c r="K232" s="2">
        <v>20</v>
      </c>
      <c r="L232" s="9">
        <v>0.6</v>
      </c>
      <c r="M232" s="2">
        <v>0.5</v>
      </c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9">
        <f t="shared" si="0"/>
        <v>0</v>
      </c>
      <c r="AB232" s="9">
        <f t="shared" si="1"/>
        <v>0.15874250000000001</v>
      </c>
      <c r="AC232" s="10">
        <f t="shared" si="2"/>
        <v>126.994</v>
      </c>
      <c r="AD232" s="10">
        <f t="shared" si="3"/>
        <v>3.1748500000000002</v>
      </c>
      <c r="AE232" s="9">
        <f t="shared" si="4"/>
        <v>3.8098199999999999E-2</v>
      </c>
      <c r="AF232" s="9">
        <f t="shared" si="5"/>
        <v>0.19684070000000001</v>
      </c>
      <c r="AG232" s="9">
        <f t="shared" si="6"/>
        <v>3.1</v>
      </c>
      <c r="AH232" s="11">
        <f t="shared" si="23"/>
        <v>0</v>
      </c>
      <c r="AI232" s="11">
        <f t="shared" si="23"/>
        <v>15.87425</v>
      </c>
      <c r="AJ232" s="11">
        <f t="shared" si="23"/>
        <v>126.994</v>
      </c>
      <c r="AK232" s="11">
        <f t="shared" si="23"/>
        <v>3.8098200000000002</v>
      </c>
      <c r="AL232" s="11">
        <f t="shared" si="23"/>
        <v>3.1748500000000002</v>
      </c>
      <c r="AM232" s="2"/>
      <c r="AN232" s="2"/>
      <c r="AO232" s="2"/>
    </row>
    <row r="233" spans="1:41" x14ac:dyDescent="0.2">
      <c r="A233" s="2" t="s">
        <v>541</v>
      </c>
      <c r="B233" s="2" t="s">
        <v>427</v>
      </c>
      <c r="C233" s="2" t="s">
        <v>157</v>
      </c>
      <c r="D233" s="2"/>
      <c r="E233" s="7" t="s">
        <v>40</v>
      </c>
      <c r="F233" s="2" t="s">
        <v>41</v>
      </c>
      <c r="G233" s="2" t="s">
        <v>438</v>
      </c>
      <c r="H233" s="12">
        <v>0.90710000000000002</v>
      </c>
      <c r="I233" s="2">
        <v>2.23</v>
      </c>
      <c r="J233" s="13">
        <v>3.79</v>
      </c>
      <c r="K233" s="2">
        <v>214.9</v>
      </c>
      <c r="L233" s="9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9">
        <f t="shared" si="0"/>
        <v>2.0228329999999999E-2</v>
      </c>
      <c r="AB233" s="9">
        <f t="shared" si="1"/>
        <v>3.4379090000000001E-2</v>
      </c>
      <c r="AC233" s="10">
        <f t="shared" si="2"/>
        <v>194.93579</v>
      </c>
      <c r="AD233" s="10">
        <f t="shared" si="3"/>
        <v>0</v>
      </c>
      <c r="AE233" s="9">
        <f t="shared" si="4"/>
        <v>0</v>
      </c>
      <c r="AF233" s="9">
        <f t="shared" si="5"/>
        <v>5.4607420000000004E-2</v>
      </c>
      <c r="AG233" s="9">
        <f t="shared" si="6"/>
        <v>6.02</v>
      </c>
      <c r="AH233" s="11">
        <f t="shared" si="23"/>
        <v>2.0228329999999999</v>
      </c>
      <c r="AI233" s="11">
        <f t="shared" si="23"/>
        <v>3.4379089999999999</v>
      </c>
      <c r="AJ233" s="11">
        <f t="shared" si="23"/>
        <v>194.93579</v>
      </c>
      <c r="AK233" s="11">
        <f t="shared" si="23"/>
        <v>0</v>
      </c>
      <c r="AL233" s="11">
        <f t="shared" si="23"/>
        <v>0</v>
      </c>
      <c r="AM233" s="2"/>
      <c r="AN233" s="2"/>
      <c r="AO233" s="2"/>
    </row>
    <row r="234" spans="1:41" x14ac:dyDescent="0.2">
      <c r="A234" s="2" t="s">
        <v>542</v>
      </c>
      <c r="B234" s="2" t="s">
        <v>427</v>
      </c>
      <c r="C234" s="2" t="s">
        <v>48</v>
      </c>
      <c r="D234" s="2"/>
      <c r="E234" s="2" t="s">
        <v>50</v>
      </c>
      <c r="F234" s="2" t="s">
        <v>63</v>
      </c>
      <c r="G234" s="2" t="s">
        <v>64</v>
      </c>
      <c r="H234" s="13">
        <f>6.7+2.3</f>
        <v>9</v>
      </c>
      <c r="I234" s="9">
        <f>(1.1*6.7+1.3*2.3)/$H234</f>
        <v>1.1511111111111112</v>
      </c>
      <c r="J234" s="9">
        <f>(3.94*6.7+4.3*2.3)/$H234</f>
        <v>4.032</v>
      </c>
      <c r="K234" s="13">
        <f>(52*6.7+55*2.3)/$H234</f>
        <v>52.766666666666673</v>
      </c>
      <c r="L234" s="9">
        <f>(1.15*6.7+1.1*2.3)/$H234</f>
        <v>1.1372222222222221</v>
      </c>
      <c r="M234" s="13">
        <f>(0.84*6.7+0.8*2.3)/$H234</f>
        <v>0.82977777777777773</v>
      </c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9">
        <f t="shared" si="0"/>
        <v>0.10360000000000001</v>
      </c>
      <c r="AB234" s="9">
        <f t="shared" si="1"/>
        <v>0.36287999999999998</v>
      </c>
      <c r="AC234" s="10">
        <f t="shared" si="2"/>
        <v>474.90000000000003</v>
      </c>
      <c r="AD234" s="10">
        <f t="shared" si="3"/>
        <v>7.468</v>
      </c>
      <c r="AE234" s="9">
        <f t="shared" si="4"/>
        <v>0.10235</v>
      </c>
      <c r="AF234" s="9">
        <f t="shared" si="5"/>
        <v>0.56882999999999995</v>
      </c>
      <c r="AG234" s="9">
        <f t="shared" si="6"/>
        <v>6.320333333333334</v>
      </c>
      <c r="AH234" s="11">
        <f t="shared" si="23"/>
        <v>10.360000000000001</v>
      </c>
      <c r="AI234" s="11">
        <f t="shared" si="23"/>
        <v>36.287999999999997</v>
      </c>
      <c r="AJ234" s="11">
        <f t="shared" si="23"/>
        <v>474.90000000000003</v>
      </c>
      <c r="AK234" s="11">
        <f t="shared" si="23"/>
        <v>10.234999999999999</v>
      </c>
      <c r="AL234" s="11">
        <f t="shared" si="23"/>
        <v>7.468</v>
      </c>
      <c r="AM234" s="2"/>
      <c r="AN234" s="2"/>
      <c r="AO234" s="2"/>
    </row>
    <row r="235" spans="1:41" x14ac:dyDescent="0.2">
      <c r="A235" s="2" t="s">
        <v>543</v>
      </c>
      <c r="B235" s="2" t="s">
        <v>427</v>
      </c>
      <c r="C235" s="2" t="s">
        <v>38</v>
      </c>
      <c r="D235" s="2" t="s">
        <v>39</v>
      </c>
      <c r="E235" s="7" t="s">
        <v>40</v>
      </c>
      <c r="F235" s="2" t="s">
        <v>41</v>
      </c>
      <c r="G235" s="8" t="s">
        <v>544</v>
      </c>
      <c r="H235" s="2">
        <v>1.9</v>
      </c>
      <c r="I235" s="2">
        <v>1.2</v>
      </c>
      <c r="J235" s="2">
        <v>3.5</v>
      </c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9">
        <f t="shared" si="0"/>
        <v>2.2799999999999997E-2</v>
      </c>
      <c r="AB235" s="9">
        <f t="shared" si="1"/>
        <v>6.649999999999999E-2</v>
      </c>
      <c r="AC235" s="10">
        <f t="shared" si="2"/>
        <v>0</v>
      </c>
      <c r="AD235" s="10">
        <f t="shared" si="3"/>
        <v>0</v>
      </c>
      <c r="AE235" s="9">
        <f t="shared" si="4"/>
        <v>0</v>
      </c>
      <c r="AF235" s="9">
        <f t="shared" si="5"/>
        <v>8.929999999999999E-2</v>
      </c>
      <c r="AG235" s="9">
        <f t="shared" si="6"/>
        <v>4.7</v>
      </c>
      <c r="AH235" s="11">
        <f t="shared" si="23"/>
        <v>2.2799999999999998</v>
      </c>
      <c r="AI235" s="11">
        <f t="shared" si="23"/>
        <v>6.6499999999999995</v>
      </c>
      <c r="AJ235" s="11">
        <f t="shared" si="23"/>
        <v>0</v>
      </c>
      <c r="AK235" s="11">
        <f t="shared" si="23"/>
        <v>0</v>
      </c>
      <c r="AL235" s="11">
        <f t="shared" si="23"/>
        <v>0</v>
      </c>
      <c r="AM235" s="2"/>
      <c r="AN235" s="2"/>
      <c r="AO235" s="2"/>
    </row>
    <row r="236" spans="1:41" x14ac:dyDescent="0.2">
      <c r="A236" s="2" t="s">
        <v>545</v>
      </c>
      <c r="B236" s="2" t="s">
        <v>427</v>
      </c>
      <c r="C236" s="2" t="s">
        <v>48</v>
      </c>
      <c r="D236" s="2"/>
      <c r="E236" s="2" t="s">
        <v>50</v>
      </c>
      <c r="F236" s="2" t="s">
        <v>546</v>
      </c>
      <c r="G236" s="2" t="s">
        <v>547</v>
      </c>
      <c r="H236" s="12">
        <f>0.74+0.0507</f>
        <v>0.79069999999999996</v>
      </c>
      <c r="I236" s="9">
        <f>(0.87*0.74+0.59*0.0507)/$H236</f>
        <v>0.85204628809915273</v>
      </c>
      <c r="J236" s="9">
        <f>(9.48*0.74+6.49*0.0507)/$H236</f>
        <v>9.2882800050588106</v>
      </c>
      <c r="K236" s="13">
        <f>(158.88*0.74+68.3*0.0507)/$H236</f>
        <v>153.07197420007589</v>
      </c>
      <c r="L236" s="9">
        <f>(0.87*0.74+0.49*0.0507)/$H236</f>
        <v>0.84563424813456434</v>
      </c>
      <c r="M236" s="9">
        <f>(4.99*0.74+2.11*0.0507)/$H236</f>
        <v>4.8053332490198564</v>
      </c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9">
        <f t="shared" si="0"/>
        <v>6.73713E-3</v>
      </c>
      <c r="AB236" s="9">
        <f t="shared" si="1"/>
        <v>7.3442430000000017E-2</v>
      </c>
      <c r="AC236" s="10">
        <f t="shared" si="2"/>
        <v>121.03400999999999</v>
      </c>
      <c r="AD236" s="10">
        <f t="shared" si="3"/>
        <v>3.7995770000000002</v>
      </c>
      <c r="AE236" s="9">
        <f t="shared" si="4"/>
        <v>6.6864300000000002E-3</v>
      </c>
      <c r="AF236" s="9">
        <f t="shared" si="5"/>
        <v>8.6865990000000004E-2</v>
      </c>
      <c r="AG236" s="9">
        <f t="shared" si="6"/>
        <v>10.985960541292528</v>
      </c>
      <c r="AH236" s="11">
        <f t="shared" si="23"/>
        <v>0.67371300000000001</v>
      </c>
      <c r="AI236" s="11">
        <f t="shared" si="23"/>
        <v>7.3442430000000014</v>
      </c>
      <c r="AJ236" s="11">
        <f t="shared" si="23"/>
        <v>121.03400999999999</v>
      </c>
      <c r="AK236" s="11">
        <f t="shared" si="23"/>
        <v>0.66864299999999999</v>
      </c>
      <c r="AL236" s="11">
        <f t="shared" si="23"/>
        <v>3.7995770000000002</v>
      </c>
      <c r="AM236" s="2"/>
      <c r="AN236" s="2"/>
      <c r="AO236" s="2"/>
    </row>
    <row r="237" spans="1:41" x14ac:dyDescent="0.2">
      <c r="A237" s="2" t="s">
        <v>548</v>
      </c>
      <c r="B237" s="2" t="s">
        <v>427</v>
      </c>
      <c r="C237" s="2" t="s">
        <v>48</v>
      </c>
      <c r="D237" s="2"/>
      <c r="E237" s="2" t="s">
        <v>50</v>
      </c>
      <c r="F237" s="2" t="s">
        <v>58</v>
      </c>
      <c r="G237" s="2" t="s">
        <v>549</v>
      </c>
      <c r="H237" s="12">
        <v>0.58796099999999996</v>
      </c>
      <c r="I237" s="2"/>
      <c r="J237" s="2">
        <v>7.63</v>
      </c>
      <c r="K237" s="2"/>
      <c r="L237" s="2">
        <v>0.35</v>
      </c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9">
        <f t="shared" si="0"/>
        <v>0</v>
      </c>
      <c r="AB237" s="9">
        <f t="shared" si="1"/>
        <v>4.4861424299999994E-2</v>
      </c>
      <c r="AC237" s="10">
        <f t="shared" si="2"/>
        <v>0</v>
      </c>
      <c r="AD237" s="10">
        <f t="shared" si="3"/>
        <v>0</v>
      </c>
      <c r="AE237" s="9">
        <f t="shared" si="4"/>
        <v>2.0578634999999998E-3</v>
      </c>
      <c r="AF237" s="9">
        <f t="shared" si="5"/>
        <v>4.6919287799999994E-2</v>
      </c>
      <c r="AG237" s="9">
        <f t="shared" si="6"/>
        <v>7.9799999999999995</v>
      </c>
      <c r="AH237" s="11">
        <f t="shared" si="23"/>
        <v>0</v>
      </c>
      <c r="AI237" s="11">
        <f t="shared" si="23"/>
        <v>4.4861424299999992</v>
      </c>
      <c r="AJ237" s="11">
        <f t="shared" si="23"/>
        <v>0</v>
      </c>
      <c r="AK237" s="11">
        <f t="shared" si="23"/>
        <v>0.20578634999999998</v>
      </c>
      <c r="AL237" s="11">
        <f t="shared" si="23"/>
        <v>0</v>
      </c>
      <c r="AM237" s="2"/>
      <c r="AN237" s="2"/>
      <c r="AO237" s="2"/>
    </row>
    <row r="238" spans="1:41" x14ac:dyDescent="0.2">
      <c r="A238" s="2" t="s">
        <v>550</v>
      </c>
      <c r="B238" s="2" t="s">
        <v>427</v>
      </c>
      <c r="C238" s="2" t="s">
        <v>38</v>
      </c>
      <c r="D238" s="2" t="s">
        <v>62</v>
      </c>
      <c r="E238" s="7" t="s">
        <v>40</v>
      </c>
      <c r="F238" s="2" t="s">
        <v>41</v>
      </c>
      <c r="G238" s="8" t="s">
        <v>461</v>
      </c>
      <c r="H238" s="9">
        <f>57.6-53.183</f>
        <v>4.4170000000000016</v>
      </c>
      <c r="I238" s="13">
        <f>(3.4*57.6-3.4*53.183)/$H238</f>
        <v>3.4000000000000039</v>
      </c>
      <c r="J238" s="13">
        <f>(5.7*57.6-5*53.183)/$H238</f>
        <v>14.12836767036449</v>
      </c>
      <c r="K238" s="14">
        <f>(36*57.6-33*53.183)/$H238</f>
        <v>72.121575730133529</v>
      </c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9">
        <f t="shared" si="0"/>
        <v>0.15017800000000023</v>
      </c>
      <c r="AB238" s="9">
        <f t="shared" si="1"/>
        <v>0.62404999999999977</v>
      </c>
      <c r="AC238" s="10">
        <f t="shared" si="2"/>
        <v>318.56099999999992</v>
      </c>
      <c r="AD238" s="10">
        <f t="shared" si="3"/>
        <v>0</v>
      </c>
      <c r="AE238" s="9">
        <f t="shared" si="4"/>
        <v>0</v>
      </c>
      <c r="AF238" s="9">
        <f t="shared" si="5"/>
        <v>0.77422800000000003</v>
      </c>
      <c r="AG238" s="9">
        <f t="shared" si="6"/>
        <v>17.528367670364496</v>
      </c>
      <c r="AH238" s="11">
        <f t="shared" si="23"/>
        <v>15.017800000000022</v>
      </c>
      <c r="AI238" s="11">
        <f t="shared" si="23"/>
        <v>62.404999999999973</v>
      </c>
      <c r="AJ238" s="11">
        <f t="shared" si="23"/>
        <v>318.56099999999992</v>
      </c>
      <c r="AK238" s="11">
        <f t="shared" si="23"/>
        <v>0</v>
      </c>
      <c r="AL238" s="11">
        <f t="shared" si="23"/>
        <v>0</v>
      </c>
      <c r="AM238" s="2"/>
      <c r="AN238" s="2"/>
      <c r="AO238" s="2"/>
    </row>
    <row r="239" spans="1:41" x14ac:dyDescent="0.2">
      <c r="A239" s="2" t="s">
        <v>551</v>
      </c>
      <c r="B239" s="2" t="s">
        <v>427</v>
      </c>
      <c r="C239" s="2" t="s">
        <v>48</v>
      </c>
      <c r="D239" s="2"/>
      <c r="E239" s="2" t="s">
        <v>50</v>
      </c>
      <c r="F239" s="2" t="s">
        <v>41</v>
      </c>
      <c r="G239" s="2" t="s">
        <v>552</v>
      </c>
      <c r="H239" s="2">
        <v>0.05</v>
      </c>
      <c r="I239" s="13">
        <v>1</v>
      </c>
      <c r="J239" s="2">
        <v>7.1</v>
      </c>
      <c r="K239" s="2">
        <v>130</v>
      </c>
      <c r="L239" s="2">
        <v>4.7</v>
      </c>
      <c r="M239" s="13">
        <v>2</v>
      </c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9">
        <f t="shared" si="0"/>
        <v>5.0000000000000001E-4</v>
      </c>
      <c r="AB239" s="9">
        <f t="shared" si="1"/>
        <v>3.5499999999999998E-3</v>
      </c>
      <c r="AC239" s="10">
        <f t="shared" si="2"/>
        <v>6.5</v>
      </c>
      <c r="AD239" s="10">
        <f t="shared" si="3"/>
        <v>0.1</v>
      </c>
      <c r="AE239" s="9">
        <f t="shared" si="4"/>
        <v>2.3500000000000001E-3</v>
      </c>
      <c r="AF239" s="9">
        <f t="shared" si="5"/>
        <v>6.3999999999999994E-3</v>
      </c>
      <c r="AG239" s="9">
        <f t="shared" si="6"/>
        <v>12.8</v>
      </c>
      <c r="AH239" s="11">
        <f t="shared" si="23"/>
        <v>0.05</v>
      </c>
      <c r="AI239" s="11">
        <f t="shared" si="23"/>
        <v>0.35499999999999998</v>
      </c>
      <c r="AJ239" s="11">
        <f t="shared" si="23"/>
        <v>6.5</v>
      </c>
      <c r="AK239" s="11">
        <f t="shared" si="23"/>
        <v>0.23500000000000001</v>
      </c>
      <c r="AL239" s="11">
        <f t="shared" si="23"/>
        <v>0.1</v>
      </c>
      <c r="AM239" s="2"/>
      <c r="AN239" s="2"/>
      <c r="AO239" s="2"/>
    </row>
    <row r="240" spans="1:41" x14ac:dyDescent="0.2">
      <c r="A240" s="2" t="s">
        <v>553</v>
      </c>
      <c r="B240" s="2" t="s">
        <v>427</v>
      </c>
      <c r="C240" s="2" t="s">
        <v>38</v>
      </c>
      <c r="D240" s="2" t="s">
        <v>62</v>
      </c>
      <c r="E240" s="7" t="s">
        <v>40</v>
      </c>
      <c r="F240" s="2" t="s">
        <v>554</v>
      </c>
      <c r="G240" s="2" t="s">
        <v>555</v>
      </c>
      <c r="H240" s="12">
        <v>0.58054399999999995</v>
      </c>
      <c r="I240" s="2">
        <v>1.34</v>
      </c>
      <c r="J240" s="2">
        <v>2.2200000000000002</v>
      </c>
      <c r="K240" s="2">
        <v>342</v>
      </c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9">
        <f t="shared" si="0"/>
        <v>7.7792896000000002E-3</v>
      </c>
      <c r="AB240" s="9">
        <f t="shared" si="1"/>
        <v>1.2888076799999999E-2</v>
      </c>
      <c r="AC240" s="10">
        <f t="shared" si="2"/>
        <v>198.54604799999998</v>
      </c>
      <c r="AD240" s="10">
        <f t="shared" si="3"/>
        <v>0</v>
      </c>
      <c r="AE240" s="9">
        <f t="shared" si="4"/>
        <v>0</v>
      </c>
      <c r="AF240" s="9">
        <f t="shared" si="5"/>
        <v>2.0667366399999998E-2</v>
      </c>
      <c r="AG240" s="9">
        <f t="shared" si="6"/>
        <v>3.5600000000000005</v>
      </c>
      <c r="AH240" s="11">
        <f t="shared" si="23"/>
        <v>0.77792896</v>
      </c>
      <c r="AI240" s="11">
        <f t="shared" si="23"/>
        <v>1.2888076799999999</v>
      </c>
      <c r="AJ240" s="11">
        <f t="shared" si="23"/>
        <v>198.54604799999998</v>
      </c>
      <c r="AK240" s="11">
        <f t="shared" si="23"/>
        <v>0</v>
      </c>
      <c r="AL240" s="11">
        <f t="shared" si="23"/>
        <v>0</v>
      </c>
      <c r="AM240" s="2"/>
      <c r="AN240" s="2"/>
      <c r="AO240" s="2"/>
    </row>
    <row r="241" spans="1:41" x14ac:dyDescent="0.2">
      <c r="A241" s="2" t="s">
        <v>556</v>
      </c>
      <c r="B241" s="2" t="s">
        <v>427</v>
      </c>
      <c r="C241" s="2" t="s">
        <v>38</v>
      </c>
      <c r="D241" s="2" t="s">
        <v>39</v>
      </c>
      <c r="E241" s="7" t="s">
        <v>40</v>
      </c>
      <c r="F241" s="2" t="s">
        <v>557</v>
      </c>
      <c r="G241" s="8" t="s">
        <v>544</v>
      </c>
      <c r="H241" s="2">
        <v>50</v>
      </c>
      <c r="I241" s="2">
        <v>0.2</v>
      </c>
      <c r="J241" s="2">
        <v>4.7</v>
      </c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9">
        <f t="shared" si="0"/>
        <v>0.1</v>
      </c>
      <c r="AB241" s="9">
        <f t="shared" si="1"/>
        <v>2.35</v>
      </c>
      <c r="AC241" s="10">
        <f t="shared" si="2"/>
        <v>0</v>
      </c>
      <c r="AD241" s="10">
        <f t="shared" si="3"/>
        <v>0</v>
      </c>
      <c r="AE241" s="9">
        <f t="shared" si="4"/>
        <v>0</v>
      </c>
      <c r="AF241" s="9">
        <f t="shared" si="5"/>
        <v>2.4500000000000002</v>
      </c>
      <c r="AG241" s="9">
        <f t="shared" si="6"/>
        <v>4.9000000000000004</v>
      </c>
      <c r="AH241" s="11">
        <f t="shared" si="23"/>
        <v>10</v>
      </c>
      <c r="AI241" s="11">
        <f t="shared" si="23"/>
        <v>235</v>
      </c>
      <c r="AJ241" s="11">
        <f t="shared" si="23"/>
        <v>0</v>
      </c>
      <c r="AK241" s="11">
        <f t="shared" si="23"/>
        <v>0</v>
      </c>
      <c r="AL241" s="11">
        <f t="shared" si="23"/>
        <v>0</v>
      </c>
      <c r="AM241" s="2"/>
      <c r="AN241" s="2"/>
      <c r="AO241" s="2"/>
    </row>
    <row r="242" spans="1:41" x14ac:dyDescent="0.2">
      <c r="A242" s="2" t="s">
        <v>558</v>
      </c>
      <c r="B242" s="2" t="s">
        <v>427</v>
      </c>
      <c r="C242" s="2" t="s">
        <v>48</v>
      </c>
      <c r="D242" s="2"/>
      <c r="E242" s="7" t="s">
        <v>40</v>
      </c>
      <c r="F242" s="2" t="s">
        <v>559</v>
      </c>
      <c r="G242" s="2" t="s">
        <v>560</v>
      </c>
      <c r="H242" s="12">
        <v>2.6308799999999999</v>
      </c>
      <c r="I242" s="2">
        <v>0.53</v>
      </c>
      <c r="J242" s="2">
        <v>3.67</v>
      </c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9">
        <f t="shared" si="0"/>
        <v>1.3943664E-2</v>
      </c>
      <c r="AB242" s="9">
        <f t="shared" si="1"/>
        <v>9.6553295999999997E-2</v>
      </c>
      <c r="AC242" s="10">
        <f t="shared" si="2"/>
        <v>0</v>
      </c>
      <c r="AD242" s="10">
        <f t="shared" si="3"/>
        <v>0</v>
      </c>
      <c r="AE242" s="9">
        <f t="shared" si="4"/>
        <v>0</v>
      </c>
      <c r="AF242" s="9">
        <f t="shared" si="5"/>
        <v>0.11049695999999999</v>
      </c>
      <c r="AG242" s="9">
        <f t="shared" si="6"/>
        <v>4.2</v>
      </c>
      <c r="AH242" s="11">
        <f t="shared" ref="AH242:AL257" si="24">$H242*I242</f>
        <v>1.3943664</v>
      </c>
      <c r="AI242" s="11">
        <f t="shared" si="24"/>
        <v>9.6553296</v>
      </c>
      <c r="AJ242" s="11">
        <f t="shared" si="24"/>
        <v>0</v>
      </c>
      <c r="AK242" s="11">
        <f t="shared" si="24"/>
        <v>0</v>
      </c>
      <c r="AL242" s="11">
        <f t="shared" si="24"/>
        <v>0</v>
      </c>
      <c r="AM242" s="2"/>
      <c r="AN242" s="2"/>
      <c r="AO242" s="2"/>
    </row>
    <row r="243" spans="1:41" x14ac:dyDescent="0.2">
      <c r="A243" s="2" t="s">
        <v>561</v>
      </c>
      <c r="B243" s="2" t="s">
        <v>427</v>
      </c>
      <c r="C243" s="2" t="s">
        <v>38</v>
      </c>
      <c r="D243" s="2" t="s">
        <v>39</v>
      </c>
      <c r="E243" s="2" t="s">
        <v>50</v>
      </c>
      <c r="F243" s="2" t="s">
        <v>41</v>
      </c>
      <c r="G243" s="2" t="s">
        <v>500</v>
      </c>
      <c r="H243" s="12">
        <v>2.494758</v>
      </c>
      <c r="I243" s="2"/>
      <c r="J243" s="2">
        <v>11</v>
      </c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9">
        <f t="shared" si="0"/>
        <v>0</v>
      </c>
      <c r="AB243" s="9">
        <f t="shared" si="1"/>
        <v>0.27442337999999999</v>
      </c>
      <c r="AC243" s="10">
        <f t="shared" si="2"/>
        <v>0</v>
      </c>
      <c r="AD243" s="10">
        <f t="shared" si="3"/>
        <v>0</v>
      </c>
      <c r="AE243" s="9">
        <f t="shared" si="4"/>
        <v>0</v>
      </c>
      <c r="AF243" s="9">
        <f t="shared" si="5"/>
        <v>0.27442337999999999</v>
      </c>
      <c r="AG243" s="9">
        <f t="shared" si="6"/>
        <v>11</v>
      </c>
      <c r="AH243" s="11">
        <f t="shared" si="24"/>
        <v>0</v>
      </c>
      <c r="AI243" s="11">
        <f t="shared" si="24"/>
        <v>27.442337999999999</v>
      </c>
      <c r="AJ243" s="11">
        <f t="shared" si="24"/>
        <v>0</v>
      </c>
      <c r="AK243" s="11">
        <f t="shared" si="24"/>
        <v>0</v>
      </c>
      <c r="AL243" s="11">
        <f t="shared" si="24"/>
        <v>0</v>
      </c>
      <c r="AM243" s="2"/>
      <c r="AN243" s="2"/>
      <c r="AO243" s="2"/>
    </row>
    <row r="244" spans="1:41" x14ac:dyDescent="0.2">
      <c r="A244" s="2" t="s">
        <v>562</v>
      </c>
      <c r="B244" s="2" t="s">
        <v>427</v>
      </c>
      <c r="C244" s="2" t="s">
        <v>48</v>
      </c>
      <c r="D244" s="2"/>
      <c r="E244" s="2" t="s">
        <v>50</v>
      </c>
      <c r="F244" s="2" t="s">
        <v>563</v>
      </c>
      <c r="G244" s="2" t="s">
        <v>500</v>
      </c>
      <c r="H244" s="2">
        <v>1.5</v>
      </c>
      <c r="I244" s="2">
        <v>3.1</v>
      </c>
      <c r="J244" s="2">
        <v>6.4</v>
      </c>
      <c r="K244" s="2">
        <v>90</v>
      </c>
      <c r="L244" s="2">
        <v>0.1</v>
      </c>
      <c r="M244" s="2">
        <v>2</v>
      </c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9">
        <f t="shared" si="0"/>
        <v>4.6500000000000007E-2</v>
      </c>
      <c r="AB244" s="9">
        <f t="shared" si="1"/>
        <v>9.6000000000000016E-2</v>
      </c>
      <c r="AC244" s="10">
        <f t="shared" si="2"/>
        <v>135</v>
      </c>
      <c r="AD244" s="10">
        <f t="shared" si="3"/>
        <v>3</v>
      </c>
      <c r="AE244" s="9">
        <f t="shared" si="4"/>
        <v>1.5000000000000002E-3</v>
      </c>
      <c r="AF244" s="9">
        <f t="shared" si="5"/>
        <v>0.14400000000000002</v>
      </c>
      <c r="AG244" s="9">
        <f t="shared" si="6"/>
        <v>9.6</v>
      </c>
      <c r="AH244" s="11">
        <f t="shared" si="24"/>
        <v>4.6500000000000004</v>
      </c>
      <c r="AI244" s="11">
        <f t="shared" si="24"/>
        <v>9.6000000000000014</v>
      </c>
      <c r="AJ244" s="11">
        <f t="shared" si="24"/>
        <v>135</v>
      </c>
      <c r="AK244" s="11">
        <f t="shared" si="24"/>
        <v>0.15000000000000002</v>
      </c>
      <c r="AL244" s="11">
        <f t="shared" si="24"/>
        <v>3</v>
      </c>
      <c r="AM244" s="2"/>
      <c r="AN244" s="2"/>
      <c r="AO244" s="2"/>
    </row>
    <row r="245" spans="1:41" x14ac:dyDescent="0.2">
      <c r="A245" s="2" t="s">
        <v>564</v>
      </c>
      <c r="B245" s="2" t="s">
        <v>427</v>
      </c>
      <c r="C245" s="2" t="s">
        <v>187</v>
      </c>
      <c r="D245" s="2"/>
      <c r="E245" s="7" t="s">
        <v>40</v>
      </c>
      <c r="F245" s="2" t="s">
        <v>41</v>
      </c>
      <c r="G245" s="2" t="s">
        <v>438</v>
      </c>
      <c r="H245" s="12">
        <v>7.0487999999999995E-2</v>
      </c>
      <c r="I245" s="2">
        <v>2.1</v>
      </c>
      <c r="J245" s="2"/>
      <c r="K245" s="2">
        <v>342.8</v>
      </c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9">
        <f t="shared" si="0"/>
        <v>1.4802479999999998E-3</v>
      </c>
      <c r="AB245" s="9">
        <f t="shared" si="1"/>
        <v>0</v>
      </c>
      <c r="AC245" s="10">
        <f t="shared" si="2"/>
        <v>24.1632864</v>
      </c>
      <c r="AD245" s="10">
        <f t="shared" si="3"/>
        <v>0</v>
      </c>
      <c r="AE245" s="9">
        <f t="shared" si="4"/>
        <v>0</v>
      </c>
      <c r="AF245" s="9">
        <f t="shared" si="5"/>
        <v>1.4802479999999998E-3</v>
      </c>
      <c r="AG245" s="9">
        <f t="shared" si="6"/>
        <v>2.1</v>
      </c>
      <c r="AH245" s="11">
        <f t="shared" si="24"/>
        <v>0.14802479999999998</v>
      </c>
      <c r="AI245" s="11">
        <f t="shared" si="24"/>
        <v>0</v>
      </c>
      <c r="AJ245" s="11">
        <f t="shared" si="24"/>
        <v>24.1632864</v>
      </c>
      <c r="AK245" s="11">
        <f t="shared" si="24"/>
        <v>0</v>
      </c>
      <c r="AL245" s="11">
        <f t="shared" si="24"/>
        <v>0</v>
      </c>
      <c r="AM245" s="2"/>
      <c r="AN245" s="2"/>
      <c r="AO245" s="2"/>
    </row>
    <row r="246" spans="1:41" x14ac:dyDescent="0.2">
      <c r="A246" s="2" t="s">
        <v>565</v>
      </c>
      <c r="B246" s="2" t="s">
        <v>427</v>
      </c>
      <c r="C246" s="2" t="s">
        <v>38</v>
      </c>
      <c r="D246" s="2" t="s">
        <v>62</v>
      </c>
      <c r="E246" s="2" t="s">
        <v>50</v>
      </c>
      <c r="F246" s="2" t="s">
        <v>41</v>
      </c>
      <c r="G246" s="2" t="s">
        <v>500</v>
      </c>
      <c r="H246" s="2">
        <v>17.239999999999998</v>
      </c>
      <c r="I246" s="2">
        <v>4.8499999999999996</v>
      </c>
      <c r="J246" s="2">
        <v>6.39</v>
      </c>
      <c r="K246" s="2">
        <v>71.599999999999994</v>
      </c>
      <c r="L246" s="2"/>
      <c r="M246" s="2">
        <v>0.75</v>
      </c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9">
        <f t="shared" si="0"/>
        <v>0.83613999999999988</v>
      </c>
      <c r="AB246" s="9">
        <f t="shared" si="1"/>
        <v>1.1016359999999998</v>
      </c>
      <c r="AC246" s="10">
        <f t="shared" si="2"/>
        <v>1234.3839999999998</v>
      </c>
      <c r="AD246" s="10">
        <f t="shared" si="3"/>
        <v>12.93</v>
      </c>
      <c r="AE246" s="9">
        <f t="shared" si="4"/>
        <v>0</v>
      </c>
      <c r="AF246" s="9">
        <f t="shared" si="5"/>
        <v>1.9377759999999997</v>
      </c>
      <c r="AG246" s="9">
        <f t="shared" si="6"/>
        <v>11.239999999999998</v>
      </c>
      <c r="AH246" s="11">
        <f t="shared" si="24"/>
        <v>83.61399999999999</v>
      </c>
      <c r="AI246" s="11">
        <f t="shared" si="24"/>
        <v>110.16359999999999</v>
      </c>
      <c r="AJ246" s="11">
        <f t="shared" si="24"/>
        <v>1234.3839999999998</v>
      </c>
      <c r="AK246" s="11">
        <f t="shared" si="24"/>
        <v>0</v>
      </c>
      <c r="AL246" s="11">
        <f t="shared" si="24"/>
        <v>12.93</v>
      </c>
      <c r="AM246" s="2"/>
      <c r="AN246" s="2"/>
      <c r="AO246" s="2"/>
    </row>
    <row r="247" spans="1:41" x14ac:dyDescent="0.2">
      <c r="A247" s="2" t="s">
        <v>566</v>
      </c>
      <c r="B247" s="2" t="s">
        <v>427</v>
      </c>
      <c r="C247" s="2" t="s">
        <v>187</v>
      </c>
      <c r="D247" s="2"/>
      <c r="E247" s="7" t="s">
        <v>40</v>
      </c>
      <c r="F247" s="2" t="s">
        <v>567</v>
      </c>
      <c r="G247" s="2" t="s">
        <v>500</v>
      </c>
      <c r="H247" s="12">
        <v>0.20094999999999999</v>
      </c>
      <c r="I247" s="2">
        <v>3.18</v>
      </c>
      <c r="J247" s="2">
        <v>4.01</v>
      </c>
      <c r="K247" s="9">
        <v>91.89</v>
      </c>
      <c r="L247" s="9"/>
      <c r="M247" s="9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9">
        <f t="shared" si="0"/>
        <v>6.3902099999999995E-3</v>
      </c>
      <c r="AB247" s="9">
        <f t="shared" si="1"/>
        <v>8.0580949999999995E-3</v>
      </c>
      <c r="AC247" s="10">
        <f t="shared" si="2"/>
        <v>18.4652955</v>
      </c>
      <c r="AD247" s="10">
        <f t="shared" si="3"/>
        <v>0</v>
      </c>
      <c r="AE247" s="9">
        <f t="shared" si="4"/>
        <v>0</v>
      </c>
      <c r="AF247" s="9">
        <f t="shared" si="5"/>
        <v>1.4448304999999998E-2</v>
      </c>
      <c r="AG247" s="9">
        <f t="shared" si="6"/>
        <v>7.1899999999999995</v>
      </c>
      <c r="AH247" s="11">
        <f t="shared" si="24"/>
        <v>0.63902099999999995</v>
      </c>
      <c r="AI247" s="11">
        <f t="shared" si="24"/>
        <v>0.80580949999999996</v>
      </c>
      <c r="AJ247" s="11">
        <f t="shared" si="24"/>
        <v>18.4652955</v>
      </c>
      <c r="AK247" s="11">
        <f t="shared" si="24"/>
        <v>0</v>
      </c>
      <c r="AL247" s="11">
        <f t="shared" si="24"/>
        <v>0</v>
      </c>
      <c r="AM247" s="2"/>
      <c r="AN247" s="2"/>
      <c r="AO247" s="2"/>
    </row>
    <row r="248" spans="1:41" x14ac:dyDescent="0.2">
      <c r="A248" s="2" t="s">
        <v>568</v>
      </c>
      <c r="B248" s="2" t="s">
        <v>427</v>
      </c>
      <c r="C248" s="2" t="s">
        <v>38</v>
      </c>
      <c r="D248" s="2" t="s">
        <v>62</v>
      </c>
      <c r="E248" s="2" t="s">
        <v>50</v>
      </c>
      <c r="F248" s="2" t="s">
        <v>41</v>
      </c>
      <c r="G248" s="2" t="s">
        <v>500</v>
      </c>
      <c r="H248" s="2">
        <f>1.589+17.06</f>
        <v>18.648999999999997</v>
      </c>
      <c r="I248" s="9">
        <f>(3.56*1.589+2.6*17.06)/$H248</f>
        <v>2.6817974154110145</v>
      </c>
      <c r="J248" s="9">
        <f>(5.34*1.589+4.34*17.06)/$H248</f>
        <v>4.4252056410531395</v>
      </c>
      <c r="K248" s="14">
        <f>(58*1.589+44*17.06)/$H248</f>
        <v>45.192878974743962</v>
      </c>
      <c r="L248" s="2"/>
      <c r="M248" s="9">
        <f>(0.83*1.589+0.74*17.06)/$H248</f>
        <v>0.74766850769478266</v>
      </c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9">
        <f t="shared" si="0"/>
        <v>0.50012840000000003</v>
      </c>
      <c r="AB248" s="9">
        <f t="shared" si="1"/>
        <v>0.8252565999999999</v>
      </c>
      <c r="AC248" s="10">
        <f t="shared" si="2"/>
        <v>842.80200000000002</v>
      </c>
      <c r="AD248" s="10">
        <f t="shared" si="3"/>
        <v>13.94327</v>
      </c>
      <c r="AE248" s="9">
        <f t="shared" si="4"/>
        <v>0</v>
      </c>
      <c r="AF248" s="9">
        <f t="shared" si="5"/>
        <v>1.3253849999999998</v>
      </c>
      <c r="AG248" s="9">
        <f t="shared" si="6"/>
        <v>7.107003056464154</v>
      </c>
      <c r="AH248" s="11">
        <f t="shared" si="24"/>
        <v>50.012840000000004</v>
      </c>
      <c r="AI248" s="11">
        <f t="shared" si="24"/>
        <v>82.525659999999988</v>
      </c>
      <c r="AJ248" s="11">
        <f t="shared" si="24"/>
        <v>842.80200000000002</v>
      </c>
      <c r="AK248" s="11">
        <f t="shared" si="24"/>
        <v>0</v>
      </c>
      <c r="AL248" s="11">
        <f t="shared" si="24"/>
        <v>13.94327</v>
      </c>
      <c r="AM248" s="2"/>
      <c r="AN248" s="2"/>
      <c r="AO248" s="2"/>
    </row>
    <row r="249" spans="1:41" x14ac:dyDescent="0.2">
      <c r="A249" s="2" t="s">
        <v>569</v>
      </c>
      <c r="B249" s="2" t="s">
        <v>427</v>
      </c>
      <c r="C249" s="2" t="s">
        <v>38</v>
      </c>
      <c r="D249" s="2" t="s">
        <v>62</v>
      </c>
      <c r="E249" s="7" t="s">
        <v>40</v>
      </c>
      <c r="F249" s="2" t="s">
        <v>41</v>
      </c>
      <c r="G249" s="8" t="s">
        <v>44</v>
      </c>
      <c r="H249" s="2">
        <v>6.45</v>
      </c>
      <c r="I249" s="2">
        <v>0.77</v>
      </c>
      <c r="J249" s="2">
        <v>4.0999999999999996</v>
      </c>
      <c r="K249" s="2">
        <v>4.8</v>
      </c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9">
        <f t="shared" si="0"/>
        <v>4.9665000000000001E-2</v>
      </c>
      <c r="AB249" s="9">
        <f t="shared" si="1"/>
        <v>0.26444999999999996</v>
      </c>
      <c r="AC249" s="10">
        <f t="shared" si="2"/>
        <v>30.96</v>
      </c>
      <c r="AD249" s="10">
        <f t="shared" si="3"/>
        <v>0</v>
      </c>
      <c r="AE249" s="9">
        <f t="shared" si="4"/>
        <v>0</v>
      </c>
      <c r="AF249" s="9">
        <f t="shared" si="5"/>
        <v>0.31411499999999998</v>
      </c>
      <c r="AG249" s="9">
        <f t="shared" si="6"/>
        <v>4.8699999999999992</v>
      </c>
      <c r="AH249" s="11">
        <f t="shared" si="24"/>
        <v>4.9664999999999999</v>
      </c>
      <c r="AI249" s="11">
        <f t="shared" si="24"/>
        <v>26.444999999999997</v>
      </c>
      <c r="AJ249" s="11">
        <f t="shared" si="24"/>
        <v>30.96</v>
      </c>
      <c r="AK249" s="11">
        <f t="shared" si="24"/>
        <v>0</v>
      </c>
      <c r="AL249" s="11">
        <f t="shared" si="24"/>
        <v>0</v>
      </c>
      <c r="AM249" s="2"/>
      <c r="AN249" s="2"/>
      <c r="AO249" s="2"/>
    </row>
    <row r="250" spans="1:41" x14ac:dyDescent="0.2">
      <c r="A250" s="2" t="s">
        <v>570</v>
      </c>
      <c r="B250" s="2" t="s">
        <v>427</v>
      </c>
      <c r="C250" s="2" t="s">
        <v>48</v>
      </c>
      <c r="D250" s="2"/>
      <c r="E250" s="2" t="s">
        <v>50</v>
      </c>
      <c r="F250" s="2" t="s">
        <v>63</v>
      </c>
      <c r="G250" s="2" t="s">
        <v>64</v>
      </c>
      <c r="H250" s="2">
        <f>27+60</f>
        <v>87</v>
      </c>
      <c r="I250" s="13">
        <f>(0.6*27+0.5*60)/$H250</f>
        <v>0.53103448275862075</v>
      </c>
      <c r="J250" s="13">
        <f>(4.5*27+3.5*60)/$H250</f>
        <v>3.8103448275862069</v>
      </c>
      <c r="K250" s="14">
        <f>(130*27+150*60)/$H250</f>
        <v>143.79310344827587</v>
      </c>
      <c r="L250" s="13">
        <f>(0.5*27+0.4*60)/$H250</f>
        <v>0.43103448275862066</v>
      </c>
      <c r="M250" s="13">
        <f>(0.3*27+0.2*60)/$H250</f>
        <v>0.23103448275862071</v>
      </c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9">
        <f t="shared" si="0"/>
        <v>0.46200000000000002</v>
      </c>
      <c r="AB250" s="9">
        <f t="shared" si="1"/>
        <v>3.3149999999999999</v>
      </c>
      <c r="AC250" s="10">
        <f t="shared" si="2"/>
        <v>12510</v>
      </c>
      <c r="AD250" s="10">
        <f t="shared" si="3"/>
        <v>20.100000000000001</v>
      </c>
      <c r="AE250" s="9">
        <f t="shared" si="4"/>
        <v>0.375</v>
      </c>
      <c r="AF250" s="9">
        <f t="shared" si="5"/>
        <v>4.1520000000000001</v>
      </c>
      <c r="AG250" s="9">
        <f t="shared" si="6"/>
        <v>4.7724137931034489</v>
      </c>
      <c r="AH250" s="11">
        <f t="shared" si="24"/>
        <v>46.2</v>
      </c>
      <c r="AI250" s="11">
        <f t="shared" si="24"/>
        <v>331.5</v>
      </c>
      <c r="AJ250" s="11">
        <f t="shared" si="24"/>
        <v>12510</v>
      </c>
      <c r="AK250" s="11">
        <f t="shared" si="24"/>
        <v>37.5</v>
      </c>
      <c r="AL250" s="11">
        <f t="shared" si="24"/>
        <v>20.100000000000001</v>
      </c>
      <c r="AM250" s="2"/>
      <c r="AN250" s="2"/>
      <c r="AO250" s="2"/>
    </row>
    <row r="251" spans="1:41" x14ac:dyDescent="0.2">
      <c r="A251" s="2" t="s">
        <v>571</v>
      </c>
      <c r="B251" s="2" t="s">
        <v>427</v>
      </c>
      <c r="C251" s="2" t="s">
        <v>48</v>
      </c>
      <c r="D251" s="2"/>
      <c r="E251" s="2" t="s">
        <v>50</v>
      </c>
      <c r="F251" s="2" t="s">
        <v>487</v>
      </c>
      <c r="G251" s="2" t="s">
        <v>572</v>
      </c>
      <c r="H251" s="12">
        <f>6.2621+6.0782</f>
        <v>12.340299999999999</v>
      </c>
      <c r="I251" s="9">
        <f>(2.58*6.2621+1.83*6.0782)/$H251</f>
        <v>2.2105883973647322</v>
      </c>
      <c r="J251" s="9">
        <f>(8.13*6.2621+6.69*6.0782)/$H251</f>
        <v>7.4207297229402869</v>
      </c>
      <c r="K251" s="13">
        <f>(30.78*6.2621+20.51*6.0782)/$H251</f>
        <v>25.7215237879144</v>
      </c>
      <c r="L251" s="9">
        <f>(0.22*6.2621+0.14*6.0782)/$H251</f>
        <v>0.18059609571890475</v>
      </c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9">
        <f t="shared" si="0"/>
        <v>0.27279324000000005</v>
      </c>
      <c r="AB251" s="9">
        <f t="shared" si="1"/>
        <v>0.91574031000000022</v>
      </c>
      <c r="AC251" s="10">
        <f t="shared" si="2"/>
        <v>317.41132000000005</v>
      </c>
      <c r="AD251" s="10">
        <f t="shared" si="3"/>
        <v>0</v>
      </c>
      <c r="AE251" s="9">
        <f t="shared" si="4"/>
        <v>2.2286100000000003E-2</v>
      </c>
      <c r="AF251" s="9">
        <f t="shared" si="5"/>
        <v>1.2108196500000004</v>
      </c>
      <c r="AG251" s="9">
        <f t="shared" si="6"/>
        <v>9.8119142160239239</v>
      </c>
      <c r="AH251" s="11">
        <f t="shared" si="24"/>
        <v>27.279324000000003</v>
      </c>
      <c r="AI251" s="11">
        <f t="shared" si="24"/>
        <v>91.574031000000019</v>
      </c>
      <c r="AJ251" s="11">
        <f t="shared" si="24"/>
        <v>317.41132000000005</v>
      </c>
      <c r="AK251" s="11">
        <f t="shared" si="24"/>
        <v>2.2286100000000002</v>
      </c>
      <c r="AL251" s="11">
        <f t="shared" si="24"/>
        <v>0</v>
      </c>
      <c r="AM251" s="2"/>
      <c r="AN251" s="2"/>
      <c r="AO251" s="2"/>
    </row>
    <row r="252" spans="1:41" x14ac:dyDescent="0.2">
      <c r="A252" s="2" t="s">
        <v>573</v>
      </c>
      <c r="B252" s="2" t="s">
        <v>427</v>
      </c>
      <c r="C252" s="2" t="s">
        <v>48</v>
      </c>
      <c r="D252" s="2"/>
      <c r="E252" s="7" t="s">
        <v>40</v>
      </c>
      <c r="F252" s="2" t="s">
        <v>41</v>
      </c>
      <c r="G252" s="2" t="s">
        <v>500</v>
      </c>
      <c r="H252" s="12">
        <v>0.52384900000000001</v>
      </c>
      <c r="I252" s="2">
        <v>0.87</v>
      </c>
      <c r="J252" s="2">
        <v>3.65</v>
      </c>
      <c r="K252" s="2">
        <v>49.7</v>
      </c>
      <c r="L252" s="2">
        <v>1.45</v>
      </c>
      <c r="M252" s="2">
        <v>1.41</v>
      </c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9">
        <f t="shared" si="0"/>
        <v>4.5574863E-3</v>
      </c>
      <c r="AB252" s="9">
        <f t="shared" si="1"/>
        <v>1.9120488499999998E-2</v>
      </c>
      <c r="AC252" s="10">
        <f t="shared" si="2"/>
        <v>26.035295300000001</v>
      </c>
      <c r="AD252" s="10">
        <f t="shared" si="3"/>
        <v>0.73862708999999993</v>
      </c>
      <c r="AE252" s="9">
        <f t="shared" si="4"/>
        <v>7.5958104999999995E-3</v>
      </c>
      <c r="AF252" s="9">
        <f t="shared" si="5"/>
        <v>3.1273785299999995E-2</v>
      </c>
      <c r="AG252" s="9">
        <f t="shared" si="6"/>
        <v>5.97</v>
      </c>
      <c r="AH252" s="11">
        <f t="shared" si="24"/>
        <v>0.45574862999999999</v>
      </c>
      <c r="AI252" s="11">
        <f t="shared" si="24"/>
        <v>1.9120488499999999</v>
      </c>
      <c r="AJ252" s="11">
        <f t="shared" si="24"/>
        <v>26.035295300000001</v>
      </c>
      <c r="AK252" s="11">
        <f t="shared" si="24"/>
        <v>0.75958104999999998</v>
      </c>
      <c r="AL252" s="11">
        <f t="shared" si="24"/>
        <v>0.73862708999999993</v>
      </c>
      <c r="AM252" s="2"/>
      <c r="AN252" s="2"/>
      <c r="AO252" s="2"/>
    </row>
    <row r="253" spans="1:41" x14ac:dyDescent="0.2">
      <c r="A253" s="2" t="s">
        <v>574</v>
      </c>
      <c r="B253" s="2" t="s">
        <v>427</v>
      </c>
      <c r="C253" s="2" t="s">
        <v>48</v>
      </c>
      <c r="D253" s="2"/>
      <c r="E253" s="2" t="s">
        <v>50</v>
      </c>
      <c r="F253" s="2" t="s">
        <v>152</v>
      </c>
      <c r="G253" s="2" t="s">
        <v>56</v>
      </c>
      <c r="H253" s="2">
        <f>7.9+6</f>
        <v>13.9</v>
      </c>
      <c r="I253" s="13">
        <f>(0.3*7.9+0.4*6)/$H253</f>
        <v>0.34316546762589928</v>
      </c>
      <c r="J253" s="13">
        <f>(3.5*7.9+4.3*6)/$H253</f>
        <v>3.8453237410071943</v>
      </c>
      <c r="K253" s="14">
        <f>(83*7.9+84*6)/$H253</f>
        <v>83.431654676259001</v>
      </c>
      <c r="L253" s="13">
        <f>(3*7.9+1.8*6)/$H253</f>
        <v>2.4820143884892087</v>
      </c>
      <c r="M253" s="13">
        <f>(1.3*7.9+1.3*6)/$H253</f>
        <v>1.3</v>
      </c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9">
        <f t="shared" si="0"/>
        <v>4.7700000000000006E-2</v>
      </c>
      <c r="AB253" s="9">
        <f t="shared" si="1"/>
        <v>0.53449999999999998</v>
      </c>
      <c r="AC253" s="10">
        <f t="shared" si="2"/>
        <v>1159.7</v>
      </c>
      <c r="AD253" s="10">
        <f t="shared" si="3"/>
        <v>18.07</v>
      </c>
      <c r="AE253" s="9">
        <f t="shared" si="4"/>
        <v>0.34499999999999997</v>
      </c>
      <c r="AF253" s="9">
        <f t="shared" si="5"/>
        <v>0.92719999999999991</v>
      </c>
      <c r="AG253" s="9">
        <f t="shared" si="6"/>
        <v>6.6705035971223019</v>
      </c>
      <c r="AH253" s="11">
        <f t="shared" si="24"/>
        <v>4.7700000000000005</v>
      </c>
      <c r="AI253" s="11">
        <f t="shared" si="24"/>
        <v>53.45</v>
      </c>
      <c r="AJ253" s="11">
        <f t="shared" si="24"/>
        <v>1159.7</v>
      </c>
      <c r="AK253" s="11">
        <f t="shared" si="24"/>
        <v>34.5</v>
      </c>
      <c r="AL253" s="11">
        <f t="shared" si="24"/>
        <v>18.07</v>
      </c>
      <c r="AM253" s="2"/>
      <c r="AN253" s="2"/>
      <c r="AO253" s="2"/>
    </row>
    <row r="254" spans="1:41" x14ac:dyDescent="0.2">
      <c r="A254" s="2" t="s">
        <v>575</v>
      </c>
      <c r="B254" s="2" t="s">
        <v>427</v>
      </c>
      <c r="C254" s="2" t="s">
        <v>187</v>
      </c>
      <c r="D254" s="2"/>
      <c r="E254" s="7" t="s">
        <v>40</v>
      </c>
      <c r="F254" s="2" t="s">
        <v>41</v>
      </c>
      <c r="G254" s="2" t="s">
        <v>438</v>
      </c>
      <c r="H254" s="12">
        <v>3.6287E-2</v>
      </c>
      <c r="I254" s="2">
        <v>14.95</v>
      </c>
      <c r="J254" s="2">
        <v>20.78</v>
      </c>
      <c r="K254" s="2">
        <v>427.2</v>
      </c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9">
        <f t="shared" si="0"/>
        <v>5.4249064999999999E-3</v>
      </c>
      <c r="AB254" s="9">
        <f t="shared" si="1"/>
        <v>7.5404386000000002E-3</v>
      </c>
      <c r="AC254" s="10">
        <f t="shared" si="2"/>
        <v>15.5018064</v>
      </c>
      <c r="AD254" s="10">
        <f t="shared" si="3"/>
        <v>0</v>
      </c>
      <c r="AE254" s="9">
        <f t="shared" si="4"/>
        <v>0</v>
      </c>
      <c r="AF254" s="9">
        <f t="shared" si="5"/>
        <v>1.2965345100000001E-2</v>
      </c>
      <c r="AG254" s="9">
        <f t="shared" si="6"/>
        <v>35.730000000000004</v>
      </c>
      <c r="AH254" s="11">
        <f t="shared" si="24"/>
        <v>0.54249064999999996</v>
      </c>
      <c r="AI254" s="11">
        <f t="shared" si="24"/>
        <v>0.75404386000000001</v>
      </c>
      <c r="AJ254" s="11">
        <f t="shared" si="24"/>
        <v>15.5018064</v>
      </c>
      <c r="AK254" s="11">
        <f t="shared" si="24"/>
        <v>0</v>
      </c>
      <c r="AL254" s="11">
        <f t="shared" si="24"/>
        <v>0</v>
      </c>
      <c r="AM254" s="2"/>
      <c r="AN254" s="2"/>
      <c r="AO254" s="2"/>
    </row>
    <row r="255" spans="1:41" x14ac:dyDescent="0.2">
      <c r="A255" s="2" t="s">
        <v>576</v>
      </c>
      <c r="B255" s="2" t="s">
        <v>427</v>
      </c>
      <c r="C255" s="2" t="s">
        <v>48</v>
      </c>
      <c r="D255" s="2"/>
      <c r="E255" s="7" t="s">
        <v>40</v>
      </c>
      <c r="F255" s="2" t="s">
        <v>41</v>
      </c>
      <c r="G255" s="2" t="s">
        <v>438</v>
      </c>
      <c r="H255" s="12">
        <v>0.24990599999999999</v>
      </c>
      <c r="I255" s="2">
        <v>1.24</v>
      </c>
      <c r="J255" s="2">
        <v>2.19</v>
      </c>
      <c r="K255" s="2">
        <v>226.6</v>
      </c>
      <c r="L255" s="2">
        <v>0.28000000000000003</v>
      </c>
      <c r="M255" s="2">
        <v>0.57999999999999996</v>
      </c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9">
        <f t="shared" si="0"/>
        <v>3.0988344000000001E-3</v>
      </c>
      <c r="AB255" s="9">
        <f t="shared" si="1"/>
        <v>5.4729413999999995E-3</v>
      </c>
      <c r="AC255" s="10">
        <f t="shared" si="2"/>
        <v>56.628699599999997</v>
      </c>
      <c r="AD255" s="10">
        <f t="shared" si="3"/>
        <v>0.14494547999999999</v>
      </c>
      <c r="AE255" s="9">
        <f t="shared" si="4"/>
        <v>6.9973680000000012E-4</v>
      </c>
      <c r="AF255" s="9">
        <f t="shared" si="5"/>
        <v>9.2715126000000002E-3</v>
      </c>
      <c r="AG255" s="9">
        <f t="shared" si="6"/>
        <v>3.71</v>
      </c>
      <c r="AH255" s="11">
        <f t="shared" si="24"/>
        <v>0.30988344000000001</v>
      </c>
      <c r="AI255" s="11">
        <f t="shared" si="24"/>
        <v>0.54729413999999998</v>
      </c>
      <c r="AJ255" s="11">
        <f t="shared" si="24"/>
        <v>56.628699599999997</v>
      </c>
      <c r="AK255" s="11">
        <f t="shared" si="24"/>
        <v>6.997368000000001E-2</v>
      </c>
      <c r="AL255" s="11">
        <f t="shared" si="24"/>
        <v>0.14494547999999999</v>
      </c>
      <c r="AM255" s="2"/>
      <c r="AN255" s="2"/>
      <c r="AO255" s="2"/>
    </row>
    <row r="256" spans="1:41" x14ac:dyDescent="0.2">
      <c r="A256" s="2" t="s">
        <v>577</v>
      </c>
      <c r="B256" s="2" t="s">
        <v>427</v>
      </c>
      <c r="C256" s="2" t="s">
        <v>48</v>
      </c>
      <c r="D256" s="2"/>
      <c r="E256" s="2" t="s">
        <v>50</v>
      </c>
      <c r="F256" s="2" t="s">
        <v>578</v>
      </c>
      <c r="G256" s="2" t="s">
        <v>579</v>
      </c>
      <c r="H256" s="12">
        <v>67.617800000000003</v>
      </c>
      <c r="I256" s="2"/>
      <c r="J256" s="2">
        <v>0.72</v>
      </c>
      <c r="K256" s="2"/>
      <c r="L256" s="2">
        <v>0.17</v>
      </c>
      <c r="M256" s="2">
        <v>1.82</v>
      </c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9">
        <f t="shared" si="0"/>
        <v>0</v>
      </c>
      <c r="AB256" s="9">
        <f t="shared" si="1"/>
        <v>0.48684815999999997</v>
      </c>
      <c r="AC256" s="10">
        <f t="shared" si="2"/>
        <v>0</v>
      </c>
      <c r="AD256" s="10">
        <f t="shared" si="3"/>
        <v>123.064396</v>
      </c>
      <c r="AE256" s="9">
        <f t="shared" si="4"/>
        <v>0.11495026000000001</v>
      </c>
      <c r="AF256" s="9">
        <f t="shared" si="5"/>
        <v>0.60179841999999995</v>
      </c>
      <c r="AG256" s="9">
        <f t="shared" si="6"/>
        <v>0.89</v>
      </c>
      <c r="AH256" s="11">
        <f t="shared" si="24"/>
        <v>0</v>
      </c>
      <c r="AI256" s="11">
        <f t="shared" si="24"/>
        <v>48.684815999999998</v>
      </c>
      <c r="AJ256" s="11">
        <f t="shared" si="24"/>
        <v>0</v>
      </c>
      <c r="AK256" s="11">
        <f t="shared" si="24"/>
        <v>11.495026000000001</v>
      </c>
      <c r="AL256" s="11">
        <f t="shared" si="24"/>
        <v>123.064396</v>
      </c>
      <c r="AM256" s="2"/>
      <c r="AN256" s="2"/>
      <c r="AO256" s="2"/>
    </row>
    <row r="257" spans="1:41" x14ac:dyDescent="0.2">
      <c r="A257" s="2" t="s">
        <v>580</v>
      </c>
      <c r="B257" s="2" t="s">
        <v>427</v>
      </c>
      <c r="C257" s="2" t="s">
        <v>38</v>
      </c>
      <c r="D257" s="2" t="s">
        <v>62</v>
      </c>
      <c r="E257" s="2" t="s">
        <v>50</v>
      </c>
      <c r="F257" s="2" t="s">
        <v>581</v>
      </c>
      <c r="G257" s="2" t="s">
        <v>582</v>
      </c>
      <c r="H257" s="2">
        <f>16.92+16.05+17.98+40.12+6.88</f>
        <v>97.949999999999989</v>
      </c>
      <c r="I257" s="9">
        <f>(1.2*16.92+1.08*16.05+1.51*17.98+1.48*40.12+1.25*6.88)/$H257</f>
        <v>1.3554405308831037</v>
      </c>
      <c r="J257" s="9">
        <f>(4.15*16.92+4.04*16.05+4.52*17.98+4.63*40.12+4.3*6.88)/$H257</f>
        <v>4.4070362429811132</v>
      </c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9">
        <f t="shared" ref="AA257:AA511" si="25">H257*I257/100</f>
        <v>1.3276539999999999</v>
      </c>
      <c r="AB257" s="9">
        <f t="shared" ref="AB257:AB511" si="26">H257*J257/100</f>
        <v>4.3166919999999998</v>
      </c>
      <c r="AC257" s="10">
        <f t="shared" ref="AC257:AC511" si="27">H257*K257</f>
        <v>0</v>
      </c>
      <c r="AD257" s="10">
        <f t="shared" ref="AD257:AD511" si="28">H257*M257</f>
        <v>0</v>
      </c>
      <c r="AE257" s="9">
        <f t="shared" ref="AE257:AE511" si="29">H257*L257/100</f>
        <v>0</v>
      </c>
      <c r="AF257" s="9">
        <f t="shared" ref="AF257:AF511" si="30">AA257+AB257+AE257</f>
        <v>5.6443459999999996</v>
      </c>
      <c r="AG257" s="9">
        <f t="shared" ref="AG257:AG511" si="31">I257+J257+L257</f>
        <v>5.7624767738642166</v>
      </c>
      <c r="AH257" s="11">
        <f t="shared" si="24"/>
        <v>132.7654</v>
      </c>
      <c r="AI257" s="11">
        <f t="shared" si="24"/>
        <v>431.66919999999999</v>
      </c>
      <c r="AJ257" s="11">
        <f t="shared" si="24"/>
        <v>0</v>
      </c>
      <c r="AK257" s="11">
        <f t="shared" si="24"/>
        <v>0</v>
      </c>
      <c r="AL257" s="11">
        <f t="shared" si="24"/>
        <v>0</v>
      </c>
      <c r="AM257" s="2"/>
      <c r="AN257" s="2"/>
      <c r="AO257" s="2"/>
    </row>
    <row r="258" spans="1:41" x14ac:dyDescent="0.2">
      <c r="A258" s="2" t="s">
        <v>583</v>
      </c>
      <c r="B258" s="2" t="s">
        <v>427</v>
      </c>
      <c r="C258" s="2" t="s">
        <v>38</v>
      </c>
      <c r="D258" s="2" t="s">
        <v>62</v>
      </c>
      <c r="E258" s="2" t="s">
        <v>50</v>
      </c>
      <c r="F258" s="2" t="s">
        <v>581</v>
      </c>
      <c r="G258" s="2" t="s">
        <v>582</v>
      </c>
      <c r="H258" s="2">
        <v>12.1</v>
      </c>
      <c r="I258" s="2">
        <v>1.1599999999999999</v>
      </c>
      <c r="J258" s="2">
        <v>4.3099999999999996</v>
      </c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9">
        <f t="shared" si="25"/>
        <v>0.14035999999999998</v>
      </c>
      <c r="AB258" s="9">
        <f t="shared" si="26"/>
        <v>0.52150999999999992</v>
      </c>
      <c r="AC258" s="10">
        <f t="shared" si="27"/>
        <v>0</v>
      </c>
      <c r="AD258" s="10">
        <f t="shared" si="28"/>
        <v>0</v>
      </c>
      <c r="AE258" s="9">
        <f t="shared" si="29"/>
        <v>0</v>
      </c>
      <c r="AF258" s="9">
        <f t="shared" si="30"/>
        <v>0.66186999999999996</v>
      </c>
      <c r="AG258" s="9">
        <f t="shared" si="31"/>
        <v>5.47</v>
      </c>
      <c r="AH258" s="11">
        <f t="shared" ref="AH258:AL273" si="32">$H258*I258</f>
        <v>14.035999999999998</v>
      </c>
      <c r="AI258" s="11">
        <f t="shared" si="32"/>
        <v>52.150999999999996</v>
      </c>
      <c r="AJ258" s="11">
        <f t="shared" si="32"/>
        <v>0</v>
      </c>
      <c r="AK258" s="11">
        <f t="shared" si="32"/>
        <v>0</v>
      </c>
      <c r="AL258" s="11">
        <f t="shared" si="32"/>
        <v>0</v>
      </c>
      <c r="AM258" s="2"/>
      <c r="AN258" s="2"/>
      <c r="AO258" s="2"/>
    </row>
    <row r="259" spans="1:41" x14ac:dyDescent="0.2">
      <c r="A259" s="2" t="s">
        <v>584</v>
      </c>
      <c r="B259" s="2" t="s">
        <v>427</v>
      </c>
      <c r="C259" s="2" t="s">
        <v>38</v>
      </c>
      <c r="D259" s="2" t="s">
        <v>62</v>
      </c>
      <c r="E259" s="2" t="s">
        <v>50</v>
      </c>
      <c r="F259" s="2" t="s">
        <v>581</v>
      </c>
      <c r="G259" s="2" t="s">
        <v>582</v>
      </c>
      <c r="H259" s="12">
        <f>35.49+41.77+38.1527+14.749</f>
        <v>130.1617</v>
      </c>
      <c r="I259" s="9">
        <f>(1.63*35.49+1.59*41.77+1.88*38.1527+1.59*14.749)/$H259</f>
        <v>1.6859105712356246</v>
      </c>
      <c r="J259" s="9">
        <f>(5.37*35.49+5.22*41.77+5.34*38.1527+5.13*14.749)/$H259</f>
        <v>5.2858750922890536</v>
      </c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9">
        <f t="shared" si="25"/>
        <v>2.1944098599999999</v>
      </c>
      <c r="AB259" s="9">
        <f t="shared" si="26"/>
        <v>6.8801848800000007</v>
      </c>
      <c r="AC259" s="10">
        <f t="shared" si="27"/>
        <v>0</v>
      </c>
      <c r="AD259" s="10">
        <f t="shared" si="28"/>
        <v>0</v>
      </c>
      <c r="AE259" s="9">
        <f t="shared" si="29"/>
        <v>0</v>
      </c>
      <c r="AF259" s="9">
        <f t="shared" si="30"/>
        <v>9.0745947400000002</v>
      </c>
      <c r="AG259" s="9">
        <f t="shared" si="31"/>
        <v>6.9717856635246784</v>
      </c>
      <c r="AH259" s="11">
        <f t="shared" si="32"/>
        <v>219.44098599999998</v>
      </c>
      <c r="AI259" s="11">
        <f t="shared" si="32"/>
        <v>688.01848800000005</v>
      </c>
      <c r="AJ259" s="11">
        <f t="shared" si="32"/>
        <v>0</v>
      </c>
      <c r="AK259" s="11">
        <f t="shared" si="32"/>
        <v>0</v>
      </c>
      <c r="AL259" s="11">
        <f t="shared" si="32"/>
        <v>0</v>
      </c>
      <c r="AM259" s="2"/>
      <c r="AN259" s="2"/>
      <c r="AO259" s="2"/>
    </row>
    <row r="260" spans="1:41" x14ac:dyDescent="0.2">
      <c r="A260" s="2" t="s">
        <v>585</v>
      </c>
      <c r="B260" s="2" t="s">
        <v>427</v>
      </c>
      <c r="C260" s="2" t="s">
        <v>38</v>
      </c>
      <c r="D260" s="2" t="s">
        <v>62</v>
      </c>
      <c r="E260" s="2" t="s">
        <v>50</v>
      </c>
      <c r="F260" s="2" t="s">
        <v>581</v>
      </c>
      <c r="G260" s="2" t="s">
        <v>582</v>
      </c>
      <c r="H260" s="2">
        <f>8.6+19.37+19.68+10.22</f>
        <v>57.87</v>
      </c>
      <c r="I260" s="9">
        <f>(1.04*8.6+1.09*19.37+1.56*19.68+1.5*10.22)/$H260</f>
        <v>1.3148107827890099</v>
      </c>
      <c r="J260" s="9">
        <f>(4.01*8.6+3.83*19.37+5.46*19.68+5.42*10.22)/$H260</f>
        <v>4.6918662519440124</v>
      </c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9">
        <f t="shared" si="25"/>
        <v>0.76088099999999992</v>
      </c>
      <c r="AB260" s="9">
        <f t="shared" si="26"/>
        <v>2.7151830000000001</v>
      </c>
      <c r="AC260" s="10">
        <f t="shared" si="27"/>
        <v>0</v>
      </c>
      <c r="AD260" s="10">
        <f t="shared" si="28"/>
        <v>0</v>
      </c>
      <c r="AE260" s="9">
        <f t="shared" si="29"/>
        <v>0</v>
      </c>
      <c r="AF260" s="9">
        <f t="shared" si="30"/>
        <v>3.476064</v>
      </c>
      <c r="AG260" s="9">
        <f t="shared" si="31"/>
        <v>6.0066770347330225</v>
      </c>
      <c r="AH260" s="11">
        <f t="shared" si="32"/>
        <v>76.088099999999997</v>
      </c>
      <c r="AI260" s="11">
        <f t="shared" si="32"/>
        <v>271.51830000000001</v>
      </c>
      <c r="AJ260" s="11">
        <f t="shared" si="32"/>
        <v>0</v>
      </c>
      <c r="AK260" s="11">
        <f t="shared" si="32"/>
        <v>0</v>
      </c>
      <c r="AL260" s="11">
        <f t="shared" si="32"/>
        <v>0</v>
      </c>
      <c r="AM260" s="2"/>
      <c r="AN260" s="2"/>
      <c r="AO260" s="2"/>
    </row>
    <row r="261" spans="1:41" x14ac:dyDescent="0.2">
      <c r="A261" s="2" t="s">
        <v>586</v>
      </c>
      <c r="B261" s="2" t="s">
        <v>427</v>
      </c>
      <c r="C261" s="2" t="s">
        <v>38</v>
      </c>
      <c r="D261" s="2" t="s">
        <v>62</v>
      </c>
      <c r="E261" s="2" t="s">
        <v>50</v>
      </c>
      <c r="F261" s="2" t="s">
        <v>581</v>
      </c>
      <c r="G261" s="2" t="s">
        <v>582</v>
      </c>
      <c r="H261" s="2">
        <v>6.18</v>
      </c>
      <c r="I261" s="2">
        <v>1.23</v>
      </c>
      <c r="J261" s="2">
        <v>4.55</v>
      </c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9">
        <f t="shared" si="25"/>
        <v>7.6013999999999998E-2</v>
      </c>
      <c r="AB261" s="9">
        <f t="shared" si="26"/>
        <v>0.28118999999999994</v>
      </c>
      <c r="AC261" s="10">
        <f t="shared" si="27"/>
        <v>0</v>
      </c>
      <c r="AD261" s="10">
        <f t="shared" si="28"/>
        <v>0</v>
      </c>
      <c r="AE261" s="9">
        <f t="shared" si="29"/>
        <v>0</v>
      </c>
      <c r="AF261" s="9">
        <f t="shared" si="30"/>
        <v>0.35720399999999997</v>
      </c>
      <c r="AG261" s="9">
        <f t="shared" si="31"/>
        <v>5.7799999999999994</v>
      </c>
      <c r="AH261" s="11">
        <f t="shared" si="32"/>
        <v>7.6013999999999999</v>
      </c>
      <c r="AI261" s="11">
        <f t="shared" si="32"/>
        <v>28.118999999999996</v>
      </c>
      <c r="AJ261" s="11">
        <f t="shared" si="32"/>
        <v>0</v>
      </c>
      <c r="AK261" s="11">
        <f t="shared" si="32"/>
        <v>0</v>
      </c>
      <c r="AL261" s="11">
        <f t="shared" si="32"/>
        <v>0</v>
      </c>
      <c r="AM261" s="2"/>
      <c r="AN261" s="2"/>
      <c r="AO261" s="2"/>
    </row>
    <row r="262" spans="1:41" x14ac:dyDescent="0.2">
      <c r="A262" s="2" t="s">
        <v>587</v>
      </c>
      <c r="B262" s="2" t="s">
        <v>427</v>
      </c>
      <c r="C262" s="2" t="s">
        <v>38</v>
      </c>
      <c r="D262" s="2" t="s">
        <v>62</v>
      </c>
      <c r="E262" s="2" t="s">
        <v>50</v>
      </c>
      <c r="F262" s="2" t="s">
        <v>581</v>
      </c>
      <c r="G262" s="2" t="s">
        <v>582</v>
      </c>
      <c r="H262" s="2">
        <f>1.77+1.38</f>
        <v>3.15</v>
      </c>
      <c r="I262" s="9">
        <f>(1.29*1.77+0.86*1.38)/$H262</f>
        <v>1.1016190476190477</v>
      </c>
      <c r="J262" s="9">
        <f>(4.18*1.77+2.67*1.38)/$H262</f>
        <v>3.5184761904761901</v>
      </c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9">
        <f t="shared" si="25"/>
        <v>3.4701000000000003E-2</v>
      </c>
      <c r="AB262" s="9">
        <f t="shared" si="26"/>
        <v>0.11083199999999999</v>
      </c>
      <c r="AC262" s="10">
        <f t="shared" si="27"/>
        <v>0</v>
      </c>
      <c r="AD262" s="10">
        <f t="shared" si="28"/>
        <v>0</v>
      </c>
      <c r="AE262" s="9">
        <f t="shared" si="29"/>
        <v>0</v>
      </c>
      <c r="AF262" s="9">
        <f t="shared" si="30"/>
        <v>0.145533</v>
      </c>
      <c r="AG262" s="9">
        <f t="shared" si="31"/>
        <v>4.6200952380952378</v>
      </c>
      <c r="AH262" s="11">
        <f t="shared" si="32"/>
        <v>3.4701000000000004</v>
      </c>
      <c r="AI262" s="11">
        <f t="shared" si="32"/>
        <v>11.083199999999998</v>
      </c>
      <c r="AJ262" s="11">
        <f t="shared" si="32"/>
        <v>0</v>
      </c>
      <c r="AK262" s="11">
        <f t="shared" si="32"/>
        <v>0</v>
      </c>
      <c r="AL262" s="11">
        <f t="shared" si="32"/>
        <v>0</v>
      </c>
      <c r="AM262" s="2"/>
      <c r="AN262" s="2"/>
      <c r="AO262" s="2"/>
    </row>
    <row r="263" spans="1:41" x14ac:dyDescent="0.2">
      <c r="A263" s="2" t="s">
        <v>588</v>
      </c>
      <c r="B263" s="2" t="s">
        <v>427</v>
      </c>
      <c r="C263" s="2" t="s">
        <v>38</v>
      </c>
      <c r="D263" s="2" t="s">
        <v>62</v>
      </c>
      <c r="E263" s="2" t="s">
        <v>50</v>
      </c>
      <c r="F263" s="2" t="s">
        <v>581</v>
      </c>
      <c r="G263" s="2" t="s">
        <v>582</v>
      </c>
      <c r="H263" s="2">
        <v>6.85</v>
      </c>
      <c r="I263" s="9">
        <v>0.9</v>
      </c>
      <c r="J263" s="9">
        <v>3.2</v>
      </c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9">
        <f t="shared" si="25"/>
        <v>6.1650000000000003E-2</v>
      </c>
      <c r="AB263" s="9">
        <f t="shared" si="26"/>
        <v>0.21920000000000001</v>
      </c>
      <c r="AC263" s="10">
        <f t="shared" si="27"/>
        <v>0</v>
      </c>
      <c r="AD263" s="10">
        <f t="shared" si="28"/>
        <v>0</v>
      </c>
      <c r="AE263" s="9">
        <f t="shared" si="29"/>
        <v>0</v>
      </c>
      <c r="AF263" s="9">
        <f t="shared" si="30"/>
        <v>0.28084999999999999</v>
      </c>
      <c r="AG263" s="9">
        <f t="shared" si="31"/>
        <v>4.1000000000000005</v>
      </c>
      <c r="AH263" s="11">
        <f t="shared" si="32"/>
        <v>6.165</v>
      </c>
      <c r="AI263" s="11">
        <f t="shared" si="32"/>
        <v>21.92</v>
      </c>
      <c r="AJ263" s="11">
        <f t="shared" si="32"/>
        <v>0</v>
      </c>
      <c r="AK263" s="11">
        <f t="shared" si="32"/>
        <v>0</v>
      </c>
      <c r="AL263" s="11">
        <f t="shared" si="32"/>
        <v>0</v>
      </c>
      <c r="AM263" s="2"/>
      <c r="AN263" s="2"/>
      <c r="AO263" s="2"/>
    </row>
    <row r="264" spans="1:41" x14ac:dyDescent="0.2">
      <c r="A264" s="2" t="s">
        <v>589</v>
      </c>
      <c r="B264" s="2" t="s">
        <v>427</v>
      </c>
      <c r="C264" s="2" t="s">
        <v>38</v>
      </c>
      <c r="D264" s="2" t="s">
        <v>62</v>
      </c>
      <c r="E264" s="2" t="s">
        <v>50</v>
      </c>
      <c r="F264" s="2" t="s">
        <v>581</v>
      </c>
      <c r="G264" s="2" t="s">
        <v>582</v>
      </c>
      <c r="H264" s="12">
        <f>45.1145+44.1125+7.32+12.7544</f>
        <v>109.3014</v>
      </c>
      <c r="I264" s="9">
        <f>(2.4*45.1145+1.29*44.1125+2.2*7.32+1.4*12.7544)/$H264</f>
        <v>1.8219353548993882</v>
      </c>
      <c r="J264" s="9">
        <f>(5.7*45.1145+4.1*44.1125+4.08*7.32+4.44*12.7544)/$H264</f>
        <v>4.7987403272053246</v>
      </c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9">
        <f t="shared" si="25"/>
        <v>1.99140085</v>
      </c>
      <c r="AB264" s="9">
        <f t="shared" si="26"/>
        <v>5.2450903600000007</v>
      </c>
      <c r="AC264" s="10">
        <f t="shared" si="27"/>
        <v>0</v>
      </c>
      <c r="AD264" s="10">
        <f t="shared" si="28"/>
        <v>0</v>
      </c>
      <c r="AE264" s="9">
        <f t="shared" si="29"/>
        <v>0</v>
      </c>
      <c r="AF264" s="9">
        <f t="shared" si="30"/>
        <v>7.2364912100000005</v>
      </c>
      <c r="AG264" s="9">
        <f t="shared" si="31"/>
        <v>6.6206756821047126</v>
      </c>
      <c r="AH264" s="11">
        <f t="shared" si="32"/>
        <v>199.140085</v>
      </c>
      <c r="AI264" s="11">
        <f t="shared" si="32"/>
        <v>524.50903600000004</v>
      </c>
      <c r="AJ264" s="11">
        <f t="shared" si="32"/>
        <v>0</v>
      </c>
      <c r="AK264" s="11">
        <f t="shared" si="32"/>
        <v>0</v>
      </c>
      <c r="AL264" s="11">
        <f t="shared" si="32"/>
        <v>0</v>
      </c>
      <c r="AM264" s="2"/>
      <c r="AN264" s="2"/>
      <c r="AO264" s="2"/>
    </row>
    <row r="265" spans="1:41" x14ac:dyDescent="0.2">
      <c r="A265" s="2" t="s">
        <v>590</v>
      </c>
      <c r="B265" s="2" t="s">
        <v>427</v>
      </c>
      <c r="C265" s="2" t="s">
        <v>54</v>
      </c>
      <c r="D265" s="2"/>
      <c r="E265" s="7" t="s">
        <v>40</v>
      </c>
      <c r="F265" s="2" t="s">
        <v>591</v>
      </c>
      <c r="G265" s="2" t="s">
        <v>592</v>
      </c>
      <c r="H265" s="2">
        <v>0.03</v>
      </c>
      <c r="I265" s="2">
        <v>6.7</v>
      </c>
      <c r="J265" s="2">
        <v>17.7</v>
      </c>
      <c r="K265" s="2">
        <v>449.13</v>
      </c>
      <c r="L265" s="2"/>
      <c r="M265" s="2">
        <v>1.71</v>
      </c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9">
        <f t="shared" si="25"/>
        <v>2.0099999999999996E-3</v>
      </c>
      <c r="AB265" s="9">
        <f t="shared" si="26"/>
        <v>5.3099999999999987E-3</v>
      </c>
      <c r="AC265" s="10">
        <f t="shared" si="27"/>
        <v>13.473899999999999</v>
      </c>
      <c r="AD265" s="10">
        <f t="shared" si="28"/>
        <v>5.1299999999999998E-2</v>
      </c>
      <c r="AE265" s="9">
        <f t="shared" si="29"/>
        <v>0</v>
      </c>
      <c r="AF265" s="9">
        <f t="shared" si="30"/>
        <v>7.3199999999999984E-3</v>
      </c>
      <c r="AG265" s="9">
        <f t="shared" si="31"/>
        <v>24.4</v>
      </c>
      <c r="AH265" s="11">
        <f t="shared" si="32"/>
        <v>0.20099999999999998</v>
      </c>
      <c r="AI265" s="11">
        <f t="shared" si="32"/>
        <v>0.53099999999999992</v>
      </c>
      <c r="AJ265" s="11">
        <f t="shared" si="32"/>
        <v>13.473899999999999</v>
      </c>
      <c r="AK265" s="11">
        <f t="shared" si="32"/>
        <v>0</v>
      </c>
      <c r="AL265" s="11">
        <f t="shared" si="32"/>
        <v>5.1299999999999998E-2</v>
      </c>
      <c r="AM265" s="2"/>
      <c r="AN265" s="2"/>
      <c r="AO265" s="2"/>
    </row>
    <row r="266" spans="1:41" x14ac:dyDescent="0.2">
      <c r="A266" s="2" t="s">
        <v>593</v>
      </c>
      <c r="B266" s="2" t="s">
        <v>427</v>
      </c>
      <c r="C266" s="2" t="s">
        <v>48</v>
      </c>
      <c r="D266" s="2"/>
      <c r="E266" s="2" t="s">
        <v>50</v>
      </c>
      <c r="F266" s="2" t="s">
        <v>594</v>
      </c>
      <c r="G266" s="2" t="s">
        <v>71</v>
      </c>
      <c r="H266" s="2">
        <f>4.893+5.707+0.784</f>
        <v>11.384</v>
      </c>
      <c r="I266" s="2"/>
      <c r="J266" s="9">
        <f>(4.01*4.893+4.24*5.707+4.49*0.784)/$H266</f>
        <v>4.1583599789177788</v>
      </c>
      <c r="K266" s="13">
        <f>(24.71*4.893+24.69*5.707+30.61*0.784)/$H266</f>
        <v>25.10629831342235</v>
      </c>
      <c r="L266" s="9">
        <f>(2.27*4.893+1.34*5.707+1.05*0.784)/$H266</f>
        <v>1.7197549191848207</v>
      </c>
      <c r="M266" s="9">
        <f>(1.84*4.893+1.79*5.707+1.77*0.784)/$H266</f>
        <v>1.8101133169360506</v>
      </c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9">
        <f t="shared" si="25"/>
        <v>0</v>
      </c>
      <c r="AB266" s="9">
        <f t="shared" si="26"/>
        <v>0.47338769999999997</v>
      </c>
      <c r="AC266" s="10">
        <f t="shared" si="27"/>
        <v>285.81010000000003</v>
      </c>
      <c r="AD266" s="10">
        <f t="shared" si="28"/>
        <v>20.60633</v>
      </c>
      <c r="AE266" s="9">
        <f t="shared" si="29"/>
        <v>0.1957769</v>
      </c>
      <c r="AF266" s="9">
        <f t="shared" si="30"/>
        <v>0.6691646</v>
      </c>
      <c r="AG266" s="9">
        <f t="shared" si="31"/>
        <v>5.8781148981025995</v>
      </c>
      <c r="AH266" s="11">
        <f t="shared" si="32"/>
        <v>0</v>
      </c>
      <c r="AI266" s="11">
        <f t="shared" si="32"/>
        <v>47.338769999999997</v>
      </c>
      <c r="AJ266" s="11">
        <f t="shared" si="32"/>
        <v>285.81010000000003</v>
      </c>
      <c r="AK266" s="11">
        <f t="shared" si="32"/>
        <v>19.57769</v>
      </c>
      <c r="AL266" s="11">
        <f t="shared" si="32"/>
        <v>20.60633</v>
      </c>
      <c r="AM266" s="2"/>
      <c r="AN266" s="2"/>
      <c r="AO266" s="2"/>
    </row>
    <row r="267" spans="1:41" x14ac:dyDescent="0.2">
      <c r="A267" s="2" t="s">
        <v>595</v>
      </c>
      <c r="B267" s="2" t="s">
        <v>427</v>
      </c>
      <c r="C267" s="2" t="s">
        <v>48</v>
      </c>
      <c r="D267" s="2"/>
      <c r="E267" s="2" t="s">
        <v>50</v>
      </c>
      <c r="F267" s="2" t="s">
        <v>594</v>
      </c>
      <c r="G267" s="2" t="s">
        <v>596</v>
      </c>
      <c r="H267" s="2">
        <f>0.662+0.388</f>
        <v>1.05</v>
      </c>
      <c r="I267" s="2"/>
      <c r="J267" s="9">
        <f>(8.99*0.662+7.86*0.388)/H267</f>
        <v>8.5724380952380947</v>
      </c>
      <c r="K267" s="13">
        <f>(10.42*0.662+14.97*0.388)/H267</f>
        <v>12.101333333333333</v>
      </c>
      <c r="L267" s="9">
        <f>(1.76*0.662+2.19*0.388)/H267</f>
        <v>1.9188952380952384</v>
      </c>
      <c r="M267" s="9">
        <f>(0.05*0.662+0.06*0.388)/H267</f>
        <v>5.3695238095238094E-2</v>
      </c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9">
        <f t="shared" si="25"/>
        <v>0</v>
      </c>
      <c r="AB267" s="9">
        <f t="shared" si="26"/>
        <v>9.001060000000001E-2</v>
      </c>
      <c r="AC267" s="10">
        <f t="shared" si="27"/>
        <v>12.7064</v>
      </c>
      <c r="AD267" s="10">
        <f t="shared" si="28"/>
        <v>5.638E-2</v>
      </c>
      <c r="AE267" s="9">
        <f t="shared" si="29"/>
        <v>2.0148400000000004E-2</v>
      </c>
      <c r="AF267" s="9">
        <f t="shared" si="30"/>
        <v>0.11015900000000001</v>
      </c>
      <c r="AG267" s="9">
        <f t="shared" si="31"/>
        <v>10.491333333333333</v>
      </c>
      <c r="AH267" s="11">
        <f t="shared" si="32"/>
        <v>0</v>
      </c>
      <c r="AI267" s="11">
        <f t="shared" si="32"/>
        <v>9.0010600000000007</v>
      </c>
      <c r="AJ267" s="11">
        <f t="shared" si="32"/>
        <v>12.7064</v>
      </c>
      <c r="AK267" s="11">
        <f t="shared" si="32"/>
        <v>2.0148400000000004</v>
      </c>
      <c r="AL267" s="11">
        <f t="shared" si="32"/>
        <v>5.638E-2</v>
      </c>
      <c r="AM267" s="2"/>
      <c r="AN267" s="2"/>
      <c r="AO267" s="2"/>
    </row>
    <row r="268" spans="1:41" x14ac:dyDescent="0.2">
      <c r="A268" s="2" t="s">
        <v>597</v>
      </c>
      <c r="B268" s="2" t="s">
        <v>427</v>
      </c>
      <c r="C268" s="2" t="s">
        <v>48</v>
      </c>
      <c r="D268" s="2"/>
      <c r="E268" s="2" t="s">
        <v>50</v>
      </c>
      <c r="F268" s="2" t="s">
        <v>594</v>
      </c>
      <c r="G268" s="2" t="s">
        <v>71</v>
      </c>
      <c r="H268" s="2">
        <f>15.196+10.113</f>
        <v>25.308999999999997</v>
      </c>
      <c r="I268" s="2"/>
      <c r="J268" s="9">
        <f>(6.69*15.196+2.49*10.113)/$H268</f>
        <v>5.0117590580425944</v>
      </c>
      <c r="K268" s="13">
        <f>(23.34*15.196+27.6*10.113)/$H268</f>
        <v>25.042215812556801</v>
      </c>
      <c r="L268" s="9">
        <f>(0.63*15.196+1.04*10.113)/$H268</f>
        <v>0.79382828242917547</v>
      </c>
      <c r="M268" s="9">
        <f>(2.01*15.196+4.24*10.113)/$H268</f>
        <v>2.9010660239440518</v>
      </c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9">
        <f t="shared" si="25"/>
        <v>0</v>
      </c>
      <c r="AB268" s="9">
        <f t="shared" si="26"/>
        <v>1.2684261000000001</v>
      </c>
      <c r="AC268" s="10">
        <f t="shared" si="27"/>
        <v>633.79344000000003</v>
      </c>
      <c r="AD268" s="10">
        <f t="shared" si="28"/>
        <v>73.423079999999999</v>
      </c>
      <c r="AE268" s="9">
        <f t="shared" si="29"/>
        <v>0.20091000000000001</v>
      </c>
      <c r="AF268" s="9">
        <f t="shared" si="30"/>
        <v>1.4693361</v>
      </c>
      <c r="AG268" s="9">
        <f t="shared" si="31"/>
        <v>5.8055873404717699</v>
      </c>
      <c r="AH268" s="11">
        <f t="shared" si="32"/>
        <v>0</v>
      </c>
      <c r="AI268" s="11">
        <f t="shared" si="32"/>
        <v>126.84261000000001</v>
      </c>
      <c r="AJ268" s="11">
        <f t="shared" si="32"/>
        <v>633.79344000000003</v>
      </c>
      <c r="AK268" s="11">
        <f t="shared" si="32"/>
        <v>20.091000000000001</v>
      </c>
      <c r="AL268" s="11">
        <f t="shared" si="32"/>
        <v>73.423079999999999</v>
      </c>
      <c r="AM268" s="2"/>
      <c r="AN268" s="2"/>
      <c r="AO268" s="2"/>
    </row>
    <row r="269" spans="1:41" x14ac:dyDescent="0.2">
      <c r="A269" s="2" t="s">
        <v>598</v>
      </c>
      <c r="B269" s="2" t="s">
        <v>427</v>
      </c>
      <c r="C269" s="2" t="s">
        <v>48</v>
      </c>
      <c r="D269" s="2"/>
      <c r="E269" s="2" t="s">
        <v>50</v>
      </c>
      <c r="F269" s="2" t="s">
        <v>599</v>
      </c>
      <c r="G269" s="2" t="s">
        <v>71</v>
      </c>
      <c r="H269" s="2">
        <f>2.121+0.233</f>
        <v>2.3540000000000001</v>
      </c>
      <c r="I269" s="2"/>
      <c r="J269" s="9">
        <f>(0.5*2.121+0.52*0.233)/$H269</f>
        <v>0.50197960917587081</v>
      </c>
      <c r="K269" s="13">
        <f>(5.28*2.121+4.57*0.233)/$H269</f>
        <v>5.2097238742565848</v>
      </c>
      <c r="L269" s="9">
        <f>(3.8*2.121+4.31*0.233)/$H269</f>
        <v>3.8504800339847063</v>
      </c>
      <c r="M269" s="9">
        <f>(0.42*2.121+0.38*0.233)/$H269</f>
        <v>0.41604078164825825</v>
      </c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9">
        <f t="shared" si="25"/>
        <v>0</v>
      </c>
      <c r="AB269" s="9">
        <f t="shared" si="26"/>
        <v>1.18166E-2</v>
      </c>
      <c r="AC269" s="10">
        <f t="shared" si="27"/>
        <v>12.26369</v>
      </c>
      <c r="AD269" s="10">
        <f t="shared" si="28"/>
        <v>0.97936000000000001</v>
      </c>
      <c r="AE269" s="9">
        <f t="shared" si="29"/>
        <v>9.0640299999999993E-2</v>
      </c>
      <c r="AF269" s="9">
        <f t="shared" si="30"/>
        <v>0.10245689999999999</v>
      </c>
      <c r="AG269" s="9">
        <f t="shared" si="31"/>
        <v>4.3524596431605769</v>
      </c>
      <c r="AH269" s="11">
        <f t="shared" si="32"/>
        <v>0</v>
      </c>
      <c r="AI269" s="11">
        <f t="shared" si="32"/>
        <v>1.1816599999999999</v>
      </c>
      <c r="AJ269" s="11">
        <f t="shared" si="32"/>
        <v>12.26369</v>
      </c>
      <c r="AK269" s="11">
        <f t="shared" si="32"/>
        <v>9.0640299999999989</v>
      </c>
      <c r="AL269" s="11">
        <f t="shared" si="32"/>
        <v>0.97936000000000001</v>
      </c>
      <c r="AM269" s="2"/>
      <c r="AN269" s="2"/>
      <c r="AO269" s="2"/>
    </row>
    <row r="270" spans="1:41" x14ac:dyDescent="0.2">
      <c r="A270" s="2" t="s">
        <v>600</v>
      </c>
      <c r="B270" s="2" t="s">
        <v>427</v>
      </c>
      <c r="C270" s="2" t="s">
        <v>48</v>
      </c>
      <c r="D270" s="2"/>
      <c r="E270" s="2" t="s">
        <v>50</v>
      </c>
      <c r="F270" s="2" t="s">
        <v>594</v>
      </c>
      <c r="G270" s="2" t="s">
        <v>596</v>
      </c>
      <c r="H270" s="2">
        <v>6.62</v>
      </c>
      <c r="I270" s="2"/>
      <c r="J270" s="9">
        <v>2.63</v>
      </c>
      <c r="K270" s="2">
        <v>25.61</v>
      </c>
      <c r="L270" s="2">
        <v>1.88</v>
      </c>
      <c r="M270" s="2">
        <v>0.66</v>
      </c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9">
        <f t="shared" si="25"/>
        <v>0</v>
      </c>
      <c r="AB270" s="9">
        <f t="shared" si="26"/>
        <v>0.17410599999999998</v>
      </c>
      <c r="AC270" s="10">
        <f t="shared" si="27"/>
        <v>169.53819999999999</v>
      </c>
      <c r="AD270" s="10">
        <f t="shared" si="28"/>
        <v>4.3692000000000002</v>
      </c>
      <c r="AE270" s="9">
        <f t="shared" si="29"/>
        <v>0.12445599999999998</v>
      </c>
      <c r="AF270" s="9">
        <f t="shared" si="30"/>
        <v>0.29856199999999999</v>
      </c>
      <c r="AG270" s="9">
        <f t="shared" si="31"/>
        <v>4.51</v>
      </c>
      <c r="AH270" s="11">
        <f t="shared" si="32"/>
        <v>0</v>
      </c>
      <c r="AI270" s="11">
        <f t="shared" si="32"/>
        <v>17.410599999999999</v>
      </c>
      <c r="AJ270" s="11">
        <f t="shared" si="32"/>
        <v>169.53819999999999</v>
      </c>
      <c r="AK270" s="11">
        <f t="shared" si="32"/>
        <v>12.445599999999999</v>
      </c>
      <c r="AL270" s="11">
        <f t="shared" si="32"/>
        <v>4.3692000000000002</v>
      </c>
      <c r="AM270" s="2"/>
      <c r="AN270" s="2"/>
      <c r="AO270" s="2"/>
    </row>
    <row r="271" spans="1:41" x14ac:dyDescent="0.2">
      <c r="A271" s="2" t="s">
        <v>601</v>
      </c>
      <c r="B271" s="2" t="s">
        <v>427</v>
      </c>
      <c r="C271" s="2" t="s">
        <v>48</v>
      </c>
      <c r="D271" s="2"/>
      <c r="E271" s="2" t="s">
        <v>50</v>
      </c>
      <c r="F271" s="2" t="s">
        <v>602</v>
      </c>
      <c r="G271" s="2" t="s">
        <v>603</v>
      </c>
      <c r="H271" s="2">
        <f>0.854+0.503</f>
        <v>1.357</v>
      </c>
      <c r="I271" s="2"/>
      <c r="J271" s="9">
        <f>(1.78*0.854+1.33*0.503)/$H271</f>
        <v>1.6131982313927782</v>
      </c>
      <c r="K271" s="9">
        <f>(13.84*0.854+6.96*0.503)/$H271</f>
        <v>11.28978629329403</v>
      </c>
      <c r="L271" s="9">
        <f>(1.22*0.854+0.79*0.503)/$H271</f>
        <v>1.060611643330877</v>
      </c>
      <c r="M271" s="9">
        <f>(3.82*0.854+3.25*0.503)/$H271</f>
        <v>3.6087177597641853</v>
      </c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9">
        <f t="shared" si="25"/>
        <v>0</v>
      </c>
      <c r="AB271" s="9">
        <f t="shared" si="26"/>
        <v>2.18911E-2</v>
      </c>
      <c r="AC271" s="10">
        <f t="shared" si="27"/>
        <v>15.320239999999998</v>
      </c>
      <c r="AD271" s="10">
        <f t="shared" si="28"/>
        <v>4.8970299999999991</v>
      </c>
      <c r="AE271" s="9">
        <f t="shared" si="29"/>
        <v>1.4392500000000001E-2</v>
      </c>
      <c r="AF271" s="9">
        <f t="shared" si="30"/>
        <v>3.6283599999999999E-2</v>
      </c>
      <c r="AG271" s="9">
        <f t="shared" si="31"/>
        <v>2.6738098747236552</v>
      </c>
      <c r="AH271" s="11">
        <f t="shared" si="32"/>
        <v>0</v>
      </c>
      <c r="AI271" s="11">
        <f t="shared" si="32"/>
        <v>2.1891099999999999</v>
      </c>
      <c r="AJ271" s="11">
        <f t="shared" si="32"/>
        <v>15.320239999999998</v>
      </c>
      <c r="AK271" s="11">
        <f t="shared" si="32"/>
        <v>1.4392500000000001</v>
      </c>
      <c r="AL271" s="11">
        <f t="shared" si="32"/>
        <v>4.8970299999999991</v>
      </c>
      <c r="AM271" s="2"/>
      <c r="AN271" s="2"/>
      <c r="AO271" s="2"/>
    </row>
    <row r="272" spans="1:41" x14ac:dyDescent="0.2">
      <c r="A272" s="2" t="s">
        <v>604</v>
      </c>
      <c r="B272" s="2" t="s">
        <v>427</v>
      </c>
      <c r="C272" s="2" t="s">
        <v>48</v>
      </c>
      <c r="D272" s="2"/>
      <c r="E272" s="7" t="s">
        <v>40</v>
      </c>
      <c r="F272" s="2" t="s">
        <v>605</v>
      </c>
      <c r="G272" s="2" t="s">
        <v>606</v>
      </c>
      <c r="H272" s="9">
        <f>(0.97+0.043)*0.9072</f>
        <v>0.91899359999999997</v>
      </c>
      <c r="I272" s="13">
        <f>(0.7*0.97+1.1*0.043)/(0.97+0.043)</f>
        <v>0.71697926949654489</v>
      </c>
      <c r="J272" s="13">
        <f>(9.5*0.97+7.3*0.043)/(0.97+0.043)</f>
        <v>9.4066140177690034</v>
      </c>
      <c r="K272" s="14">
        <f>((3.4*0.97+4*0.043)/(0.97+0.043))*31.1/0.9072</f>
        <v>117.42954466712284</v>
      </c>
      <c r="L272" s="2"/>
      <c r="M272" s="13">
        <f>0.02*31.1/0.9072</f>
        <v>0.68562610229276899</v>
      </c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9">
        <f t="shared" si="25"/>
        <v>6.5889935999999989E-3</v>
      </c>
      <c r="AB272" s="9">
        <f t="shared" si="26"/>
        <v>8.6446180800000008E-2</v>
      </c>
      <c r="AC272" s="10">
        <f t="shared" si="27"/>
        <v>107.91700000000002</v>
      </c>
      <c r="AD272" s="10">
        <f t="shared" si="28"/>
        <v>0.63008600000000003</v>
      </c>
      <c r="AE272" s="9">
        <f t="shared" si="29"/>
        <v>0</v>
      </c>
      <c r="AF272" s="9">
        <f t="shared" si="30"/>
        <v>9.3035174400000004E-2</v>
      </c>
      <c r="AG272" s="9">
        <f t="shared" si="31"/>
        <v>10.123593287265548</v>
      </c>
      <c r="AH272" s="11">
        <f t="shared" si="32"/>
        <v>0.65889935999999993</v>
      </c>
      <c r="AI272" s="11">
        <f t="shared" si="32"/>
        <v>8.6446180800000008</v>
      </c>
      <c r="AJ272" s="11">
        <f t="shared" si="32"/>
        <v>107.91700000000002</v>
      </c>
      <c r="AK272" s="11">
        <f t="shared" si="32"/>
        <v>0</v>
      </c>
      <c r="AL272" s="11">
        <f t="shared" si="32"/>
        <v>0.63008600000000003</v>
      </c>
      <c r="AM272" s="2"/>
      <c r="AN272" s="2"/>
      <c r="AO272" s="2"/>
    </row>
    <row r="273" spans="1:41" x14ac:dyDescent="0.2">
      <c r="A273" s="2" t="s">
        <v>607</v>
      </c>
      <c r="B273" s="2" t="s">
        <v>427</v>
      </c>
      <c r="C273" s="2" t="s">
        <v>608</v>
      </c>
      <c r="D273" s="2"/>
      <c r="E273" s="7" t="s">
        <v>40</v>
      </c>
      <c r="F273" s="2" t="s">
        <v>609</v>
      </c>
      <c r="G273" s="2" t="s">
        <v>432</v>
      </c>
      <c r="H273" s="12">
        <v>0.31748500000000002</v>
      </c>
      <c r="I273" s="2">
        <v>0.1</v>
      </c>
      <c r="J273" s="2">
        <v>2.6</v>
      </c>
      <c r="K273" s="13">
        <f>0.39*31.1/0.9072</f>
        <v>13.369708994708995</v>
      </c>
      <c r="L273" s="2">
        <v>0.1</v>
      </c>
      <c r="M273" s="9">
        <f>0.102*31.1/0.9072</f>
        <v>3.4966931216931219</v>
      </c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9">
        <f t="shared" si="25"/>
        <v>3.1748500000000005E-4</v>
      </c>
      <c r="AB273" s="9">
        <f t="shared" si="26"/>
        <v>8.2546100000000008E-3</v>
      </c>
      <c r="AC273" s="10">
        <f t="shared" si="27"/>
        <v>4.2446820601851858</v>
      </c>
      <c r="AD273" s="10">
        <f t="shared" si="28"/>
        <v>1.1101476157407408</v>
      </c>
      <c r="AE273" s="9">
        <f t="shared" si="29"/>
        <v>3.1748500000000005E-4</v>
      </c>
      <c r="AF273" s="9">
        <f t="shared" si="30"/>
        <v>8.8895799999999994E-3</v>
      </c>
      <c r="AG273" s="9">
        <f t="shared" si="31"/>
        <v>2.8000000000000003</v>
      </c>
      <c r="AH273" s="11">
        <f t="shared" si="32"/>
        <v>3.1748500000000006E-2</v>
      </c>
      <c r="AI273" s="11">
        <f t="shared" si="32"/>
        <v>0.82546100000000011</v>
      </c>
      <c r="AJ273" s="11">
        <f t="shared" si="32"/>
        <v>4.2446820601851858</v>
      </c>
      <c r="AK273" s="11">
        <f t="shared" si="32"/>
        <v>3.1748500000000006E-2</v>
      </c>
      <c r="AL273" s="11">
        <f t="shared" si="32"/>
        <v>1.1101476157407408</v>
      </c>
      <c r="AM273" s="2"/>
      <c r="AN273" s="2"/>
      <c r="AO273" s="2"/>
    </row>
    <row r="274" spans="1:41" x14ac:dyDescent="0.2">
      <c r="A274" s="2" t="s">
        <v>610</v>
      </c>
      <c r="B274" s="2" t="s">
        <v>427</v>
      </c>
      <c r="C274" s="2" t="s">
        <v>48</v>
      </c>
      <c r="D274" s="2"/>
      <c r="E274" s="2" t="s">
        <v>50</v>
      </c>
      <c r="F274" s="2" t="s">
        <v>152</v>
      </c>
      <c r="G274" s="2" t="s">
        <v>56</v>
      </c>
      <c r="H274" s="2">
        <f>13+1.2</f>
        <v>14.2</v>
      </c>
      <c r="I274" s="13">
        <f>(1.4*13+1.3*1.2)/$H274</f>
        <v>1.3915492957746478</v>
      </c>
      <c r="J274" s="13">
        <f>(13*13+11*1.2)/$H274</f>
        <v>12.830985915492958</v>
      </c>
      <c r="K274" s="14">
        <f>(73*13+73*1.2)/$H274</f>
        <v>73</v>
      </c>
      <c r="L274" s="13">
        <f>(2.4*13+1.5*1.2)/$H274</f>
        <v>2.323943661971831</v>
      </c>
      <c r="M274" s="9">
        <f>(0.18*13+0.21*1.2)/$H274</f>
        <v>0.18253521126760561</v>
      </c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9">
        <f t="shared" si="25"/>
        <v>0.19759999999999997</v>
      </c>
      <c r="AB274" s="9">
        <f t="shared" si="26"/>
        <v>1.8219999999999998</v>
      </c>
      <c r="AC274" s="10">
        <f t="shared" si="27"/>
        <v>1036.5999999999999</v>
      </c>
      <c r="AD274" s="10">
        <f t="shared" si="28"/>
        <v>2.5919999999999996</v>
      </c>
      <c r="AE274" s="9">
        <f t="shared" si="29"/>
        <v>0.33</v>
      </c>
      <c r="AF274" s="9">
        <f t="shared" si="30"/>
        <v>2.3495999999999997</v>
      </c>
      <c r="AG274" s="9">
        <f t="shared" si="31"/>
        <v>16.546478873239437</v>
      </c>
      <c r="AH274" s="11">
        <f t="shared" ref="AH274:AL289" si="33">$H274*I274</f>
        <v>19.759999999999998</v>
      </c>
      <c r="AI274" s="11">
        <f t="shared" si="33"/>
        <v>182.2</v>
      </c>
      <c r="AJ274" s="11">
        <f t="shared" si="33"/>
        <v>1036.5999999999999</v>
      </c>
      <c r="AK274" s="11">
        <f t="shared" si="33"/>
        <v>33</v>
      </c>
      <c r="AL274" s="11">
        <f t="shared" si="33"/>
        <v>2.5919999999999996</v>
      </c>
      <c r="AM274" s="2"/>
      <c r="AN274" s="2"/>
      <c r="AO274" s="2"/>
    </row>
    <row r="275" spans="1:41" x14ac:dyDescent="0.2">
      <c r="A275" s="2" t="s">
        <v>611</v>
      </c>
      <c r="B275" s="2" t="s">
        <v>427</v>
      </c>
      <c r="C275" s="2" t="s">
        <v>38</v>
      </c>
      <c r="D275" s="2" t="s">
        <v>62</v>
      </c>
      <c r="E275" s="2" t="s">
        <v>50</v>
      </c>
      <c r="F275" s="2" t="s">
        <v>612</v>
      </c>
      <c r="G275" s="2" t="s">
        <v>613</v>
      </c>
      <c r="H275" s="12">
        <f>1.202+1.1657+4.5381+0.2928</f>
        <v>7.1985999999999999</v>
      </c>
      <c r="I275" s="9">
        <f>(2.4*1.202+2.01*1.1657+2.16*4.5381+0.91*0.2928)/$H275</f>
        <v>2.1249410996582667</v>
      </c>
      <c r="J275" s="9">
        <f>(4.46*1.202+3.86*1.1657+2.99*4.5381+0.73*0.2928)/$H275</f>
        <v>3.2844143305642763</v>
      </c>
      <c r="K275" s="13">
        <f>(69*1.202+64.9*1.1657+67.8*4.5381+49*0.2928)/$H275</f>
        <v>66.766080904620338</v>
      </c>
      <c r="L275" s="2"/>
      <c r="M275" s="9">
        <f>(6.71*1.202+6.92*1.1657+5.19*4.5381+4.54*0.2928)/$H275</f>
        <v>5.6975127108048795</v>
      </c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9">
        <f t="shared" si="25"/>
        <v>0.15296600999999999</v>
      </c>
      <c r="AB275" s="9">
        <f t="shared" si="26"/>
        <v>0.23643185</v>
      </c>
      <c r="AC275" s="10">
        <f t="shared" si="27"/>
        <v>480.62230999999997</v>
      </c>
      <c r="AD275" s="10">
        <f t="shared" si="28"/>
        <v>41.014115000000004</v>
      </c>
      <c r="AE275" s="9">
        <f t="shared" si="29"/>
        <v>0</v>
      </c>
      <c r="AF275" s="9">
        <f t="shared" si="30"/>
        <v>0.38939785999999998</v>
      </c>
      <c r="AG275" s="9">
        <f t="shared" si="31"/>
        <v>5.4093554302225435</v>
      </c>
      <c r="AH275" s="11">
        <f t="shared" si="33"/>
        <v>15.296600999999999</v>
      </c>
      <c r="AI275" s="11">
        <f t="shared" si="33"/>
        <v>23.643184999999999</v>
      </c>
      <c r="AJ275" s="11">
        <f t="shared" si="33"/>
        <v>480.62230999999997</v>
      </c>
      <c r="AK275" s="11">
        <f t="shared" si="33"/>
        <v>0</v>
      </c>
      <c r="AL275" s="11">
        <f t="shared" si="33"/>
        <v>41.014115000000004</v>
      </c>
      <c r="AM275" s="2"/>
      <c r="AN275" s="2"/>
      <c r="AO275" s="2"/>
    </row>
    <row r="276" spans="1:41" x14ac:dyDescent="0.2">
      <c r="A276" s="2" t="s">
        <v>614</v>
      </c>
      <c r="B276" s="2" t="s">
        <v>427</v>
      </c>
      <c r="C276" s="2" t="s">
        <v>38</v>
      </c>
      <c r="D276" s="2" t="s">
        <v>62</v>
      </c>
      <c r="E276" s="2" t="s">
        <v>50</v>
      </c>
      <c r="F276" s="2" t="s">
        <v>594</v>
      </c>
      <c r="G276" s="2" t="s">
        <v>615</v>
      </c>
      <c r="H276" s="2">
        <f>1.46+11</f>
        <v>12.46</v>
      </c>
      <c r="I276" s="9">
        <f>(7.42*1.46+3.96*11)/$H276</f>
        <v>4.3654253611556983</v>
      </c>
      <c r="J276" s="9">
        <f>(5.25*1.46+6.75*11)/$H276</f>
        <v>6.5742375601926168</v>
      </c>
      <c r="K276" s="9">
        <f>(7.42*1.46+3.96*11)/$H276</f>
        <v>4.3654253611556983</v>
      </c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9">
        <f t="shared" si="25"/>
        <v>0.54393200000000008</v>
      </c>
      <c r="AB276" s="9">
        <f t="shared" si="26"/>
        <v>0.81915000000000004</v>
      </c>
      <c r="AC276" s="10">
        <f t="shared" si="27"/>
        <v>54.393200000000007</v>
      </c>
      <c r="AD276" s="10">
        <f t="shared" si="28"/>
        <v>0</v>
      </c>
      <c r="AE276" s="9">
        <f t="shared" si="29"/>
        <v>0</v>
      </c>
      <c r="AF276" s="9">
        <f t="shared" si="30"/>
        <v>1.3630820000000001</v>
      </c>
      <c r="AG276" s="9">
        <f t="shared" si="31"/>
        <v>10.939662921348315</v>
      </c>
      <c r="AH276" s="11">
        <f t="shared" si="33"/>
        <v>54.393200000000007</v>
      </c>
      <c r="AI276" s="11">
        <f t="shared" si="33"/>
        <v>81.915000000000006</v>
      </c>
      <c r="AJ276" s="11">
        <f t="shared" si="33"/>
        <v>54.393200000000007</v>
      </c>
      <c r="AK276" s="11">
        <f t="shared" si="33"/>
        <v>0</v>
      </c>
      <c r="AL276" s="11">
        <f t="shared" si="33"/>
        <v>0</v>
      </c>
      <c r="AM276" s="2"/>
      <c r="AN276" s="2"/>
      <c r="AO276" s="2"/>
    </row>
    <row r="277" spans="1:41" x14ac:dyDescent="0.2">
      <c r="A277" s="2" t="s">
        <v>616</v>
      </c>
      <c r="B277" s="2" t="s">
        <v>427</v>
      </c>
      <c r="C277" s="2" t="s">
        <v>38</v>
      </c>
      <c r="D277" s="2" t="s">
        <v>62</v>
      </c>
      <c r="E277" s="7" t="s">
        <v>40</v>
      </c>
      <c r="F277" s="2" t="s">
        <v>41</v>
      </c>
      <c r="G277" s="8" t="s">
        <v>44</v>
      </c>
      <c r="H277" s="2">
        <v>7.88</v>
      </c>
      <c r="I277" s="2">
        <v>1.63</v>
      </c>
      <c r="J277" s="2">
        <v>3.49</v>
      </c>
      <c r="K277" s="13">
        <v>3</v>
      </c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9">
        <f t="shared" si="25"/>
        <v>0.12844399999999997</v>
      </c>
      <c r="AB277" s="9">
        <f t="shared" si="26"/>
        <v>0.27501200000000003</v>
      </c>
      <c r="AC277" s="10">
        <f t="shared" si="27"/>
        <v>23.64</v>
      </c>
      <c r="AD277" s="10">
        <f t="shared" si="28"/>
        <v>0</v>
      </c>
      <c r="AE277" s="9">
        <f t="shared" si="29"/>
        <v>0</v>
      </c>
      <c r="AF277" s="9">
        <f t="shared" si="30"/>
        <v>0.40345600000000004</v>
      </c>
      <c r="AG277" s="9">
        <f t="shared" si="31"/>
        <v>5.12</v>
      </c>
      <c r="AH277" s="11">
        <f t="shared" si="33"/>
        <v>12.844399999999998</v>
      </c>
      <c r="AI277" s="11">
        <f t="shared" si="33"/>
        <v>27.501200000000001</v>
      </c>
      <c r="AJ277" s="11">
        <f t="shared" si="33"/>
        <v>23.64</v>
      </c>
      <c r="AK277" s="11">
        <f t="shared" si="33"/>
        <v>0</v>
      </c>
      <c r="AL277" s="11">
        <f t="shared" si="33"/>
        <v>0</v>
      </c>
      <c r="AM277" s="2"/>
      <c r="AN277" s="2"/>
      <c r="AO277" s="2"/>
    </row>
    <row r="278" spans="1:41" x14ac:dyDescent="0.2">
      <c r="A278" s="2" t="s">
        <v>617</v>
      </c>
      <c r="B278" s="2" t="s">
        <v>427</v>
      </c>
      <c r="C278" s="2" t="s">
        <v>618</v>
      </c>
      <c r="D278" s="2"/>
      <c r="E278" s="7" t="s">
        <v>40</v>
      </c>
      <c r="F278" s="2" t="s">
        <v>434</v>
      </c>
      <c r="G278" s="2" t="s">
        <v>435</v>
      </c>
      <c r="H278" s="12">
        <f>2.807*0.9072</f>
        <v>2.5465103999999998</v>
      </c>
      <c r="I278" s="2"/>
      <c r="J278" s="2">
        <v>0.96</v>
      </c>
      <c r="K278" s="13">
        <f>1.11*31.1/0.9072</f>
        <v>38.052248677248684</v>
      </c>
      <c r="L278" s="2">
        <v>1.1200000000000001</v>
      </c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9">
        <f t="shared" si="25"/>
        <v>0</v>
      </c>
      <c r="AB278" s="9">
        <f t="shared" si="26"/>
        <v>2.4446499839999997E-2</v>
      </c>
      <c r="AC278" s="10">
        <f t="shared" si="27"/>
        <v>96.900447000000014</v>
      </c>
      <c r="AD278" s="10">
        <f t="shared" si="28"/>
        <v>0</v>
      </c>
      <c r="AE278" s="9">
        <f t="shared" si="29"/>
        <v>2.8520916480000002E-2</v>
      </c>
      <c r="AF278" s="9">
        <f t="shared" si="30"/>
        <v>5.2967416320000002E-2</v>
      </c>
      <c r="AG278" s="9">
        <f t="shared" si="31"/>
        <v>2.08</v>
      </c>
      <c r="AH278" s="11">
        <f t="shared" si="33"/>
        <v>0</v>
      </c>
      <c r="AI278" s="11">
        <f t="shared" si="33"/>
        <v>2.4446499839999998</v>
      </c>
      <c r="AJ278" s="11">
        <f t="shared" si="33"/>
        <v>96.900447000000014</v>
      </c>
      <c r="AK278" s="11">
        <f t="shared" si="33"/>
        <v>2.852091648</v>
      </c>
      <c r="AL278" s="11">
        <f t="shared" si="33"/>
        <v>0</v>
      </c>
      <c r="AM278" s="2"/>
      <c r="AN278" s="2"/>
      <c r="AO278" s="2"/>
    </row>
    <row r="279" spans="1:41" x14ac:dyDescent="0.2">
      <c r="A279" s="2" t="s">
        <v>619</v>
      </c>
      <c r="B279" s="2" t="s">
        <v>427</v>
      </c>
      <c r="C279" s="2" t="s">
        <v>38</v>
      </c>
      <c r="D279" s="2" t="s">
        <v>39</v>
      </c>
      <c r="E279" s="2" t="s">
        <v>50</v>
      </c>
      <c r="F279" s="2" t="s">
        <v>620</v>
      </c>
      <c r="G279" s="2" t="s">
        <v>621</v>
      </c>
      <c r="H279" s="12">
        <v>3.4648919999999999</v>
      </c>
      <c r="I279" s="2">
        <v>0.86</v>
      </c>
      <c r="J279" s="2">
        <v>3.62</v>
      </c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9">
        <f t="shared" si="25"/>
        <v>2.9798071199999998E-2</v>
      </c>
      <c r="AB279" s="9">
        <f t="shared" si="26"/>
        <v>0.1254290904</v>
      </c>
      <c r="AC279" s="10">
        <f t="shared" si="27"/>
        <v>0</v>
      </c>
      <c r="AD279" s="10">
        <f t="shared" si="28"/>
        <v>0</v>
      </c>
      <c r="AE279" s="9">
        <f t="shared" si="29"/>
        <v>0</v>
      </c>
      <c r="AF279" s="9">
        <f t="shared" si="30"/>
        <v>0.1552271616</v>
      </c>
      <c r="AG279" s="9">
        <f t="shared" si="31"/>
        <v>4.4800000000000004</v>
      </c>
      <c r="AH279" s="11">
        <f t="shared" si="33"/>
        <v>2.9798071199999998</v>
      </c>
      <c r="AI279" s="11">
        <f t="shared" si="33"/>
        <v>12.54290904</v>
      </c>
      <c r="AJ279" s="11">
        <f t="shared" si="33"/>
        <v>0</v>
      </c>
      <c r="AK279" s="11">
        <f t="shared" si="33"/>
        <v>0</v>
      </c>
      <c r="AL279" s="11">
        <f t="shared" si="33"/>
        <v>0</v>
      </c>
      <c r="AM279" s="2"/>
      <c r="AN279" s="2"/>
      <c r="AO279" s="2"/>
    </row>
    <row r="280" spans="1:41" x14ac:dyDescent="0.2">
      <c r="A280" s="2" t="s">
        <v>622</v>
      </c>
      <c r="B280" s="2" t="s">
        <v>427</v>
      </c>
      <c r="C280" s="2" t="s">
        <v>623</v>
      </c>
      <c r="D280" s="2" t="s">
        <v>624</v>
      </c>
      <c r="E280" s="2" t="s">
        <v>50</v>
      </c>
      <c r="F280" s="2" t="s">
        <v>625</v>
      </c>
      <c r="G280" s="2" t="s">
        <v>626</v>
      </c>
      <c r="H280" s="2">
        <v>63.97</v>
      </c>
      <c r="I280" s="2">
        <v>0.21</v>
      </c>
      <c r="J280" s="2">
        <v>0.64</v>
      </c>
      <c r="K280" s="2">
        <v>23.63</v>
      </c>
      <c r="L280" s="2">
        <v>0.12</v>
      </c>
      <c r="M280" s="2"/>
      <c r="N280" s="2"/>
      <c r="O280" s="2"/>
      <c r="P280" s="2"/>
      <c r="Q280" s="12">
        <v>2.2450000000000001E-2</v>
      </c>
      <c r="R280" s="2">
        <v>5.07</v>
      </c>
      <c r="S280" s="2"/>
      <c r="T280" s="2"/>
      <c r="U280" s="2"/>
      <c r="V280" s="2"/>
      <c r="W280" s="2"/>
      <c r="X280" s="2"/>
      <c r="Y280" s="12">
        <v>1.1609E-2</v>
      </c>
      <c r="Z280" s="2" t="s">
        <v>416</v>
      </c>
      <c r="AA280" s="9">
        <f t="shared" si="25"/>
        <v>0.13433700000000001</v>
      </c>
      <c r="AB280" s="9">
        <f t="shared" si="26"/>
        <v>0.40940800000000005</v>
      </c>
      <c r="AC280" s="10">
        <f t="shared" si="27"/>
        <v>1511.6110999999999</v>
      </c>
      <c r="AD280" s="10">
        <f t="shared" si="28"/>
        <v>0</v>
      </c>
      <c r="AE280" s="9">
        <f t="shared" si="29"/>
        <v>7.6763999999999999E-2</v>
      </c>
      <c r="AF280" s="9">
        <f t="shared" si="30"/>
        <v>0.62050899999999998</v>
      </c>
      <c r="AG280" s="9">
        <f t="shared" si="31"/>
        <v>0.97</v>
      </c>
      <c r="AH280" s="11">
        <f t="shared" si="33"/>
        <v>13.4337</v>
      </c>
      <c r="AI280" s="11">
        <f t="shared" si="33"/>
        <v>40.940800000000003</v>
      </c>
      <c r="AJ280" s="11">
        <f t="shared" si="33"/>
        <v>1511.6110999999999</v>
      </c>
      <c r="AK280" s="11">
        <f t="shared" si="33"/>
        <v>7.6763999999999992</v>
      </c>
      <c r="AL280" s="11">
        <f t="shared" si="33"/>
        <v>0</v>
      </c>
      <c r="AM280" s="2"/>
      <c r="AN280" s="2"/>
      <c r="AO280" s="2"/>
    </row>
    <row r="281" spans="1:41" x14ac:dyDescent="0.2">
      <c r="A281" s="2" t="s">
        <v>627</v>
      </c>
      <c r="B281" s="2" t="s">
        <v>427</v>
      </c>
      <c r="C281" s="2" t="s">
        <v>48</v>
      </c>
      <c r="D281" s="2"/>
      <c r="E281" s="7" t="s">
        <v>40</v>
      </c>
      <c r="F281" s="2" t="s">
        <v>628</v>
      </c>
      <c r="G281" s="8" t="s">
        <v>447</v>
      </c>
      <c r="H281" s="12">
        <f>0.879964+0.039</f>
        <v>0.918964</v>
      </c>
      <c r="I281" s="13">
        <f>(0.7*0.879964+1.1*0.039)/$H281</f>
        <v>0.716975637783417</v>
      </c>
      <c r="J281" s="13">
        <f>(9.5*0.879964+7.3*0.039)/$H281</f>
        <v>9.4066339921912068</v>
      </c>
      <c r="K281" s="13">
        <f>(116.5*0.879964+137*0.039)/$H281</f>
        <v>117.37000143640012</v>
      </c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9">
        <f t="shared" si="25"/>
        <v>6.5887480000000002E-3</v>
      </c>
      <c r="AB281" s="9">
        <f t="shared" si="26"/>
        <v>8.6443580000000006E-2</v>
      </c>
      <c r="AC281" s="10">
        <f t="shared" si="27"/>
        <v>107.858806</v>
      </c>
      <c r="AD281" s="10">
        <f t="shared" si="28"/>
        <v>0</v>
      </c>
      <c r="AE281" s="9">
        <f t="shared" si="29"/>
        <v>0</v>
      </c>
      <c r="AF281" s="9">
        <f t="shared" si="30"/>
        <v>9.3032328000000011E-2</v>
      </c>
      <c r="AG281" s="9">
        <f t="shared" si="31"/>
        <v>10.123609629974624</v>
      </c>
      <c r="AH281" s="11">
        <f t="shared" si="33"/>
        <v>0.65887479999999998</v>
      </c>
      <c r="AI281" s="11">
        <f t="shared" si="33"/>
        <v>8.6443580000000004</v>
      </c>
      <c r="AJ281" s="11">
        <f t="shared" si="33"/>
        <v>107.858806</v>
      </c>
      <c r="AK281" s="11">
        <f t="shared" si="33"/>
        <v>0</v>
      </c>
      <c r="AL281" s="11">
        <f t="shared" si="33"/>
        <v>0</v>
      </c>
      <c r="AM281" s="2"/>
      <c r="AN281" s="2"/>
      <c r="AO281" s="2"/>
    </row>
    <row r="282" spans="1:41" x14ac:dyDescent="0.2">
      <c r="A282" s="2" t="s">
        <v>629</v>
      </c>
      <c r="B282" s="2" t="s">
        <v>427</v>
      </c>
      <c r="C282" s="2" t="s">
        <v>440</v>
      </c>
      <c r="D282" s="2"/>
      <c r="E282" s="2" t="s">
        <v>50</v>
      </c>
      <c r="F282" s="2" t="s">
        <v>630</v>
      </c>
      <c r="G282" s="2" t="s">
        <v>631</v>
      </c>
      <c r="H282" s="2">
        <f>0.365+0.243</f>
        <v>0.60799999999999998</v>
      </c>
      <c r="I282" s="13">
        <f>(5.3*0.365+4.1*0.243)/$H282</f>
        <v>4.820394736842105</v>
      </c>
      <c r="J282" s="13">
        <f>(5.3*0.365+5.1*0.243)/$H282</f>
        <v>5.2200657894736846</v>
      </c>
      <c r="K282" s="14">
        <f>(658*0.365+428*0.243)/$H282</f>
        <v>566.07565789473676</v>
      </c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9">
        <f t="shared" si="25"/>
        <v>2.9307999999999997E-2</v>
      </c>
      <c r="AB282" s="9">
        <f t="shared" si="26"/>
        <v>3.1738000000000002E-2</v>
      </c>
      <c r="AC282" s="10">
        <f t="shared" si="27"/>
        <v>344.17399999999992</v>
      </c>
      <c r="AD282" s="10">
        <f t="shared" si="28"/>
        <v>0</v>
      </c>
      <c r="AE282" s="9">
        <f t="shared" si="29"/>
        <v>0</v>
      </c>
      <c r="AF282" s="9">
        <f t="shared" si="30"/>
        <v>6.1046000000000003E-2</v>
      </c>
      <c r="AG282" s="9">
        <f t="shared" si="31"/>
        <v>10.04046052631579</v>
      </c>
      <c r="AH282" s="11">
        <f t="shared" si="33"/>
        <v>2.9307999999999996</v>
      </c>
      <c r="AI282" s="11">
        <f t="shared" si="33"/>
        <v>3.1738</v>
      </c>
      <c r="AJ282" s="11">
        <f t="shared" si="33"/>
        <v>344.17399999999992</v>
      </c>
      <c r="AK282" s="11">
        <f t="shared" si="33"/>
        <v>0</v>
      </c>
      <c r="AL282" s="11">
        <f t="shared" si="33"/>
        <v>0</v>
      </c>
      <c r="AM282" s="2"/>
      <c r="AN282" s="2"/>
      <c r="AO282" s="2"/>
    </row>
    <row r="283" spans="1:41" x14ac:dyDescent="0.2">
      <c r="A283" s="2" t="s">
        <v>632</v>
      </c>
      <c r="B283" s="2" t="s">
        <v>427</v>
      </c>
      <c r="C283" s="2" t="s">
        <v>440</v>
      </c>
      <c r="D283" s="2"/>
      <c r="E283" s="2" t="s">
        <v>50</v>
      </c>
      <c r="F283" s="2" t="s">
        <v>630</v>
      </c>
      <c r="G283" s="2" t="s">
        <v>633</v>
      </c>
      <c r="H283" s="2">
        <f>1.378+0.107</f>
        <v>1.4849999999999999</v>
      </c>
      <c r="I283" s="9">
        <f>(1.72*1.378+0.88*0.107)/$H283</f>
        <v>1.6594747474747475</v>
      </c>
      <c r="J283" s="9">
        <f>(5.7*1.378+4.21*0.107)/$H283</f>
        <v>5.5926397306397302</v>
      </c>
      <c r="K283" s="14">
        <f>(516*1.378+313*0.107)/$H283</f>
        <v>501.37306397306395</v>
      </c>
      <c r="L283" s="2"/>
      <c r="M283" s="9">
        <f>(0.42*1.378+0.27*0.107)/$H283</f>
        <v>0.40919191919191916</v>
      </c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9">
        <f t="shared" si="25"/>
        <v>2.4643199999999997E-2</v>
      </c>
      <c r="AB283" s="9">
        <f t="shared" si="26"/>
        <v>8.3050699999999991E-2</v>
      </c>
      <c r="AC283" s="10">
        <f t="shared" si="27"/>
        <v>744.53899999999987</v>
      </c>
      <c r="AD283" s="10">
        <f t="shared" si="28"/>
        <v>0.60764999999999991</v>
      </c>
      <c r="AE283" s="9">
        <f t="shared" si="29"/>
        <v>0</v>
      </c>
      <c r="AF283" s="9">
        <f t="shared" si="30"/>
        <v>0.10769389999999998</v>
      </c>
      <c r="AG283" s="9">
        <f t="shared" si="31"/>
        <v>7.2521144781144775</v>
      </c>
      <c r="AH283" s="11">
        <f t="shared" si="33"/>
        <v>2.4643199999999998</v>
      </c>
      <c r="AI283" s="11">
        <f t="shared" si="33"/>
        <v>8.3050699999999988</v>
      </c>
      <c r="AJ283" s="11">
        <f t="shared" si="33"/>
        <v>744.53899999999987</v>
      </c>
      <c r="AK283" s="11">
        <f t="shared" si="33"/>
        <v>0</v>
      </c>
      <c r="AL283" s="11">
        <f t="shared" si="33"/>
        <v>0.60764999999999991</v>
      </c>
      <c r="AM283" s="2"/>
      <c r="AN283" s="2"/>
      <c r="AO283" s="2"/>
    </row>
    <row r="284" spans="1:41" x14ac:dyDescent="0.2">
      <c r="A284" s="2" t="s">
        <v>634</v>
      </c>
      <c r="B284" s="2" t="s">
        <v>427</v>
      </c>
      <c r="C284" s="2" t="s">
        <v>440</v>
      </c>
      <c r="D284" s="2"/>
      <c r="E284" s="2" t="s">
        <v>50</v>
      </c>
      <c r="F284" s="2" t="s">
        <v>630</v>
      </c>
      <c r="G284" s="2" t="s">
        <v>631</v>
      </c>
      <c r="H284" s="2">
        <f>0.124+0.15</f>
        <v>0.27400000000000002</v>
      </c>
      <c r="I284" s="9">
        <f>(2.57*0.124+1.37*0.15)/$H284</f>
        <v>1.9130656934306567</v>
      </c>
      <c r="J284" s="9">
        <f>(1.72*0.124+0.92*0.15)/$H284</f>
        <v>1.282043795620438</v>
      </c>
      <c r="K284" s="14">
        <f>(1227*0.124+571*0.15)/$H284</f>
        <v>867.87591240875906</v>
      </c>
      <c r="L284" s="2"/>
      <c r="M284" s="9">
        <f>(0.17*0.124+0.16*0.15)/$H284</f>
        <v>0.16452554744525547</v>
      </c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9">
        <f t="shared" si="25"/>
        <v>5.2417999999999996E-3</v>
      </c>
      <c r="AB284" s="9">
        <f t="shared" si="26"/>
        <v>3.5128000000000004E-3</v>
      </c>
      <c r="AC284" s="10">
        <f t="shared" si="27"/>
        <v>237.798</v>
      </c>
      <c r="AD284" s="10">
        <f t="shared" si="28"/>
        <v>4.5080000000000002E-2</v>
      </c>
      <c r="AE284" s="9">
        <f t="shared" si="29"/>
        <v>0</v>
      </c>
      <c r="AF284" s="9">
        <f t="shared" si="30"/>
        <v>8.7545999999999995E-3</v>
      </c>
      <c r="AG284" s="9">
        <f t="shared" si="31"/>
        <v>3.1951094890510947</v>
      </c>
      <c r="AH284" s="11">
        <f t="shared" si="33"/>
        <v>0.52417999999999998</v>
      </c>
      <c r="AI284" s="11">
        <f t="shared" si="33"/>
        <v>0.35128000000000004</v>
      </c>
      <c r="AJ284" s="11">
        <f t="shared" si="33"/>
        <v>237.798</v>
      </c>
      <c r="AK284" s="11">
        <f t="shared" si="33"/>
        <v>0</v>
      </c>
      <c r="AL284" s="11">
        <f t="shared" si="33"/>
        <v>4.5080000000000002E-2</v>
      </c>
      <c r="AM284" s="2"/>
      <c r="AN284" s="2"/>
      <c r="AO284" s="2"/>
    </row>
    <row r="285" spans="1:41" x14ac:dyDescent="0.2">
      <c r="A285" s="2" t="s">
        <v>635</v>
      </c>
      <c r="B285" s="2" t="s">
        <v>427</v>
      </c>
      <c r="C285" s="2" t="s">
        <v>440</v>
      </c>
      <c r="D285" s="2"/>
      <c r="E285" s="2" t="s">
        <v>50</v>
      </c>
      <c r="F285" s="2" t="s">
        <v>630</v>
      </c>
      <c r="G285" s="2" t="s">
        <v>636</v>
      </c>
      <c r="H285" s="2">
        <f>0.585+0.236</f>
        <v>0.82099999999999995</v>
      </c>
      <c r="I285" s="9">
        <f>(1.23*0.585+1.05*0.236)/$H285</f>
        <v>1.178258221680877</v>
      </c>
      <c r="J285" s="9">
        <f>(13.74*0.585+11.52*0.236)/$H285</f>
        <v>13.101851400730817</v>
      </c>
      <c r="K285" s="14">
        <f>(194*0.585+203*0.236)/$H285</f>
        <v>196.58708891595614</v>
      </c>
      <c r="L285" s="2"/>
      <c r="M285" s="9">
        <f>(0.65*0.585+0.43*0.236)/$H285</f>
        <v>0.5867600487210719</v>
      </c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9">
        <f t="shared" si="25"/>
        <v>9.6734999999999998E-3</v>
      </c>
      <c r="AB285" s="9">
        <f t="shared" si="26"/>
        <v>0.1075662</v>
      </c>
      <c r="AC285" s="10">
        <f t="shared" si="27"/>
        <v>161.398</v>
      </c>
      <c r="AD285" s="10">
        <f t="shared" si="28"/>
        <v>0.48172999999999999</v>
      </c>
      <c r="AE285" s="9">
        <f t="shared" si="29"/>
        <v>0</v>
      </c>
      <c r="AF285" s="9">
        <f t="shared" si="30"/>
        <v>0.1172397</v>
      </c>
      <c r="AG285" s="9">
        <f t="shared" si="31"/>
        <v>14.280109622411695</v>
      </c>
      <c r="AH285" s="11">
        <f t="shared" si="33"/>
        <v>0.96734999999999993</v>
      </c>
      <c r="AI285" s="11">
        <f t="shared" si="33"/>
        <v>10.75662</v>
      </c>
      <c r="AJ285" s="11">
        <f t="shared" si="33"/>
        <v>161.398</v>
      </c>
      <c r="AK285" s="11">
        <f t="shared" si="33"/>
        <v>0</v>
      </c>
      <c r="AL285" s="11">
        <f t="shared" si="33"/>
        <v>0.48172999999999999</v>
      </c>
      <c r="AM285" s="2"/>
      <c r="AN285" s="2"/>
      <c r="AO285" s="2"/>
    </row>
    <row r="286" spans="1:41" x14ac:dyDescent="0.2">
      <c r="A286" s="2" t="s">
        <v>637</v>
      </c>
      <c r="B286" s="2" t="s">
        <v>427</v>
      </c>
      <c r="C286" s="2" t="s">
        <v>48</v>
      </c>
      <c r="D286" s="2"/>
      <c r="E286" s="2" t="s">
        <v>50</v>
      </c>
      <c r="F286" s="2" t="s">
        <v>63</v>
      </c>
      <c r="G286" s="2" t="s">
        <v>64</v>
      </c>
      <c r="H286" s="2">
        <f>17.3+0.77+3.4</f>
        <v>21.47</v>
      </c>
      <c r="I286" s="2"/>
      <c r="J286" s="9">
        <f>(4.49*17.3+5.6*0.77+7*3.4)/$H286</f>
        <v>4.9272938984629722</v>
      </c>
      <c r="K286" s="14">
        <f>(52*17.3+36*0.77+60*3.4)/$H286</f>
        <v>52.693060083837921</v>
      </c>
      <c r="L286" s="9">
        <f>(2.08*17.3+1.2*0.77+2*3.4)/$H286</f>
        <v>2.0357708430367953</v>
      </c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9">
        <f t="shared" si="25"/>
        <v>0</v>
      </c>
      <c r="AB286" s="9">
        <f t="shared" si="26"/>
        <v>1.05789</v>
      </c>
      <c r="AC286" s="10">
        <f t="shared" si="27"/>
        <v>1131.3200000000002</v>
      </c>
      <c r="AD286" s="10">
        <f t="shared" si="28"/>
        <v>0</v>
      </c>
      <c r="AE286" s="9">
        <f t="shared" si="29"/>
        <v>0.43707999999999991</v>
      </c>
      <c r="AF286" s="9">
        <f t="shared" si="30"/>
        <v>1.4949699999999999</v>
      </c>
      <c r="AG286" s="9">
        <f t="shared" si="31"/>
        <v>6.9630647414997675</v>
      </c>
      <c r="AH286" s="11">
        <f t="shared" si="33"/>
        <v>0</v>
      </c>
      <c r="AI286" s="11">
        <f t="shared" si="33"/>
        <v>105.789</v>
      </c>
      <c r="AJ286" s="11">
        <f t="shared" si="33"/>
        <v>1131.3200000000002</v>
      </c>
      <c r="AK286" s="11">
        <f t="shared" si="33"/>
        <v>43.707999999999991</v>
      </c>
      <c r="AL286" s="11">
        <f t="shared" si="33"/>
        <v>0</v>
      </c>
      <c r="AM286" s="2"/>
      <c r="AN286" s="2"/>
      <c r="AO286" s="2"/>
    </row>
    <row r="287" spans="1:41" x14ac:dyDescent="0.2">
      <c r="A287" s="2" t="s">
        <v>638</v>
      </c>
      <c r="B287" s="2" t="s">
        <v>427</v>
      </c>
      <c r="C287" s="2" t="s">
        <v>66</v>
      </c>
      <c r="D287" s="2" t="s">
        <v>639</v>
      </c>
      <c r="E287" s="2" t="s">
        <v>50</v>
      </c>
      <c r="F287" s="2" t="s">
        <v>640</v>
      </c>
      <c r="G287" s="2" t="s">
        <v>641</v>
      </c>
      <c r="H287" s="2">
        <f>321.8+317.8</f>
        <v>639.6</v>
      </c>
      <c r="I287" s="12">
        <f>(0.0236*321.8+0.0237*317.8)/$H287</f>
        <v>2.3649687304565351E-2</v>
      </c>
      <c r="J287" s="9"/>
      <c r="K287" s="13">
        <f>(4.8*321.8+4.6*317.8)/$H287</f>
        <v>4.700625390869293</v>
      </c>
      <c r="L287" s="9"/>
      <c r="M287" s="2"/>
      <c r="N287" s="2"/>
      <c r="O287" s="2"/>
      <c r="P287" s="2"/>
      <c r="Q287" s="2"/>
      <c r="R287" s="2"/>
      <c r="S287" s="12">
        <f>(0.071*321.8+0.041*317.8)/$H287</f>
        <v>5.6093808630393996E-2</v>
      </c>
      <c r="T287" s="2"/>
      <c r="U287" s="2"/>
      <c r="V287" s="2"/>
      <c r="W287" s="2"/>
      <c r="X287" s="2"/>
      <c r="Y287" s="2"/>
      <c r="Z287" s="2"/>
      <c r="AA287" s="9">
        <f t="shared" si="25"/>
        <v>0.15126339999999999</v>
      </c>
      <c r="AB287" s="9">
        <f t="shared" si="26"/>
        <v>0</v>
      </c>
      <c r="AC287" s="10">
        <f t="shared" si="27"/>
        <v>3006.52</v>
      </c>
      <c r="AD287" s="10">
        <f t="shared" si="28"/>
        <v>0</v>
      </c>
      <c r="AE287" s="9">
        <f t="shared" si="29"/>
        <v>0</v>
      </c>
      <c r="AF287" s="9">
        <f t="shared" si="30"/>
        <v>0.15126339999999999</v>
      </c>
      <c r="AG287" s="9">
        <f t="shared" si="31"/>
        <v>2.3649687304565351E-2</v>
      </c>
      <c r="AH287" s="11">
        <f t="shared" si="33"/>
        <v>15.126339999999999</v>
      </c>
      <c r="AI287" s="11">
        <f t="shared" si="33"/>
        <v>0</v>
      </c>
      <c r="AJ287" s="11">
        <f t="shared" si="33"/>
        <v>3006.52</v>
      </c>
      <c r="AK287" s="11">
        <f t="shared" si="33"/>
        <v>0</v>
      </c>
      <c r="AL287" s="11">
        <f t="shared" si="33"/>
        <v>0</v>
      </c>
      <c r="AM287" s="2"/>
      <c r="AN287" s="2"/>
      <c r="AO287" s="2"/>
    </row>
    <row r="288" spans="1:41" x14ac:dyDescent="0.2">
      <c r="A288" s="2" t="s">
        <v>642</v>
      </c>
      <c r="B288" s="2" t="s">
        <v>427</v>
      </c>
      <c r="C288" s="2" t="s">
        <v>66</v>
      </c>
      <c r="D288" s="2" t="s">
        <v>639</v>
      </c>
      <c r="E288" s="7" t="s">
        <v>40</v>
      </c>
      <c r="F288" s="2" t="s">
        <v>41</v>
      </c>
      <c r="G288" s="2" t="s">
        <v>438</v>
      </c>
      <c r="H288" s="12">
        <v>0.78628500000000001</v>
      </c>
      <c r="I288" s="2">
        <v>0.42</v>
      </c>
      <c r="J288" s="9">
        <v>0.5</v>
      </c>
      <c r="K288" s="2">
        <v>311.89999999999998</v>
      </c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9">
        <f t="shared" si="25"/>
        <v>3.3023969999999999E-3</v>
      </c>
      <c r="AB288" s="9">
        <f t="shared" si="26"/>
        <v>3.9314249999999997E-3</v>
      </c>
      <c r="AC288" s="10">
        <f t="shared" si="27"/>
        <v>245.24229149999999</v>
      </c>
      <c r="AD288" s="10">
        <f t="shared" si="28"/>
        <v>0</v>
      </c>
      <c r="AE288" s="9">
        <f t="shared" si="29"/>
        <v>0</v>
      </c>
      <c r="AF288" s="9">
        <f t="shared" si="30"/>
        <v>7.2338219999999991E-3</v>
      </c>
      <c r="AG288" s="9">
        <f t="shared" si="31"/>
        <v>0.91999999999999993</v>
      </c>
      <c r="AH288" s="11">
        <f t="shared" si="33"/>
        <v>0.33023969999999997</v>
      </c>
      <c r="AI288" s="11">
        <f t="shared" si="33"/>
        <v>0.39314250000000001</v>
      </c>
      <c r="AJ288" s="11">
        <f t="shared" si="33"/>
        <v>245.24229149999999</v>
      </c>
      <c r="AK288" s="11">
        <f t="shared" si="33"/>
        <v>0</v>
      </c>
      <c r="AL288" s="11">
        <f t="shared" si="33"/>
        <v>0</v>
      </c>
      <c r="AM288" s="2"/>
      <c r="AN288" s="2"/>
      <c r="AO288" s="2"/>
    </row>
    <row r="289" spans="1:41" x14ac:dyDescent="0.2">
      <c r="A289" s="2" t="s">
        <v>643</v>
      </c>
      <c r="B289" s="2" t="s">
        <v>427</v>
      </c>
      <c r="C289" s="2" t="s">
        <v>66</v>
      </c>
      <c r="D289" s="2" t="s">
        <v>639</v>
      </c>
      <c r="E289" s="7" t="s">
        <v>40</v>
      </c>
      <c r="F289" s="2" t="s">
        <v>41</v>
      </c>
      <c r="G289" s="2" t="s">
        <v>438</v>
      </c>
      <c r="H289" s="12">
        <v>0.48532399999999998</v>
      </c>
      <c r="I289" s="2">
        <v>0.59</v>
      </c>
      <c r="J289" s="2">
        <v>0.12</v>
      </c>
      <c r="K289" s="2">
        <v>336</v>
      </c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9">
        <f t="shared" si="25"/>
        <v>2.8634115999999999E-3</v>
      </c>
      <c r="AB289" s="9">
        <f t="shared" si="26"/>
        <v>5.8238879999999993E-4</v>
      </c>
      <c r="AC289" s="10">
        <f t="shared" si="27"/>
        <v>163.06886399999999</v>
      </c>
      <c r="AD289" s="10">
        <f t="shared" si="28"/>
        <v>0</v>
      </c>
      <c r="AE289" s="9">
        <f t="shared" si="29"/>
        <v>0</v>
      </c>
      <c r="AF289" s="9">
        <f t="shared" si="30"/>
        <v>3.4458003999999999E-3</v>
      </c>
      <c r="AG289" s="9">
        <f t="shared" si="31"/>
        <v>0.71</v>
      </c>
      <c r="AH289" s="11">
        <f t="shared" si="33"/>
        <v>0.28634115999999998</v>
      </c>
      <c r="AI289" s="11">
        <f t="shared" si="33"/>
        <v>5.8238879999999993E-2</v>
      </c>
      <c r="AJ289" s="11">
        <f t="shared" si="33"/>
        <v>163.06886399999999</v>
      </c>
      <c r="AK289" s="11">
        <f t="shared" si="33"/>
        <v>0</v>
      </c>
      <c r="AL289" s="11">
        <f t="shared" si="33"/>
        <v>0</v>
      </c>
      <c r="AM289" s="2"/>
      <c r="AN289" s="2"/>
      <c r="AO289" s="2"/>
    </row>
    <row r="290" spans="1:41" x14ac:dyDescent="0.2">
      <c r="A290" s="2" t="s">
        <v>644</v>
      </c>
      <c r="B290" s="2" t="s">
        <v>427</v>
      </c>
      <c r="C290" s="2" t="s">
        <v>54</v>
      </c>
      <c r="D290" s="2" t="s">
        <v>73</v>
      </c>
      <c r="E290" s="2" t="s">
        <v>50</v>
      </c>
      <c r="F290" s="2" t="s">
        <v>645</v>
      </c>
      <c r="G290" s="2" t="s">
        <v>646</v>
      </c>
      <c r="H290" s="2">
        <v>9.06</v>
      </c>
      <c r="I290" s="2">
        <v>0.69</v>
      </c>
      <c r="J290" s="2">
        <v>0.84</v>
      </c>
      <c r="K290" s="2">
        <v>84.78</v>
      </c>
      <c r="L290" s="2">
        <v>0.09</v>
      </c>
      <c r="M290" s="2">
        <v>3.54</v>
      </c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9">
        <f t="shared" si="25"/>
        <v>6.2514E-2</v>
      </c>
      <c r="AB290" s="9">
        <f t="shared" si="26"/>
        <v>7.6104000000000005E-2</v>
      </c>
      <c r="AC290" s="10">
        <f t="shared" si="27"/>
        <v>768.10680000000002</v>
      </c>
      <c r="AD290" s="10">
        <f t="shared" si="28"/>
        <v>32.072400000000002</v>
      </c>
      <c r="AE290" s="9">
        <f t="shared" si="29"/>
        <v>8.1539999999999998E-3</v>
      </c>
      <c r="AF290" s="9">
        <f t="shared" si="30"/>
        <v>0.14677200000000001</v>
      </c>
      <c r="AG290" s="9">
        <f t="shared" si="31"/>
        <v>1.6199999999999999</v>
      </c>
      <c r="AH290" s="11">
        <f t="shared" ref="AH290:AL305" si="34">$H290*I290</f>
        <v>6.2514000000000003</v>
      </c>
      <c r="AI290" s="11">
        <f t="shared" si="34"/>
        <v>7.6104000000000003</v>
      </c>
      <c r="AJ290" s="11">
        <f t="shared" si="34"/>
        <v>768.10680000000002</v>
      </c>
      <c r="AK290" s="11">
        <f t="shared" si="34"/>
        <v>0.81540000000000001</v>
      </c>
      <c r="AL290" s="11">
        <f t="shared" si="34"/>
        <v>32.072400000000002</v>
      </c>
      <c r="AM290" s="2"/>
      <c r="AN290" s="2"/>
      <c r="AO290" s="2"/>
    </row>
    <row r="291" spans="1:41" x14ac:dyDescent="0.2">
      <c r="A291" s="2" t="s">
        <v>647</v>
      </c>
      <c r="B291" s="2" t="s">
        <v>427</v>
      </c>
      <c r="C291" s="2" t="s">
        <v>187</v>
      </c>
      <c r="D291" s="2"/>
      <c r="E291" s="7" t="s">
        <v>40</v>
      </c>
      <c r="F291" s="2" t="s">
        <v>41</v>
      </c>
      <c r="G291" s="2" t="s">
        <v>438</v>
      </c>
      <c r="H291" s="12">
        <v>1.7935E-2</v>
      </c>
      <c r="I291" s="2">
        <v>8.1999999999999993</v>
      </c>
      <c r="J291" s="2">
        <v>8</v>
      </c>
      <c r="K291" s="2">
        <v>240</v>
      </c>
      <c r="L291" s="2"/>
      <c r="M291" s="2">
        <v>9.26</v>
      </c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9">
        <f t="shared" si="25"/>
        <v>1.4706699999999997E-3</v>
      </c>
      <c r="AB291" s="9">
        <f t="shared" si="26"/>
        <v>1.4348E-3</v>
      </c>
      <c r="AC291" s="10">
        <f t="shared" si="27"/>
        <v>4.3044000000000002</v>
      </c>
      <c r="AD291" s="10">
        <f t="shared" si="28"/>
        <v>0.16607809999999998</v>
      </c>
      <c r="AE291" s="9">
        <f t="shared" si="29"/>
        <v>0</v>
      </c>
      <c r="AF291" s="9">
        <f t="shared" si="30"/>
        <v>2.9054699999999994E-3</v>
      </c>
      <c r="AG291" s="9">
        <f t="shared" si="31"/>
        <v>16.2</v>
      </c>
      <c r="AH291" s="11">
        <f t="shared" si="34"/>
        <v>0.14706699999999998</v>
      </c>
      <c r="AI291" s="11">
        <f t="shared" si="34"/>
        <v>0.14348</v>
      </c>
      <c r="AJ291" s="11">
        <f t="shared" si="34"/>
        <v>4.3044000000000002</v>
      </c>
      <c r="AK291" s="11">
        <f t="shared" si="34"/>
        <v>0</v>
      </c>
      <c r="AL291" s="11">
        <f t="shared" si="34"/>
        <v>0.16607809999999998</v>
      </c>
      <c r="AM291" s="2"/>
      <c r="AN291" s="2"/>
      <c r="AO291" s="2"/>
    </row>
    <row r="292" spans="1:41" x14ac:dyDescent="0.2">
      <c r="A292" s="2" t="s">
        <v>648</v>
      </c>
      <c r="B292" s="2" t="s">
        <v>427</v>
      </c>
      <c r="C292" s="2" t="s">
        <v>38</v>
      </c>
      <c r="D292" s="2" t="s">
        <v>62</v>
      </c>
      <c r="E292" s="7" t="s">
        <v>40</v>
      </c>
      <c r="F292" s="2" t="s">
        <v>41</v>
      </c>
      <c r="G292" s="8" t="s">
        <v>44</v>
      </c>
      <c r="H292" s="2">
        <v>0.01</v>
      </c>
      <c r="I292" s="2">
        <v>5.36</v>
      </c>
      <c r="J292" s="2">
        <v>15.6</v>
      </c>
      <c r="K292" s="2">
        <v>66.5</v>
      </c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9">
        <f t="shared" si="25"/>
        <v>5.3600000000000002E-4</v>
      </c>
      <c r="AB292" s="9">
        <f t="shared" si="26"/>
        <v>1.56E-3</v>
      </c>
      <c r="AC292" s="10">
        <f t="shared" si="27"/>
        <v>0.66500000000000004</v>
      </c>
      <c r="AD292" s="10">
        <f t="shared" si="28"/>
        <v>0</v>
      </c>
      <c r="AE292" s="9">
        <f t="shared" si="29"/>
        <v>0</v>
      </c>
      <c r="AF292" s="9">
        <f t="shared" si="30"/>
        <v>2.0959999999999998E-3</v>
      </c>
      <c r="AG292" s="9">
        <f t="shared" si="31"/>
        <v>20.96</v>
      </c>
      <c r="AH292" s="11">
        <f t="shared" si="34"/>
        <v>5.3600000000000002E-2</v>
      </c>
      <c r="AI292" s="11">
        <f t="shared" si="34"/>
        <v>0.156</v>
      </c>
      <c r="AJ292" s="11">
        <f t="shared" si="34"/>
        <v>0.66500000000000004</v>
      </c>
      <c r="AK292" s="11">
        <f t="shared" si="34"/>
        <v>0</v>
      </c>
      <c r="AL292" s="11">
        <f t="shared" si="34"/>
        <v>0</v>
      </c>
      <c r="AM292" s="2"/>
      <c r="AN292" s="2"/>
      <c r="AO292" s="2"/>
    </row>
    <row r="293" spans="1:41" x14ac:dyDescent="0.2">
      <c r="A293" s="2" t="s">
        <v>649</v>
      </c>
      <c r="B293" s="2" t="s">
        <v>427</v>
      </c>
      <c r="C293" s="2" t="s">
        <v>48</v>
      </c>
      <c r="D293" s="2"/>
      <c r="E293" s="2" t="s">
        <v>50</v>
      </c>
      <c r="F293" s="2" t="s">
        <v>529</v>
      </c>
      <c r="G293" s="2" t="s">
        <v>650</v>
      </c>
      <c r="H293" s="2">
        <f>11.3+1.5</f>
        <v>12.8</v>
      </c>
      <c r="I293" s="13">
        <f>(1.5*11.3+3.1*1.5)/$H293</f>
        <v>1.6875</v>
      </c>
      <c r="J293" s="13">
        <f>(5.9*11.3+6.4*1.5)/$H293</f>
        <v>5.9585937500000004</v>
      </c>
      <c r="K293" s="2">
        <v>138</v>
      </c>
      <c r="L293" s="9">
        <f>(0.9*11.3+0.14*1.5)/$H293</f>
        <v>0.8109375000000002</v>
      </c>
      <c r="M293" s="9">
        <f>(1.3*11.3+2*1.5)/$H293</f>
        <v>1.38203125</v>
      </c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9">
        <f t="shared" si="25"/>
        <v>0.21600000000000003</v>
      </c>
      <c r="AB293" s="9">
        <f t="shared" si="26"/>
        <v>0.76270000000000016</v>
      </c>
      <c r="AC293" s="10">
        <f t="shared" si="27"/>
        <v>1766.4</v>
      </c>
      <c r="AD293" s="10">
        <f t="shared" si="28"/>
        <v>17.690000000000001</v>
      </c>
      <c r="AE293" s="9">
        <f t="shared" si="29"/>
        <v>0.10380000000000003</v>
      </c>
      <c r="AF293" s="9">
        <f t="shared" si="30"/>
        <v>1.0825000000000002</v>
      </c>
      <c r="AG293" s="9">
        <f t="shared" si="31"/>
        <v>8.45703125</v>
      </c>
      <c r="AH293" s="11">
        <f t="shared" si="34"/>
        <v>21.6</v>
      </c>
      <c r="AI293" s="11">
        <f t="shared" si="34"/>
        <v>76.27000000000001</v>
      </c>
      <c r="AJ293" s="11">
        <f t="shared" si="34"/>
        <v>1766.4</v>
      </c>
      <c r="AK293" s="11">
        <f t="shared" si="34"/>
        <v>10.380000000000003</v>
      </c>
      <c r="AL293" s="11">
        <f t="shared" si="34"/>
        <v>17.690000000000001</v>
      </c>
      <c r="AM293" s="2"/>
      <c r="AN293" s="2"/>
      <c r="AO293" s="2"/>
    </row>
    <row r="294" spans="1:41" x14ac:dyDescent="0.2">
      <c r="A294" s="2" t="s">
        <v>651</v>
      </c>
      <c r="B294" s="2" t="s">
        <v>427</v>
      </c>
      <c r="C294" s="2" t="s">
        <v>48</v>
      </c>
      <c r="D294" s="2"/>
      <c r="E294" s="2" t="s">
        <v>50</v>
      </c>
      <c r="F294" s="2" t="s">
        <v>652</v>
      </c>
      <c r="G294" s="2" t="s">
        <v>582</v>
      </c>
      <c r="H294" s="2">
        <f>5.421+5.859+1.09</f>
        <v>12.370000000000001</v>
      </c>
      <c r="I294" s="2"/>
      <c r="J294" s="9">
        <f>(2.86*5.421+3.67*5.859+2.04*1.09)/$H294</f>
        <v>3.1713977364591752</v>
      </c>
      <c r="K294" s="13">
        <f>(31.4*5.421+41.6*5.859+30.7*1.09)/$H294</f>
        <v>36.16950687146322</v>
      </c>
      <c r="L294" s="9">
        <f>(2.15*5.421+2.24*5.859+1.74*1.09)/$H294</f>
        <v>2.1565004042037188</v>
      </c>
      <c r="M294" s="9">
        <f>(0.34*5.421+0.45*5.859+0.35*1.09)/$H294</f>
        <v>0.39298221503637837</v>
      </c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9">
        <f t="shared" si="25"/>
        <v>0</v>
      </c>
      <c r="AB294" s="9">
        <f t="shared" si="26"/>
        <v>0.39230189999999998</v>
      </c>
      <c r="AC294" s="10">
        <f t="shared" si="27"/>
        <v>447.41680000000008</v>
      </c>
      <c r="AD294" s="10">
        <f t="shared" si="28"/>
        <v>4.8611900000000006</v>
      </c>
      <c r="AE294" s="9">
        <f t="shared" si="29"/>
        <v>0.26675910000000003</v>
      </c>
      <c r="AF294" s="9">
        <f t="shared" si="30"/>
        <v>0.65906100000000001</v>
      </c>
      <c r="AG294" s="9">
        <f t="shared" si="31"/>
        <v>5.327898140662894</v>
      </c>
      <c r="AH294" s="11">
        <f t="shared" si="34"/>
        <v>0</v>
      </c>
      <c r="AI294" s="11">
        <f t="shared" si="34"/>
        <v>39.23019</v>
      </c>
      <c r="AJ294" s="11">
        <f t="shared" si="34"/>
        <v>447.41680000000008</v>
      </c>
      <c r="AK294" s="11">
        <f t="shared" si="34"/>
        <v>26.675910000000005</v>
      </c>
      <c r="AL294" s="11">
        <f t="shared" si="34"/>
        <v>4.8611900000000006</v>
      </c>
      <c r="AM294" s="2"/>
      <c r="AN294" s="2"/>
      <c r="AO294" s="2"/>
    </row>
    <row r="295" spans="1:41" x14ac:dyDescent="0.2">
      <c r="A295" s="2" t="s">
        <v>653</v>
      </c>
      <c r="B295" s="2" t="s">
        <v>427</v>
      </c>
      <c r="C295" s="2" t="s">
        <v>48</v>
      </c>
      <c r="D295" s="2"/>
      <c r="E295" s="2" t="s">
        <v>50</v>
      </c>
      <c r="F295" s="2" t="s">
        <v>654</v>
      </c>
      <c r="G295" s="2" t="s">
        <v>64</v>
      </c>
      <c r="H295" s="2">
        <f>5.978+18.149+4.242+10.536</f>
        <v>38.905000000000001</v>
      </c>
      <c r="I295" s="9">
        <f>(0.07*5.978+0.03*18.149+0.16*4.242+0.05*10.536)/$H295</f>
        <v>5.573705179282868E-2</v>
      </c>
      <c r="J295" s="9">
        <f>(0.6*5.978+0.69*18.149+1.61*4.242+0.55*10.536)/$H295</f>
        <v>0.73856907852461129</v>
      </c>
      <c r="K295" s="13">
        <f>(23.27*5.978+18.37*18.149+32.53*4.242+14.72*10.536)/$H295</f>
        <v>19.678379899755818</v>
      </c>
      <c r="L295" s="9">
        <f>(0.31*5.978+0.23*18.149+0.16*4.242+0.27*10.536)/$H295</f>
        <v>0.24549261020434393</v>
      </c>
      <c r="M295" s="9">
        <f>(3.48*5.978+5.5*18.149+2.12*4.242+4.61*10.536)/$H295</f>
        <v>4.5800524354196117</v>
      </c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9">
        <f t="shared" si="25"/>
        <v>2.1684499999999999E-2</v>
      </c>
      <c r="AB295" s="9">
        <f t="shared" si="26"/>
        <v>0.28734030000000005</v>
      </c>
      <c r="AC295" s="10">
        <f t="shared" si="27"/>
        <v>765.58737000000008</v>
      </c>
      <c r="AD295" s="10">
        <f t="shared" si="28"/>
        <v>178.18693999999999</v>
      </c>
      <c r="AE295" s="9">
        <f t="shared" si="29"/>
        <v>9.5508900000000008E-2</v>
      </c>
      <c r="AF295" s="9">
        <f t="shared" si="30"/>
        <v>0.40453370000000005</v>
      </c>
      <c r="AG295" s="9">
        <f t="shared" si="31"/>
        <v>1.0397987405217839</v>
      </c>
      <c r="AH295" s="11">
        <f t="shared" si="34"/>
        <v>2.16845</v>
      </c>
      <c r="AI295" s="11">
        <f t="shared" si="34"/>
        <v>28.734030000000004</v>
      </c>
      <c r="AJ295" s="11">
        <f t="shared" si="34"/>
        <v>765.58737000000008</v>
      </c>
      <c r="AK295" s="11">
        <f t="shared" si="34"/>
        <v>9.5508900000000008</v>
      </c>
      <c r="AL295" s="11">
        <f t="shared" si="34"/>
        <v>178.18693999999999</v>
      </c>
      <c r="AM295" s="2"/>
      <c r="AN295" s="2"/>
      <c r="AO295" s="2"/>
    </row>
    <row r="296" spans="1:41" x14ac:dyDescent="0.2">
      <c r="A296" s="2" t="s">
        <v>655</v>
      </c>
      <c r="B296" s="2" t="s">
        <v>427</v>
      </c>
      <c r="C296" s="2" t="s">
        <v>38</v>
      </c>
      <c r="D296" s="2" t="s">
        <v>62</v>
      </c>
      <c r="E296" s="7" t="s">
        <v>40</v>
      </c>
      <c r="F296" s="2" t="s">
        <v>41</v>
      </c>
      <c r="G296" s="8" t="s">
        <v>461</v>
      </c>
      <c r="H296" s="2">
        <v>0.03</v>
      </c>
      <c r="I296" s="2"/>
      <c r="J296" s="2">
        <v>12.03</v>
      </c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9">
        <f t="shared" si="25"/>
        <v>0</v>
      </c>
      <c r="AB296" s="9">
        <f t="shared" si="26"/>
        <v>3.6089999999999994E-3</v>
      </c>
      <c r="AC296" s="10">
        <f t="shared" si="27"/>
        <v>0</v>
      </c>
      <c r="AD296" s="10">
        <f t="shared" si="28"/>
        <v>0</v>
      </c>
      <c r="AE296" s="9">
        <f t="shared" si="29"/>
        <v>0</v>
      </c>
      <c r="AF296" s="9">
        <f t="shared" si="30"/>
        <v>3.6089999999999994E-3</v>
      </c>
      <c r="AG296" s="9">
        <f t="shared" si="31"/>
        <v>12.03</v>
      </c>
      <c r="AH296" s="11">
        <f t="shared" si="34"/>
        <v>0</v>
      </c>
      <c r="AI296" s="11">
        <f t="shared" si="34"/>
        <v>0.36089999999999994</v>
      </c>
      <c r="AJ296" s="11">
        <f t="shared" si="34"/>
        <v>0</v>
      </c>
      <c r="AK296" s="11">
        <f t="shared" si="34"/>
        <v>0</v>
      </c>
      <c r="AL296" s="11">
        <f t="shared" si="34"/>
        <v>0</v>
      </c>
      <c r="AM296" s="2"/>
      <c r="AN296" s="2"/>
      <c r="AO296" s="2"/>
    </row>
    <row r="297" spans="1:41" x14ac:dyDescent="0.2">
      <c r="A297" s="2" t="s">
        <v>656</v>
      </c>
      <c r="B297" s="2" t="s">
        <v>427</v>
      </c>
      <c r="C297" s="2" t="s">
        <v>48</v>
      </c>
      <c r="D297" s="2"/>
      <c r="E297" s="2" t="s">
        <v>50</v>
      </c>
      <c r="F297" s="2" t="s">
        <v>657</v>
      </c>
      <c r="G297" s="2" t="s">
        <v>64</v>
      </c>
      <c r="H297" s="2">
        <f>2.54+2.31+0.86</f>
        <v>5.71</v>
      </c>
      <c r="I297" s="9">
        <f>(0.24*2.54+0.26*2.31+0.19*0.86)/$H297</f>
        <v>0.24056042031523642</v>
      </c>
      <c r="J297" s="9">
        <f>(10.71*2.54+9.93*2.31+7.19*0.86)/$H297</f>
        <v>9.8642907180385286</v>
      </c>
      <c r="K297" s="13">
        <f>(51.65*2.54+51.74*2.31+43.12*0.86)/$H297</f>
        <v>50.401681260945708</v>
      </c>
      <c r="L297" s="9">
        <f>(0.66*2.54+0.66*2.31+0.38*0.86)/$H297</f>
        <v>0.61782837127845891</v>
      </c>
      <c r="M297" s="9">
        <f>(0.04*2.54+0.1*2.31+0.07*0.86)/$H297</f>
        <v>6.8791593695271464E-2</v>
      </c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9">
        <f t="shared" si="25"/>
        <v>1.3736E-2</v>
      </c>
      <c r="AB297" s="9">
        <f t="shared" si="26"/>
        <v>0.56325099999999995</v>
      </c>
      <c r="AC297" s="10">
        <f t="shared" si="27"/>
        <v>287.79359999999997</v>
      </c>
      <c r="AD297" s="10">
        <f t="shared" si="28"/>
        <v>0.39280000000000004</v>
      </c>
      <c r="AE297" s="9">
        <f t="shared" si="29"/>
        <v>3.5278000000000004E-2</v>
      </c>
      <c r="AF297" s="9">
        <f t="shared" si="30"/>
        <v>0.61226499999999995</v>
      </c>
      <c r="AG297" s="9">
        <f t="shared" si="31"/>
        <v>10.722679509632226</v>
      </c>
      <c r="AH297" s="11">
        <f t="shared" si="34"/>
        <v>1.3735999999999999</v>
      </c>
      <c r="AI297" s="11">
        <f t="shared" si="34"/>
        <v>56.325099999999999</v>
      </c>
      <c r="AJ297" s="11">
        <f t="shared" si="34"/>
        <v>287.79359999999997</v>
      </c>
      <c r="AK297" s="11">
        <f t="shared" si="34"/>
        <v>3.5278000000000005</v>
      </c>
      <c r="AL297" s="11">
        <f t="shared" si="34"/>
        <v>0.39280000000000004</v>
      </c>
      <c r="AM297" s="2"/>
      <c r="AN297" s="2"/>
      <c r="AO297" s="2"/>
    </row>
    <row r="298" spans="1:41" x14ac:dyDescent="0.2">
      <c r="A298" s="2" t="s">
        <v>658</v>
      </c>
      <c r="B298" s="2" t="s">
        <v>427</v>
      </c>
      <c r="C298" s="2" t="s">
        <v>48</v>
      </c>
      <c r="D298" s="2"/>
      <c r="E298" s="2" t="s">
        <v>50</v>
      </c>
      <c r="F298" s="2" t="s">
        <v>659</v>
      </c>
      <c r="G298" s="2" t="s">
        <v>615</v>
      </c>
      <c r="H298" s="12">
        <f>1.1467+0.6696</f>
        <v>1.8163</v>
      </c>
      <c r="I298" s="9">
        <f>(0.58*1.1467+0.44*0.6696)/$H298</f>
        <v>0.52838738093927207</v>
      </c>
      <c r="J298" s="9">
        <f>(3.01*1.1467+2.26*0.6696)/$H298</f>
        <v>2.7335038264603861</v>
      </c>
      <c r="K298" s="13">
        <f>(32.97*1.1467+32.99*0.6696)/$H298</f>
        <v>32.977373231294393</v>
      </c>
      <c r="L298" s="9">
        <f>(1.05*1.1467+0.9*0.6696)/$H298</f>
        <v>0.9947007652920774</v>
      </c>
      <c r="M298" s="9">
        <f>(1.97*1.1467+1.9*0.6696)/$H298</f>
        <v>1.9441936904696362</v>
      </c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9">
        <f t="shared" si="25"/>
        <v>9.597099999999999E-3</v>
      </c>
      <c r="AB298" s="9">
        <f t="shared" si="26"/>
        <v>4.9648629999999992E-2</v>
      </c>
      <c r="AC298" s="10">
        <f t="shared" si="27"/>
        <v>59.896803000000006</v>
      </c>
      <c r="AD298" s="10">
        <f t="shared" si="28"/>
        <v>3.5312390000000002</v>
      </c>
      <c r="AE298" s="9">
        <f t="shared" si="29"/>
        <v>1.8066750000000003E-2</v>
      </c>
      <c r="AF298" s="9">
        <f t="shared" si="30"/>
        <v>7.7312479999999989E-2</v>
      </c>
      <c r="AG298" s="9">
        <f t="shared" si="31"/>
        <v>4.2565919726917354</v>
      </c>
      <c r="AH298" s="11">
        <f t="shared" si="34"/>
        <v>0.95970999999999984</v>
      </c>
      <c r="AI298" s="11">
        <f t="shared" si="34"/>
        <v>4.9648629999999994</v>
      </c>
      <c r="AJ298" s="11">
        <f t="shared" si="34"/>
        <v>59.896803000000006</v>
      </c>
      <c r="AK298" s="11">
        <f t="shared" si="34"/>
        <v>1.8066750000000003</v>
      </c>
      <c r="AL298" s="11">
        <f t="shared" si="34"/>
        <v>3.5312390000000002</v>
      </c>
      <c r="AM298" s="2"/>
      <c r="AN298" s="2"/>
      <c r="AO298" s="2"/>
    </row>
    <row r="299" spans="1:41" x14ac:dyDescent="0.2">
      <c r="A299" s="2" t="s">
        <v>660</v>
      </c>
      <c r="B299" s="2" t="s">
        <v>427</v>
      </c>
      <c r="C299" s="2" t="s">
        <v>38</v>
      </c>
      <c r="D299" s="2" t="s">
        <v>62</v>
      </c>
      <c r="E299" s="7" t="s">
        <v>40</v>
      </c>
      <c r="F299" s="2" t="s">
        <v>41</v>
      </c>
      <c r="G299" s="8" t="s">
        <v>483</v>
      </c>
      <c r="H299" s="2">
        <v>0.127</v>
      </c>
      <c r="I299" s="2"/>
      <c r="J299" s="13">
        <v>8</v>
      </c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9">
        <f t="shared" si="25"/>
        <v>0</v>
      </c>
      <c r="AB299" s="9">
        <f t="shared" si="26"/>
        <v>1.0160000000000001E-2</v>
      </c>
      <c r="AC299" s="10">
        <f t="shared" si="27"/>
        <v>0</v>
      </c>
      <c r="AD299" s="10">
        <f t="shared" si="28"/>
        <v>0</v>
      </c>
      <c r="AE299" s="9">
        <f t="shared" si="29"/>
        <v>0</v>
      </c>
      <c r="AF299" s="9">
        <f t="shared" si="30"/>
        <v>1.0160000000000001E-2</v>
      </c>
      <c r="AG299" s="9">
        <f t="shared" si="31"/>
        <v>8</v>
      </c>
      <c r="AH299" s="11">
        <f t="shared" si="34"/>
        <v>0</v>
      </c>
      <c r="AI299" s="11">
        <f t="shared" si="34"/>
        <v>1.016</v>
      </c>
      <c r="AJ299" s="11">
        <f t="shared" si="34"/>
        <v>0</v>
      </c>
      <c r="AK299" s="11">
        <f t="shared" si="34"/>
        <v>0</v>
      </c>
      <c r="AL299" s="11">
        <f t="shared" si="34"/>
        <v>0</v>
      </c>
      <c r="AM299" s="2"/>
      <c r="AN299" s="2"/>
      <c r="AO299" s="2"/>
    </row>
    <row r="300" spans="1:41" x14ac:dyDescent="0.2">
      <c r="A300" s="2" t="s">
        <v>661</v>
      </c>
      <c r="B300" s="2" t="s">
        <v>427</v>
      </c>
      <c r="C300" s="2" t="s">
        <v>48</v>
      </c>
      <c r="D300" s="2"/>
      <c r="E300" s="2" t="s">
        <v>50</v>
      </c>
      <c r="F300" s="2" t="s">
        <v>471</v>
      </c>
      <c r="G300" s="2" t="s">
        <v>662</v>
      </c>
      <c r="H300" s="2">
        <f>1.52+2.27</f>
        <v>3.79</v>
      </c>
      <c r="I300" s="9">
        <f>(1.07*1.52+0.74*2.27)/$H300</f>
        <v>0.87234828496042216</v>
      </c>
      <c r="J300" s="9">
        <f>(4.87*1.52+3.18*2.27)/$H300</f>
        <v>3.8577836411609501</v>
      </c>
      <c r="K300" s="13">
        <f>(51.1*1.52+36.53*2.27)/$H300</f>
        <v>42.373377308707127</v>
      </c>
      <c r="L300" s="9">
        <f>(0.52*1.52+0.36*2.27)/$H300</f>
        <v>0.4241688654353562</v>
      </c>
      <c r="M300" s="9">
        <f>(0.92*1.52+0.77*2.27)/$H300</f>
        <v>0.83015831134564644</v>
      </c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9">
        <f t="shared" si="25"/>
        <v>3.3062000000000001E-2</v>
      </c>
      <c r="AB300" s="9">
        <f t="shared" si="26"/>
        <v>0.14621000000000001</v>
      </c>
      <c r="AC300" s="10">
        <f t="shared" si="27"/>
        <v>160.5951</v>
      </c>
      <c r="AD300" s="10">
        <f t="shared" si="28"/>
        <v>3.1463000000000001</v>
      </c>
      <c r="AE300" s="9">
        <f t="shared" si="29"/>
        <v>1.6076E-2</v>
      </c>
      <c r="AF300" s="9">
        <f t="shared" si="30"/>
        <v>0.19534800000000002</v>
      </c>
      <c r="AG300" s="9">
        <f t="shared" si="31"/>
        <v>5.1543007915567287</v>
      </c>
      <c r="AH300" s="11">
        <f t="shared" si="34"/>
        <v>3.3062</v>
      </c>
      <c r="AI300" s="11">
        <f t="shared" si="34"/>
        <v>14.621</v>
      </c>
      <c r="AJ300" s="11">
        <f t="shared" si="34"/>
        <v>160.5951</v>
      </c>
      <c r="AK300" s="11">
        <f t="shared" si="34"/>
        <v>1.6075999999999999</v>
      </c>
      <c r="AL300" s="11">
        <f t="shared" si="34"/>
        <v>3.1463000000000001</v>
      </c>
      <c r="AM300" s="2"/>
      <c r="AN300" s="2"/>
      <c r="AO300" s="2"/>
    </row>
    <row r="301" spans="1:41" x14ac:dyDescent="0.2">
      <c r="A301" s="2" t="s">
        <v>663</v>
      </c>
      <c r="B301" s="2" t="s">
        <v>427</v>
      </c>
      <c r="C301" s="2" t="s">
        <v>48</v>
      </c>
      <c r="D301" s="2"/>
      <c r="E301" s="7" t="s">
        <v>40</v>
      </c>
      <c r="F301" s="2" t="s">
        <v>41</v>
      </c>
      <c r="G301" s="2" t="s">
        <v>438</v>
      </c>
      <c r="H301" s="12">
        <v>0.31748500000000002</v>
      </c>
      <c r="I301" s="2">
        <v>0.65</v>
      </c>
      <c r="J301" s="2">
        <v>6.6</v>
      </c>
      <c r="K301" s="13">
        <v>140.54</v>
      </c>
      <c r="L301" s="2">
        <v>1.6</v>
      </c>
      <c r="M301" s="2">
        <v>4.1100000000000003</v>
      </c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9">
        <f t="shared" si="25"/>
        <v>2.0636525000000002E-3</v>
      </c>
      <c r="AB301" s="9">
        <f t="shared" si="26"/>
        <v>2.0954009999999999E-2</v>
      </c>
      <c r="AC301" s="10">
        <f t="shared" si="27"/>
        <v>44.619341900000002</v>
      </c>
      <c r="AD301" s="10">
        <f t="shared" si="28"/>
        <v>1.3048633500000002</v>
      </c>
      <c r="AE301" s="9">
        <f t="shared" si="29"/>
        <v>5.0797600000000009E-3</v>
      </c>
      <c r="AF301" s="9">
        <f t="shared" si="30"/>
        <v>2.8097422499999997E-2</v>
      </c>
      <c r="AG301" s="9">
        <f t="shared" si="31"/>
        <v>8.85</v>
      </c>
      <c r="AH301" s="11">
        <f t="shared" si="34"/>
        <v>0.20636525000000003</v>
      </c>
      <c r="AI301" s="11">
        <f t="shared" si="34"/>
        <v>2.0954009999999998</v>
      </c>
      <c r="AJ301" s="11">
        <f t="shared" si="34"/>
        <v>44.619341900000002</v>
      </c>
      <c r="AK301" s="11">
        <f t="shared" si="34"/>
        <v>0.50797600000000009</v>
      </c>
      <c r="AL301" s="11">
        <f t="shared" si="34"/>
        <v>1.3048633500000002</v>
      </c>
      <c r="AM301" s="2"/>
      <c r="AN301" s="2"/>
      <c r="AO301" s="2"/>
    </row>
    <row r="302" spans="1:41" x14ac:dyDescent="0.2">
      <c r="A302" s="2" t="s">
        <v>664</v>
      </c>
      <c r="B302" s="2" t="s">
        <v>427</v>
      </c>
      <c r="C302" s="2" t="s">
        <v>48</v>
      </c>
      <c r="D302" s="2"/>
      <c r="E302" s="2" t="s">
        <v>50</v>
      </c>
      <c r="F302" s="2" t="s">
        <v>665</v>
      </c>
      <c r="G302" s="2" t="s">
        <v>547</v>
      </c>
      <c r="H302" s="2">
        <v>0.74</v>
      </c>
      <c r="I302" s="2"/>
      <c r="J302" s="9">
        <v>3.5</v>
      </c>
      <c r="K302" s="2">
        <v>38.619999999999997</v>
      </c>
      <c r="L302" s="2">
        <v>1.88</v>
      </c>
      <c r="M302" s="2">
        <v>0.84</v>
      </c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9">
        <f t="shared" si="25"/>
        <v>0</v>
      </c>
      <c r="AB302" s="9">
        <f t="shared" si="26"/>
        <v>2.5899999999999999E-2</v>
      </c>
      <c r="AC302" s="10">
        <f t="shared" si="27"/>
        <v>28.578799999999998</v>
      </c>
      <c r="AD302" s="10">
        <f t="shared" si="28"/>
        <v>0.62159999999999993</v>
      </c>
      <c r="AE302" s="9">
        <f t="shared" si="29"/>
        <v>1.3912000000000001E-2</v>
      </c>
      <c r="AF302" s="9">
        <f t="shared" si="30"/>
        <v>3.9812E-2</v>
      </c>
      <c r="AG302" s="9">
        <f t="shared" si="31"/>
        <v>5.38</v>
      </c>
      <c r="AH302" s="11">
        <f t="shared" si="34"/>
        <v>0</v>
      </c>
      <c r="AI302" s="11">
        <f t="shared" si="34"/>
        <v>2.59</v>
      </c>
      <c r="AJ302" s="11">
        <f t="shared" si="34"/>
        <v>28.578799999999998</v>
      </c>
      <c r="AK302" s="11">
        <f t="shared" si="34"/>
        <v>1.3912</v>
      </c>
      <c r="AL302" s="11">
        <f t="shared" si="34"/>
        <v>0.62159999999999993</v>
      </c>
      <c r="AM302" s="2"/>
      <c r="AN302" s="2"/>
      <c r="AO302" s="2"/>
    </row>
    <row r="303" spans="1:41" x14ac:dyDescent="0.2">
      <c r="A303" s="2" t="s">
        <v>666</v>
      </c>
      <c r="B303" s="2" t="s">
        <v>427</v>
      </c>
      <c r="C303" s="2" t="s">
        <v>48</v>
      </c>
      <c r="D303" s="2"/>
      <c r="E303" s="7" t="s">
        <v>40</v>
      </c>
      <c r="F303" s="2" t="s">
        <v>667</v>
      </c>
      <c r="G303" s="2" t="s">
        <v>91</v>
      </c>
      <c r="H303" s="2">
        <v>11.8</v>
      </c>
      <c r="I303" s="2"/>
      <c r="J303" s="2">
        <v>0.8</v>
      </c>
      <c r="K303" s="2">
        <v>10.3</v>
      </c>
      <c r="L303" s="2">
        <v>0.3</v>
      </c>
      <c r="M303" s="2">
        <v>0.9</v>
      </c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9">
        <f t="shared" si="25"/>
        <v>0</v>
      </c>
      <c r="AB303" s="9">
        <f t="shared" si="26"/>
        <v>9.4400000000000012E-2</v>
      </c>
      <c r="AC303" s="10">
        <f t="shared" si="27"/>
        <v>121.54000000000002</v>
      </c>
      <c r="AD303" s="10">
        <f t="shared" si="28"/>
        <v>10.620000000000001</v>
      </c>
      <c r="AE303" s="9">
        <f t="shared" si="29"/>
        <v>3.5400000000000001E-2</v>
      </c>
      <c r="AF303" s="9">
        <f t="shared" si="30"/>
        <v>0.12980000000000003</v>
      </c>
      <c r="AG303" s="9">
        <f t="shared" si="31"/>
        <v>1.1000000000000001</v>
      </c>
      <c r="AH303" s="11">
        <f t="shared" si="34"/>
        <v>0</v>
      </c>
      <c r="AI303" s="11">
        <f t="shared" si="34"/>
        <v>9.4400000000000013</v>
      </c>
      <c r="AJ303" s="11">
        <f t="shared" si="34"/>
        <v>121.54000000000002</v>
      </c>
      <c r="AK303" s="11">
        <f t="shared" si="34"/>
        <v>3.54</v>
      </c>
      <c r="AL303" s="11">
        <f t="shared" si="34"/>
        <v>10.620000000000001</v>
      </c>
      <c r="AM303" s="2"/>
      <c r="AN303" s="2"/>
      <c r="AO303" s="2"/>
    </row>
    <row r="304" spans="1:41" x14ac:dyDescent="0.2">
      <c r="A304" s="2" t="s">
        <v>668</v>
      </c>
      <c r="B304" s="2" t="s">
        <v>427</v>
      </c>
      <c r="C304" s="2" t="s">
        <v>54</v>
      </c>
      <c r="D304" s="2"/>
      <c r="E304" s="2" t="s">
        <v>50</v>
      </c>
      <c r="F304" s="2" t="s">
        <v>669</v>
      </c>
      <c r="G304" s="2" t="s">
        <v>670</v>
      </c>
      <c r="H304" s="2">
        <v>13.08</v>
      </c>
      <c r="I304" s="2"/>
      <c r="J304" s="9">
        <v>5.0999999999999996</v>
      </c>
      <c r="K304" s="2">
        <v>23.7</v>
      </c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9">
        <f t="shared" si="25"/>
        <v>0</v>
      </c>
      <c r="AB304" s="9">
        <f t="shared" si="26"/>
        <v>0.66708000000000001</v>
      </c>
      <c r="AC304" s="10">
        <f t="shared" si="27"/>
        <v>309.99599999999998</v>
      </c>
      <c r="AD304" s="10">
        <f t="shared" si="28"/>
        <v>0</v>
      </c>
      <c r="AE304" s="9">
        <f t="shared" si="29"/>
        <v>0</v>
      </c>
      <c r="AF304" s="9">
        <f t="shared" si="30"/>
        <v>0.66708000000000001</v>
      </c>
      <c r="AG304" s="9">
        <f t="shared" si="31"/>
        <v>5.0999999999999996</v>
      </c>
      <c r="AH304" s="11">
        <f t="shared" si="34"/>
        <v>0</v>
      </c>
      <c r="AI304" s="11">
        <f t="shared" si="34"/>
        <v>66.707999999999998</v>
      </c>
      <c r="AJ304" s="11">
        <f t="shared" si="34"/>
        <v>309.99599999999998</v>
      </c>
      <c r="AK304" s="11">
        <f t="shared" si="34"/>
        <v>0</v>
      </c>
      <c r="AL304" s="11">
        <f t="shared" si="34"/>
        <v>0</v>
      </c>
      <c r="AM304" s="2"/>
      <c r="AN304" s="2"/>
      <c r="AO304" s="2"/>
    </row>
    <row r="305" spans="1:41" x14ac:dyDescent="0.2">
      <c r="A305" s="2" t="s">
        <v>671</v>
      </c>
      <c r="B305" s="2" t="s">
        <v>427</v>
      </c>
      <c r="C305" s="2" t="s">
        <v>38</v>
      </c>
      <c r="D305" s="2"/>
      <c r="E305" s="2" t="s">
        <v>50</v>
      </c>
      <c r="F305" s="2" t="s">
        <v>471</v>
      </c>
      <c r="G305" s="2" t="s">
        <v>662</v>
      </c>
      <c r="H305" s="2">
        <f>0.407+0.078</f>
        <v>0.48499999999999999</v>
      </c>
      <c r="I305" s="9">
        <f>(1.58*0.407+1.24*0.078)/$H305</f>
        <v>1.5253195876288661</v>
      </c>
      <c r="J305" s="9">
        <f>(7.82*0.407+5.77*0.078)/$H305</f>
        <v>7.4903092783505159</v>
      </c>
      <c r="K305" s="14">
        <f>(49*0.407+34*0.078)/$H305</f>
        <v>46.587628865979383</v>
      </c>
      <c r="L305" s="9">
        <f>(0.97*0.407+0.7*0.078)/$H305</f>
        <v>0.92657731958762879</v>
      </c>
      <c r="M305" s="9">
        <f>(0.57*0.407+0.48*0.078)/$H305</f>
        <v>0.55552577319587615</v>
      </c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9">
        <f t="shared" si="25"/>
        <v>7.3977999999999995E-3</v>
      </c>
      <c r="AB305" s="9">
        <f t="shared" si="26"/>
        <v>3.6327999999999999E-2</v>
      </c>
      <c r="AC305" s="10">
        <f t="shared" si="27"/>
        <v>22.594999999999999</v>
      </c>
      <c r="AD305" s="10">
        <f t="shared" si="28"/>
        <v>0.26942999999999995</v>
      </c>
      <c r="AE305" s="9">
        <f t="shared" si="29"/>
        <v>4.4938999999999995E-3</v>
      </c>
      <c r="AF305" s="9">
        <f t="shared" si="30"/>
        <v>4.8219699999999997E-2</v>
      </c>
      <c r="AG305" s="9">
        <f t="shared" si="31"/>
        <v>9.9422061855670112</v>
      </c>
      <c r="AH305" s="11">
        <f t="shared" si="34"/>
        <v>0.73977999999999999</v>
      </c>
      <c r="AI305" s="11">
        <f t="shared" si="34"/>
        <v>3.6328</v>
      </c>
      <c r="AJ305" s="11">
        <f t="shared" si="34"/>
        <v>22.594999999999999</v>
      </c>
      <c r="AK305" s="11">
        <f t="shared" si="34"/>
        <v>0.44938999999999996</v>
      </c>
      <c r="AL305" s="11">
        <f t="shared" si="34"/>
        <v>0.26942999999999995</v>
      </c>
      <c r="AM305" s="2"/>
      <c r="AN305" s="2"/>
      <c r="AO305" s="2"/>
    </row>
    <row r="306" spans="1:41" x14ac:dyDescent="0.2">
      <c r="A306" s="2" t="s">
        <v>672</v>
      </c>
      <c r="B306" s="2" t="s">
        <v>427</v>
      </c>
      <c r="C306" s="2" t="s">
        <v>48</v>
      </c>
      <c r="D306" s="2"/>
      <c r="E306" s="2" t="s">
        <v>50</v>
      </c>
      <c r="F306" s="2" t="s">
        <v>673</v>
      </c>
      <c r="G306" s="2" t="s">
        <v>145</v>
      </c>
      <c r="H306" s="2">
        <f>23.44+4.31+0.89</f>
        <v>28.64</v>
      </c>
      <c r="I306" s="9">
        <f>(0.6*23.44+0.54*4.31+0.95*0.89)/$H306</f>
        <v>0.60184706703910618</v>
      </c>
      <c r="J306" s="9">
        <f>(1.41*23.44+1.29*4.31+2.37*0.89)/$H306</f>
        <v>1.4217737430167599</v>
      </c>
      <c r="K306" s="9">
        <f>(5.31*23.44+4.47*4.31+11.29*0.89)/$H306</f>
        <v>5.3694203910614524</v>
      </c>
      <c r="L306" s="9">
        <f>(0.35*23.44+0.27*4.31+0.96*0.89)/$H306</f>
        <v>0.35691689944134081</v>
      </c>
      <c r="M306" s="9">
        <f>(0.07*23.44+0.08*4.31+0.15*0.89)/$H306</f>
        <v>7.399092178770951E-2</v>
      </c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9">
        <f t="shared" si="25"/>
        <v>0.17236900000000002</v>
      </c>
      <c r="AB306" s="9">
        <f t="shared" si="26"/>
        <v>0.407196</v>
      </c>
      <c r="AC306" s="10">
        <f t="shared" si="27"/>
        <v>153.78020000000001</v>
      </c>
      <c r="AD306" s="10">
        <f t="shared" si="28"/>
        <v>2.1191000000000004</v>
      </c>
      <c r="AE306" s="9">
        <f t="shared" si="29"/>
        <v>0.10222100000000001</v>
      </c>
      <c r="AF306" s="9">
        <f t="shared" si="30"/>
        <v>0.681786</v>
      </c>
      <c r="AG306" s="9">
        <f t="shared" si="31"/>
        <v>2.3805377094972071</v>
      </c>
      <c r="AH306" s="11">
        <f t="shared" ref="AH306:AL321" si="35">$H306*I306</f>
        <v>17.236900000000002</v>
      </c>
      <c r="AI306" s="11">
        <f t="shared" si="35"/>
        <v>40.7196</v>
      </c>
      <c r="AJ306" s="11">
        <f t="shared" si="35"/>
        <v>153.78020000000001</v>
      </c>
      <c r="AK306" s="11">
        <f t="shared" si="35"/>
        <v>10.222100000000001</v>
      </c>
      <c r="AL306" s="11">
        <f t="shared" si="35"/>
        <v>2.1191000000000004</v>
      </c>
      <c r="AM306" s="2"/>
      <c r="AN306" s="2"/>
      <c r="AO306" s="2"/>
    </row>
    <row r="307" spans="1:41" x14ac:dyDescent="0.2">
      <c r="A307" s="2" t="s">
        <v>674</v>
      </c>
      <c r="B307" s="2" t="s">
        <v>427</v>
      </c>
      <c r="C307" s="2" t="s">
        <v>157</v>
      </c>
      <c r="D307" s="2"/>
      <c r="E307" s="7" t="s">
        <v>40</v>
      </c>
      <c r="F307" s="2" t="s">
        <v>675</v>
      </c>
      <c r="G307" s="2" t="s">
        <v>438</v>
      </c>
      <c r="H307" s="12">
        <f>0.233124+0.07411</f>
        <v>0.30723400000000001</v>
      </c>
      <c r="I307" s="2"/>
      <c r="J307" s="13">
        <f>(1.5*0.233124+6.6*0.07411)/$H307</f>
        <v>2.73020564130272</v>
      </c>
      <c r="K307" s="13">
        <f>(63.1*0.233124+27.7*0.07411)/$H307</f>
        <v>54.560925548604637</v>
      </c>
      <c r="L307" s="2"/>
      <c r="M307" s="13">
        <f>(2.4*0.233124+3.2*0.07411)/$H307</f>
        <v>2.5929734339298385</v>
      </c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9">
        <f t="shared" si="25"/>
        <v>0</v>
      </c>
      <c r="AB307" s="9">
        <f t="shared" si="26"/>
        <v>8.3881199999999989E-3</v>
      </c>
      <c r="AC307" s="10">
        <f t="shared" si="27"/>
        <v>16.762971399999998</v>
      </c>
      <c r="AD307" s="10">
        <f t="shared" si="28"/>
        <v>0.79664960000000007</v>
      </c>
      <c r="AE307" s="9">
        <f t="shared" si="29"/>
        <v>0</v>
      </c>
      <c r="AF307" s="9">
        <f t="shared" si="30"/>
        <v>8.3881199999999989E-3</v>
      </c>
      <c r="AG307" s="9">
        <f t="shared" si="31"/>
        <v>2.73020564130272</v>
      </c>
      <c r="AH307" s="11">
        <f t="shared" si="35"/>
        <v>0</v>
      </c>
      <c r="AI307" s="11">
        <f t="shared" si="35"/>
        <v>0.83881199999999989</v>
      </c>
      <c r="AJ307" s="11">
        <f t="shared" si="35"/>
        <v>16.762971399999998</v>
      </c>
      <c r="AK307" s="11">
        <f t="shared" si="35"/>
        <v>0</v>
      </c>
      <c r="AL307" s="11">
        <f t="shared" si="35"/>
        <v>0.79664960000000007</v>
      </c>
      <c r="AM307" s="2"/>
      <c r="AN307" s="2"/>
      <c r="AO307" s="2"/>
    </row>
    <row r="308" spans="1:41" x14ac:dyDescent="0.2">
      <c r="A308" s="2" t="s">
        <v>676</v>
      </c>
      <c r="B308" s="2" t="s">
        <v>427</v>
      </c>
      <c r="C308" s="2" t="s">
        <v>48</v>
      </c>
      <c r="D308" s="2"/>
      <c r="E308" s="2" t="s">
        <v>50</v>
      </c>
      <c r="F308" s="2" t="s">
        <v>677</v>
      </c>
      <c r="G308" s="2" t="s">
        <v>662</v>
      </c>
      <c r="H308" s="2">
        <f>1.309+0.355</f>
        <v>1.6639999999999999</v>
      </c>
      <c r="I308" s="2"/>
      <c r="J308" s="9">
        <f>(4.12*1.309+0.39*0.355)/$H308</f>
        <v>3.3242367788461542</v>
      </c>
      <c r="K308" s="13">
        <f>(42.8*1.309+24.2*0.355)/$H308</f>
        <v>38.831850961538457</v>
      </c>
      <c r="L308" s="9">
        <f>(1.99*1.309+3.41*0.355)/$H308</f>
        <v>2.2929447115384614</v>
      </c>
      <c r="M308" s="9">
        <f>(1.27*1.309+0.26*0.355)/$H308</f>
        <v>1.0545252403846155</v>
      </c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9">
        <f t="shared" si="25"/>
        <v>0</v>
      </c>
      <c r="AB308" s="9">
        <f t="shared" si="26"/>
        <v>5.5315299999999998E-2</v>
      </c>
      <c r="AC308" s="10">
        <f t="shared" si="27"/>
        <v>64.616199999999992</v>
      </c>
      <c r="AD308" s="10">
        <f t="shared" si="28"/>
        <v>1.7547300000000001</v>
      </c>
      <c r="AE308" s="9">
        <f t="shared" si="29"/>
        <v>3.8154599999999997E-2</v>
      </c>
      <c r="AF308" s="9">
        <f t="shared" si="30"/>
        <v>9.3469899999999995E-2</v>
      </c>
      <c r="AG308" s="9">
        <f t="shared" si="31"/>
        <v>5.6171814903846151</v>
      </c>
      <c r="AH308" s="11">
        <f t="shared" si="35"/>
        <v>0</v>
      </c>
      <c r="AI308" s="11">
        <f t="shared" si="35"/>
        <v>5.5315300000000001</v>
      </c>
      <c r="AJ308" s="11">
        <f t="shared" si="35"/>
        <v>64.616199999999992</v>
      </c>
      <c r="AK308" s="11">
        <f t="shared" si="35"/>
        <v>3.8154599999999994</v>
      </c>
      <c r="AL308" s="11">
        <f t="shared" si="35"/>
        <v>1.7547300000000001</v>
      </c>
      <c r="AM308" s="2"/>
      <c r="AN308" s="2"/>
      <c r="AO308" s="2"/>
    </row>
    <row r="309" spans="1:41" x14ac:dyDescent="0.2">
      <c r="A309" s="2" t="s">
        <v>678</v>
      </c>
      <c r="B309" s="2" t="s">
        <v>427</v>
      </c>
      <c r="C309" s="2" t="s">
        <v>48</v>
      </c>
      <c r="D309" s="2"/>
      <c r="E309" s="2" t="s">
        <v>50</v>
      </c>
      <c r="F309" s="2" t="s">
        <v>502</v>
      </c>
      <c r="G309" s="2" t="s">
        <v>679</v>
      </c>
      <c r="H309" s="2">
        <f>4.57+9.78</f>
        <v>14.35</v>
      </c>
      <c r="I309" s="9">
        <f>(1.76*4.57+1.21*9.78)/$H309</f>
        <v>1.3851567944250871</v>
      </c>
      <c r="J309" s="9">
        <f>(3.54*4.57+2.54*9.78)/$H309</f>
        <v>2.858466898954704</v>
      </c>
      <c r="K309" s="13">
        <f>(45.36*4.57+31.04*9.78)/$H309</f>
        <v>35.600445993031357</v>
      </c>
      <c r="L309" s="9">
        <f>(1.41*4.57+0.96*9.78)/$H309</f>
        <v>1.1033101045296168</v>
      </c>
      <c r="M309" s="9">
        <f>(0.74*4.57+0.47*9.78)/$H309</f>
        <v>0.55598606271777007</v>
      </c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9">
        <f t="shared" si="25"/>
        <v>0.19877</v>
      </c>
      <c r="AB309" s="9">
        <f t="shared" si="26"/>
        <v>0.41019</v>
      </c>
      <c r="AC309" s="10">
        <f t="shared" si="27"/>
        <v>510.86639999999994</v>
      </c>
      <c r="AD309" s="10">
        <f t="shared" si="28"/>
        <v>7.9784000000000006</v>
      </c>
      <c r="AE309" s="9">
        <f t="shared" si="29"/>
        <v>0.15832499999999999</v>
      </c>
      <c r="AF309" s="9">
        <f t="shared" si="30"/>
        <v>0.76728499999999999</v>
      </c>
      <c r="AG309" s="9">
        <f t="shared" si="31"/>
        <v>5.3469337979094078</v>
      </c>
      <c r="AH309" s="11">
        <f t="shared" si="35"/>
        <v>19.876999999999999</v>
      </c>
      <c r="AI309" s="11">
        <f t="shared" si="35"/>
        <v>41.018999999999998</v>
      </c>
      <c r="AJ309" s="11">
        <f t="shared" si="35"/>
        <v>510.86639999999994</v>
      </c>
      <c r="AK309" s="11">
        <f t="shared" si="35"/>
        <v>15.8325</v>
      </c>
      <c r="AL309" s="11">
        <f t="shared" si="35"/>
        <v>7.9784000000000006</v>
      </c>
      <c r="AM309" s="2"/>
      <c r="AN309" s="2"/>
      <c r="AO309" s="2"/>
    </row>
    <row r="310" spans="1:41" x14ac:dyDescent="0.2">
      <c r="A310" s="2" t="s">
        <v>680</v>
      </c>
      <c r="B310" s="2" t="s">
        <v>427</v>
      </c>
      <c r="C310" s="2" t="s">
        <v>48</v>
      </c>
      <c r="D310" s="2"/>
      <c r="E310" s="7" t="s">
        <v>40</v>
      </c>
      <c r="F310" s="2" t="s">
        <v>625</v>
      </c>
      <c r="G310" s="2" t="s">
        <v>681</v>
      </c>
      <c r="H310" s="12">
        <v>0.53342999999999996</v>
      </c>
      <c r="I310" s="2">
        <v>6.1</v>
      </c>
      <c r="J310" s="2">
        <v>4.5999999999999996</v>
      </c>
      <c r="K310" s="2">
        <v>102.86</v>
      </c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9">
        <f t="shared" si="25"/>
        <v>3.2539229999999995E-2</v>
      </c>
      <c r="AB310" s="9">
        <f t="shared" si="26"/>
        <v>2.4537779999999999E-2</v>
      </c>
      <c r="AC310" s="10">
        <f t="shared" si="27"/>
        <v>54.868609799999994</v>
      </c>
      <c r="AD310" s="10">
        <f t="shared" si="28"/>
        <v>0</v>
      </c>
      <c r="AE310" s="9">
        <f t="shared" si="29"/>
        <v>0</v>
      </c>
      <c r="AF310" s="9">
        <f t="shared" si="30"/>
        <v>5.7077009999999997E-2</v>
      </c>
      <c r="AG310" s="9">
        <f t="shared" si="31"/>
        <v>10.7</v>
      </c>
      <c r="AH310" s="11">
        <f t="shared" si="35"/>
        <v>3.2539229999999995</v>
      </c>
      <c r="AI310" s="11">
        <f t="shared" si="35"/>
        <v>2.4537779999999998</v>
      </c>
      <c r="AJ310" s="11">
        <f t="shared" si="35"/>
        <v>54.868609799999994</v>
      </c>
      <c r="AK310" s="11">
        <f t="shared" si="35"/>
        <v>0</v>
      </c>
      <c r="AL310" s="11">
        <f t="shared" si="35"/>
        <v>0</v>
      </c>
      <c r="AM310" s="2"/>
      <c r="AN310" s="2"/>
      <c r="AO310" s="2"/>
    </row>
    <row r="311" spans="1:41" x14ac:dyDescent="0.2">
      <c r="A311" s="2" t="s">
        <v>682</v>
      </c>
      <c r="B311" s="2" t="s">
        <v>427</v>
      </c>
      <c r="C311" s="2" t="s">
        <v>48</v>
      </c>
      <c r="D311" s="2"/>
      <c r="E311" s="2" t="s">
        <v>50</v>
      </c>
      <c r="F311" s="2" t="s">
        <v>683</v>
      </c>
      <c r="G311" s="2" t="s">
        <v>684</v>
      </c>
      <c r="H311" s="2">
        <f>13.9+11.311</f>
        <v>25.210999999999999</v>
      </c>
      <c r="I311" s="2"/>
      <c r="J311" s="9">
        <f>(2.67*13.9+2.97*11.311)/$H311</f>
        <v>2.8045960096783151</v>
      </c>
      <c r="K311" s="14">
        <f>(17*13.9+17*11.311)/$H311</f>
        <v>17</v>
      </c>
      <c r="L311" s="9">
        <f>(1.28*13.9+1.32*11.311)/$H311</f>
        <v>1.2979461346237755</v>
      </c>
      <c r="M311" s="9">
        <f>(0.49*13.9+0.43*11.311)/$H311</f>
        <v>0.46308079806433705</v>
      </c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9">
        <f t="shared" si="25"/>
        <v>0</v>
      </c>
      <c r="AB311" s="9">
        <f t="shared" si="26"/>
        <v>0.70706670000000005</v>
      </c>
      <c r="AC311" s="10">
        <f t="shared" si="27"/>
        <v>428.58699999999999</v>
      </c>
      <c r="AD311" s="10">
        <f t="shared" si="28"/>
        <v>11.67473</v>
      </c>
      <c r="AE311" s="9">
        <f t="shared" si="29"/>
        <v>0.32722520000000005</v>
      </c>
      <c r="AF311" s="9">
        <f t="shared" si="30"/>
        <v>1.0342919000000002</v>
      </c>
      <c r="AG311" s="9">
        <f t="shared" si="31"/>
        <v>4.1025421443020909</v>
      </c>
      <c r="AH311" s="11">
        <f t="shared" si="35"/>
        <v>0</v>
      </c>
      <c r="AI311" s="11">
        <f t="shared" si="35"/>
        <v>70.706670000000003</v>
      </c>
      <c r="AJ311" s="11">
        <f t="shared" si="35"/>
        <v>428.58699999999999</v>
      </c>
      <c r="AK311" s="11">
        <f t="shared" si="35"/>
        <v>32.722520000000003</v>
      </c>
      <c r="AL311" s="11">
        <f t="shared" si="35"/>
        <v>11.67473</v>
      </c>
      <c r="AM311" s="2"/>
      <c r="AN311" s="2"/>
      <c r="AO311" s="2"/>
    </row>
    <row r="312" spans="1:41" x14ac:dyDescent="0.2">
      <c r="A312" s="2" t="s">
        <v>685</v>
      </c>
      <c r="B312" s="2" t="s">
        <v>427</v>
      </c>
      <c r="C312" s="7" t="s">
        <v>157</v>
      </c>
      <c r="D312" s="2"/>
      <c r="E312" s="7" t="s">
        <v>40</v>
      </c>
      <c r="F312" s="2" t="s">
        <v>514</v>
      </c>
      <c r="G312" s="2" t="s">
        <v>500</v>
      </c>
      <c r="H312" s="2">
        <f>1.1+0.4</f>
        <v>1.5</v>
      </c>
      <c r="I312" s="13">
        <f>(4.1*1.1+9.3*0.4)/$H312</f>
        <v>5.4866666666666672</v>
      </c>
      <c r="J312" s="13">
        <f>(8.3*1.1+1.7*0.4)/$H312</f>
        <v>6.54</v>
      </c>
      <c r="K312" s="14">
        <f>(62*1.1+214*0.4)/$H312</f>
        <v>102.53333333333335</v>
      </c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9">
        <f t="shared" si="25"/>
        <v>8.2299999999999998E-2</v>
      </c>
      <c r="AB312" s="9">
        <f t="shared" si="26"/>
        <v>9.8100000000000007E-2</v>
      </c>
      <c r="AC312" s="10">
        <f t="shared" si="27"/>
        <v>153.80000000000001</v>
      </c>
      <c r="AD312" s="10">
        <f t="shared" si="28"/>
        <v>0</v>
      </c>
      <c r="AE312" s="9">
        <f t="shared" si="29"/>
        <v>0</v>
      </c>
      <c r="AF312" s="9">
        <f t="shared" si="30"/>
        <v>0.1804</v>
      </c>
      <c r="AG312" s="9">
        <f t="shared" si="31"/>
        <v>12.026666666666667</v>
      </c>
      <c r="AH312" s="11">
        <f t="shared" si="35"/>
        <v>8.23</v>
      </c>
      <c r="AI312" s="11">
        <f t="shared" si="35"/>
        <v>9.81</v>
      </c>
      <c r="AJ312" s="11">
        <f t="shared" si="35"/>
        <v>153.80000000000001</v>
      </c>
      <c r="AK312" s="11">
        <f t="shared" si="35"/>
        <v>0</v>
      </c>
      <c r="AL312" s="11">
        <f t="shared" si="35"/>
        <v>0</v>
      </c>
      <c r="AM312" s="2"/>
      <c r="AN312" s="2"/>
      <c r="AO312" s="2"/>
    </row>
    <row r="313" spans="1:41" x14ac:dyDescent="0.2">
      <c r="A313" s="2" t="s">
        <v>686</v>
      </c>
      <c r="B313" s="2" t="s">
        <v>427</v>
      </c>
      <c r="C313" s="2" t="s">
        <v>38</v>
      </c>
      <c r="D313" s="2" t="s">
        <v>62</v>
      </c>
      <c r="E313" s="7" t="s">
        <v>40</v>
      </c>
      <c r="F313" s="2" t="s">
        <v>625</v>
      </c>
      <c r="G313" s="2" t="s">
        <v>687</v>
      </c>
      <c r="H313" s="2">
        <v>5.62</v>
      </c>
      <c r="I313" s="2">
        <v>1.82</v>
      </c>
      <c r="J313" s="2">
        <v>6.31</v>
      </c>
      <c r="K313" s="2"/>
      <c r="L313" s="2"/>
      <c r="M313" s="2"/>
      <c r="N313" s="9">
        <f>44.21*(137.327/(137.327+96.06))</f>
        <v>26.013559752685453</v>
      </c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9">
        <f t="shared" si="25"/>
        <v>0.102284</v>
      </c>
      <c r="AB313" s="9">
        <f t="shared" si="26"/>
        <v>0.35462199999999994</v>
      </c>
      <c r="AC313" s="10">
        <f t="shared" si="27"/>
        <v>0</v>
      </c>
      <c r="AD313" s="10">
        <f t="shared" si="28"/>
        <v>0</v>
      </c>
      <c r="AE313" s="9">
        <f t="shared" si="29"/>
        <v>0</v>
      </c>
      <c r="AF313" s="9">
        <f t="shared" si="30"/>
        <v>0.45690599999999992</v>
      </c>
      <c r="AG313" s="9">
        <f t="shared" si="31"/>
        <v>8.129999999999999</v>
      </c>
      <c r="AH313" s="11">
        <f t="shared" si="35"/>
        <v>10.228400000000001</v>
      </c>
      <c r="AI313" s="11">
        <f t="shared" si="35"/>
        <v>35.462199999999996</v>
      </c>
      <c r="AJ313" s="11">
        <f t="shared" si="35"/>
        <v>0</v>
      </c>
      <c r="AK313" s="11">
        <f t="shared" si="35"/>
        <v>0</v>
      </c>
      <c r="AL313" s="11">
        <f t="shared" si="35"/>
        <v>0</v>
      </c>
      <c r="AM313" s="2"/>
      <c r="AN313" s="2"/>
      <c r="AO313" s="2"/>
    </row>
    <row r="314" spans="1:41" x14ac:dyDescent="0.2">
      <c r="A314" s="2" t="s">
        <v>688</v>
      </c>
      <c r="B314" s="2" t="s">
        <v>427</v>
      </c>
      <c r="C314" s="2" t="s">
        <v>38</v>
      </c>
      <c r="D314" s="2" t="s">
        <v>62</v>
      </c>
      <c r="E314" s="7" t="s">
        <v>40</v>
      </c>
      <c r="F314" s="2" t="s">
        <v>41</v>
      </c>
      <c r="G314" s="8" t="s">
        <v>44</v>
      </c>
      <c r="H314" s="2">
        <v>2.1</v>
      </c>
      <c r="I314" s="2">
        <v>1.76</v>
      </c>
      <c r="J314" s="2">
        <v>4.12</v>
      </c>
      <c r="K314" s="2">
        <v>24.8</v>
      </c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9">
        <f t="shared" si="25"/>
        <v>3.696E-2</v>
      </c>
      <c r="AB314" s="9">
        <f t="shared" si="26"/>
        <v>8.6520000000000014E-2</v>
      </c>
      <c r="AC314" s="10">
        <f t="shared" si="27"/>
        <v>52.080000000000005</v>
      </c>
      <c r="AD314" s="10">
        <f t="shared" si="28"/>
        <v>0</v>
      </c>
      <c r="AE314" s="9">
        <f t="shared" si="29"/>
        <v>0</v>
      </c>
      <c r="AF314" s="9">
        <f t="shared" si="30"/>
        <v>0.12348000000000001</v>
      </c>
      <c r="AG314" s="9">
        <f t="shared" si="31"/>
        <v>5.88</v>
      </c>
      <c r="AH314" s="11">
        <f t="shared" si="35"/>
        <v>3.6960000000000002</v>
      </c>
      <c r="AI314" s="11">
        <f t="shared" si="35"/>
        <v>8.652000000000001</v>
      </c>
      <c r="AJ314" s="11">
        <f t="shared" si="35"/>
        <v>52.080000000000005</v>
      </c>
      <c r="AK314" s="11">
        <f t="shared" si="35"/>
        <v>0</v>
      </c>
      <c r="AL314" s="11">
        <f t="shared" si="35"/>
        <v>0</v>
      </c>
      <c r="AM314" s="2"/>
      <c r="AN314" s="2"/>
      <c r="AO314" s="2"/>
    </row>
    <row r="315" spans="1:41" x14ac:dyDescent="0.2">
      <c r="A315" s="2" t="s">
        <v>689</v>
      </c>
      <c r="B315" s="2" t="s">
        <v>427</v>
      </c>
      <c r="C315" s="2" t="s">
        <v>48</v>
      </c>
      <c r="D315" s="2" t="s">
        <v>690</v>
      </c>
      <c r="E315" s="2" t="s">
        <v>50</v>
      </c>
      <c r="F315" s="2" t="s">
        <v>691</v>
      </c>
      <c r="G315" s="2" t="s">
        <v>692</v>
      </c>
      <c r="H315" s="2">
        <f>45.298+23.324+15.011</f>
        <v>83.632999999999996</v>
      </c>
      <c r="I315" s="2"/>
      <c r="J315" s="9">
        <f>(0.02*45.298+0.02*23.324+0.01*15.011)/H315</f>
        <v>1.820513433692442E-2</v>
      </c>
      <c r="K315" s="9">
        <f>(0.99*45.298+0.96*23.324+0.81*15.011)/H315</f>
        <v>0.94932586419236431</v>
      </c>
      <c r="L315" s="9">
        <f>(0.98*45.298+0.91*23.324+0.79*15.011)/H315</f>
        <v>0.92637559336625508</v>
      </c>
      <c r="M315" s="9">
        <f>(0.09*45.298+0.09*23.324+0.08*15.011)/H315</f>
        <v>8.820513433692441E-2</v>
      </c>
      <c r="N315" s="9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9">
        <f t="shared" si="25"/>
        <v>0</v>
      </c>
      <c r="AB315" s="9">
        <f t="shared" si="26"/>
        <v>1.5225499999999998E-2</v>
      </c>
      <c r="AC315" s="10">
        <f t="shared" si="27"/>
        <v>79.394970000000001</v>
      </c>
      <c r="AD315" s="10">
        <f t="shared" si="28"/>
        <v>7.3768599999999989</v>
      </c>
      <c r="AE315" s="9">
        <f t="shared" si="29"/>
        <v>0.77475570000000005</v>
      </c>
      <c r="AF315" s="9">
        <f t="shared" si="30"/>
        <v>0.78998120000000005</v>
      </c>
      <c r="AG315" s="9">
        <f t="shared" si="31"/>
        <v>0.94458072770317947</v>
      </c>
      <c r="AH315" s="11">
        <f t="shared" si="35"/>
        <v>0</v>
      </c>
      <c r="AI315" s="11">
        <f t="shared" si="35"/>
        <v>1.5225499999999998</v>
      </c>
      <c r="AJ315" s="11">
        <f t="shared" si="35"/>
        <v>79.394970000000001</v>
      </c>
      <c r="AK315" s="11">
        <f t="shared" si="35"/>
        <v>77.475570000000005</v>
      </c>
      <c r="AL315" s="11">
        <f t="shared" si="35"/>
        <v>7.3768599999999989</v>
      </c>
      <c r="AM315" s="2"/>
      <c r="AN315" s="2"/>
      <c r="AO315" s="2"/>
    </row>
    <row r="316" spans="1:41" x14ac:dyDescent="0.2">
      <c r="A316" s="2" t="s">
        <v>693</v>
      </c>
      <c r="B316" s="2" t="s">
        <v>427</v>
      </c>
      <c r="C316" s="2" t="s">
        <v>54</v>
      </c>
      <c r="D316" s="2"/>
      <c r="E316" s="7" t="s">
        <v>40</v>
      </c>
      <c r="F316" s="2" t="s">
        <v>41</v>
      </c>
      <c r="G316" s="2" t="s">
        <v>438</v>
      </c>
      <c r="H316" s="12">
        <v>4.0800000000000003E-2</v>
      </c>
      <c r="I316" s="2">
        <v>6.23</v>
      </c>
      <c r="J316" s="2">
        <v>9.49</v>
      </c>
      <c r="K316" s="2">
        <v>355</v>
      </c>
      <c r="L316" s="2"/>
      <c r="M316" s="2">
        <v>1.1299999999999999</v>
      </c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9">
        <f t="shared" si="25"/>
        <v>2.5418400000000001E-3</v>
      </c>
      <c r="AB316" s="9">
        <f t="shared" si="26"/>
        <v>3.8719200000000005E-3</v>
      </c>
      <c r="AC316" s="10">
        <f t="shared" si="27"/>
        <v>14.484000000000002</v>
      </c>
      <c r="AD316" s="10">
        <f t="shared" si="28"/>
        <v>4.6103999999999999E-2</v>
      </c>
      <c r="AE316" s="9">
        <f t="shared" si="29"/>
        <v>0</v>
      </c>
      <c r="AF316" s="9">
        <f t="shared" si="30"/>
        <v>6.413760000000001E-3</v>
      </c>
      <c r="AG316" s="9">
        <f t="shared" si="31"/>
        <v>15.72</v>
      </c>
      <c r="AH316" s="11">
        <f t="shared" si="35"/>
        <v>0.25418400000000002</v>
      </c>
      <c r="AI316" s="11">
        <f t="shared" si="35"/>
        <v>0.38719200000000004</v>
      </c>
      <c r="AJ316" s="11">
        <f t="shared" si="35"/>
        <v>14.484000000000002</v>
      </c>
      <c r="AK316" s="11">
        <f t="shared" si="35"/>
        <v>0</v>
      </c>
      <c r="AL316" s="11">
        <f t="shared" si="35"/>
        <v>4.6103999999999999E-2</v>
      </c>
      <c r="AM316" s="2"/>
      <c r="AN316" s="2"/>
      <c r="AO316" s="2"/>
    </row>
    <row r="317" spans="1:41" x14ac:dyDescent="0.2">
      <c r="A317" s="2" t="s">
        <v>694</v>
      </c>
      <c r="B317" s="2" t="s">
        <v>427</v>
      </c>
      <c r="C317" s="2" t="s">
        <v>38</v>
      </c>
      <c r="D317" s="2" t="s">
        <v>39</v>
      </c>
      <c r="E317" s="7" t="s">
        <v>40</v>
      </c>
      <c r="F317" s="2" t="s">
        <v>41</v>
      </c>
      <c r="G317" s="8" t="s">
        <v>44</v>
      </c>
      <c r="H317" s="2">
        <v>0.76</v>
      </c>
      <c r="I317" s="2">
        <v>10</v>
      </c>
      <c r="J317" s="2">
        <v>7</v>
      </c>
      <c r="K317" s="2">
        <v>1.2</v>
      </c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9">
        <f t="shared" si="25"/>
        <v>7.5999999999999998E-2</v>
      </c>
      <c r="AB317" s="9">
        <f t="shared" si="26"/>
        <v>5.3200000000000004E-2</v>
      </c>
      <c r="AC317" s="10">
        <f t="shared" si="27"/>
        <v>0.91199999999999992</v>
      </c>
      <c r="AD317" s="10">
        <f t="shared" si="28"/>
        <v>0</v>
      </c>
      <c r="AE317" s="9">
        <f t="shared" si="29"/>
        <v>0</v>
      </c>
      <c r="AF317" s="9">
        <f t="shared" si="30"/>
        <v>0.12920000000000001</v>
      </c>
      <c r="AG317" s="9">
        <f t="shared" si="31"/>
        <v>17</v>
      </c>
      <c r="AH317" s="11">
        <f t="shared" si="35"/>
        <v>7.6</v>
      </c>
      <c r="AI317" s="11">
        <f t="shared" si="35"/>
        <v>5.32</v>
      </c>
      <c r="AJ317" s="11">
        <f t="shared" si="35"/>
        <v>0.91199999999999992</v>
      </c>
      <c r="AK317" s="11">
        <f t="shared" si="35"/>
        <v>0</v>
      </c>
      <c r="AL317" s="11">
        <f t="shared" si="35"/>
        <v>0</v>
      </c>
      <c r="AM317" s="2"/>
      <c r="AN317" s="2"/>
      <c r="AO317" s="2"/>
    </row>
    <row r="318" spans="1:41" x14ac:dyDescent="0.2">
      <c r="A318" s="2" t="s">
        <v>695</v>
      </c>
      <c r="B318" s="2" t="s">
        <v>427</v>
      </c>
      <c r="C318" s="2" t="s">
        <v>66</v>
      </c>
      <c r="D318" s="2" t="s">
        <v>696</v>
      </c>
      <c r="E318" s="2" t="s">
        <v>50</v>
      </c>
      <c r="F318" s="2" t="s">
        <v>697</v>
      </c>
      <c r="G318" s="2" t="s">
        <v>68</v>
      </c>
      <c r="H318" s="2">
        <f>10.882+7.603</f>
        <v>18.484999999999999</v>
      </c>
      <c r="I318" s="2"/>
      <c r="J318" s="9">
        <f>(0.67*10.882+0.99*7.603)/$H318</f>
        <v>0.80161806870435492</v>
      </c>
      <c r="K318" s="2"/>
      <c r="L318" s="9">
        <f>(0.11*10.882+0.09*7.603)/$H318</f>
        <v>0.10177387070597782</v>
      </c>
      <c r="M318" s="2"/>
      <c r="N318" s="2"/>
      <c r="O318" s="2"/>
      <c r="P318" s="2"/>
      <c r="Q318" s="9">
        <f>(0.43*10.882+0.22*7.603)/$H318</f>
        <v>0.34362564241276711</v>
      </c>
      <c r="R318" s="13">
        <f>(64*10.882+72.3*7.603)/$H318</f>
        <v>67.4138436570192</v>
      </c>
      <c r="S318" s="9">
        <f>((0.06*10.882+0.05*7.603)/$H318)*(95.95/(95.95+2*16))</f>
        <v>4.1909741673460614E-2</v>
      </c>
      <c r="T318" s="2"/>
      <c r="U318" s="9">
        <f>(0.09*10.882+0.08*7.603)/$H318</f>
        <v>8.58869353529889E-2</v>
      </c>
      <c r="V318" s="2"/>
      <c r="W318" s="9">
        <f>(0.98*10.882+0.8*7.603)/$H319</f>
        <v>0.80882685341704919</v>
      </c>
      <c r="X318" s="9"/>
      <c r="Y318" s="9">
        <f>(0.08*10.882+0.05*7.603)/$H319</f>
        <v>6.0406182081622802E-2</v>
      </c>
      <c r="Z318" s="2" t="s">
        <v>698</v>
      </c>
      <c r="AA318" s="9">
        <f t="shared" si="25"/>
        <v>0</v>
      </c>
      <c r="AB318" s="9">
        <f t="shared" si="26"/>
        <v>0.14817910000000001</v>
      </c>
      <c r="AC318" s="10">
        <f t="shared" si="27"/>
        <v>0</v>
      </c>
      <c r="AD318" s="10">
        <f t="shared" si="28"/>
        <v>0</v>
      </c>
      <c r="AE318" s="9">
        <f t="shared" si="29"/>
        <v>1.88129E-2</v>
      </c>
      <c r="AF318" s="9">
        <f t="shared" si="30"/>
        <v>0.166992</v>
      </c>
      <c r="AG318" s="9">
        <f t="shared" si="31"/>
        <v>0.90339193941033269</v>
      </c>
      <c r="AH318" s="11">
        <f t="shared" si="35"/>
        <v>0</v>
      </c>
      <c r="AI318" s="11">
        <f t="shared" si="35"/>
        <v>14.817909999999999</v>
      </c>
      <c r="AJ318" s="11">
        <f t="shared" si="35"/>
        <v>0</v>
      </c>
      <c r="AK318" s="11">
        <f t="shared" si="35"/>
        <v>1.8812899999999999</v>
      </c>
      <c r="AL318" s="11">
        <f t="shared" si="35"/>
        <v>0</v>
      </c>
      <c r="AM318" s="2"/>
      <c r="AN318" s="2"/>
      <c r="AO318" s="2"/>
    </row>
    <row r="319" spans="1:41" x14ac:dyDescent="0.2">
      <c r="A319" s="2" t="s">
        <v>699</v>
      </c>
      <c r="B319" s="2" t="s">
        <v>427</v>
      </c>
      <c r="C319" s="2" t="s">
        <v>48</v>
      </c>
      <c r="D319" s="2"/>
      <c r="E319" s="2" t="s">
        <v>50</v>
      </c>
      <c r="F319" s="2" t="s">
        <v>700</v>
      </c>
      <c r="G319" s="2" t="s">
        <v>613</v>
      </c>
      <c r="H319" s="2">
        <f>0.621+17.063+3.021</f>
        <v>20.704999999999998</v>
      </c>
      <c r="I319" s="9">
        <f>(1.19*0.621+0.93*17.063+0.75*3.021)/$H319</f>
        <v>0.91153489495290996</v>
      </c>
      <c r="J319" s="9">
        <f>(3.53*0.621+2.52*17.063+1.83*3.021)/$H319</f>
        <v>2.4496170007244626</v>
      </c>
      <c r="K319" s="13">
        <f>(44.1*0.621+38.8*17.063+35*3.021)/$H319</f>
        <v>38.404515817435403</v>
      </c>
      <c r="L319" s="9">
        <f>(0.27*0.621+0.43*17.063+0.62*3.021)/$H319</f>
        <v>0.45292344844240523</v>
      </c>
      <c r="M319" s="9">
        <f>(0.5*0.621+0.51*17.063+0.75*3.021)/$H319</f>
        <v>0.54471770103839645</v>
      </c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9">
        <f t="shared" si="25"/>
        <v>0.18873329999999999</v>
      </c>
      <c r="AB319" s="9">
        <f t="shared" si="26"/>
        <v>0.50719320000000001</v>
      </c>
      <c r="AC319" s="10">
        <f t="shared" si="27"/>
        <v>795.16549999999995</v>
      </c>
      <c r="AD319" s="10">
        <f t="shared" si="28"/>
        <v>11.278379999999997</v>
      </c>
      <c r="AE319" s="9">
        <f t="shared" si="29"/>
        <v>9.3777799999999994E-2</v>
      </c>
      <c r="AF319" s="9">
        <f t="shared" si="30"/>
        <v>0.78970430000000003</v>
      </c>
      <c r="AG319" s="9">
        <f t="shared" si="31"/>
        <v>3.8140753441197779</v>
      </c>
      <c r="AH319" s="11">
        <f t="shared" si="35"/>
        <v>18.873329999999999</v>
      </c>
      <c r="AI319" s="11">
        <f t="shared" si="35"/>
        <v>50.719319999999996</v>
      </c>
      <c r="AJ319" s="11">
        <f t="shared" si="35"/>
        <v>795.16549999999995</v>
      </c>
      <c r="AK319" s="11">
        <f t="shared" si="35"/>
        <v>9.3777799999999996</v>
      </c>
      <c r="AL319" s="11">
        <f t="shared" si="35"/>
        <v>11.278379999999997</v>
      </c>
      <c r="AM319" s="2"/>
      <c r="AN319" s="2"/>
      <c r="AO319" s="2"/>
    </row>
    <row r="320" spans="1:41" x14ac:dyDescent="0.2">
      <c r="A320" s="2" t="s">
        <v>701</v>
      </c>
      <c r="B320" s="2" t="s">
        <v>427</v>
      </c>
      <c r="C320" s="2" t="s">
        <v>48</v>
      </c>
      <c r="D320" s="2"/>
      <c r="E320" s="2" t="s">
        <v>50</v>
      </c>
      <c r="F320" s="2" t="s">
        <v>657</v>
      </c>
      <c r="G320" s="2" t="s">
        <v>64</v>
      </c>
      <c r="H320" s="2">
        <f>5.53+1.28+2.34</f>
        <v>9.15</v>
      </c>
      <c r="I320" s="9">
        <f>(0.63*5.53+0.86*1.28+0.66*2.34)/$H320</f>
        <v>0.66984699453551899</v>
      </c>
      <c r="J320" s="9">
        <f>(6.02*5.53+7.75*1.28+5.86*2.34)/$H320</f>
        <v>6.2210928961748637</v>
      </c>
      <c r="K320" s="13">
        <f>(61.79*5.53+87.04*1.28+101.09*2.34)/$H320</f>
        <v>75.372732240437159</v>
      </c>
      <c r="L320" s="9">
        <f>(0.9*5.53+1.27*1.28+0.55*2.34)/$H320</f>
        <v>0.86225136612021858</v>
      </c>
      <c r="M320" s="9">
        <f>(1.63*5.53+2.21*1.28+2.04*2.34)/$H320</f>
        <v>1.8159890710382516</v>
      </c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9">
        <f t="shared" si="25"/>
        <v>6.1290999999999991E-2</v>
      </c>
      <c r="AB320" s="9">
        <f t="shared" si="26"/>
        <v>0.56923000000000001</v>
      </c>
      <c r="AC320" s="10">
        <f t="shared" si="27"/>
        <v>689.66050000000007</v>
      </c>
      <c r="AD320" s="10">
        <f t="shared" si="28"/>
        <v>16.616300000000003</v>
      </c>
      <c r="AE320" s="9">
        <f t="shared" si="29"/>
        <v>7.8896000000000008E-2</v>
      </c>
      <c r="AF320" s="9">
        <f t="shared" si="30"/>
        <v>0.70941699999999996</v>
      </c>
      <c r="AG320" s="9">
        <f t="shared" si="31"/>
        <v>7.7531912568306014</v>
      </c>
      <c r="AH320" s="11">
        <f t="shared" si="35"/>
        <v>6.1290999999999993</v>
      </c>
      <c r="AI320" s="11">
        <f t="shared" si="35"/>
        <v>56.923000000000002</v>
      </c>
      <c r="AJ320" s="11">
        <f t="shared" si="35"/>
        <v>689.66050000000007</v>
      </c>
      <c r="AK320" s="11">
        <f t="shared" si="35"/>
        <v>7.8896000000000006</v>
      </c>
      <c r="AL320" s="11">
        <f t="shared" si="35"/>
        <v>16.616300000000003</v>
      </c>
      <c r="AM320" s="2"/>
      <c r="AN320" s="2"/>
      <c r="AO320" s="2"/>
    </row>
    <row r="321" spans="1:41" x14ac:dyDescent="0.2">
      <c r="A321" s="2" t="s">
        <v>702</v>
      </c>
      <c r="B321" s="2" t="s">
        <v>427</v>
      </c>
      <c r="C321" s="2" t="s">
        <v>38</v>
      </c>
      <c r="D321" s="2" t="s">
        <v>39</v>
      </c>
      <c r="E321" s="7" t="s">
        <v>40</v>
      </c>
      <c r="F321" s="2" t="s">
        <v>41</v>
      </c>
      <c r="G321" s="8" t="s">
        <v>544</v>
      </c>
      <c r="H321" s="2">
        <f>25.204383-17.924383</f>
        <v>7.2800000000000011</v>
      </c>
      <c r="I321" s="19">
        <v>0.34</v>
      </c>
      <c r="J321" s="9">
        <f>(7.2*25.204383-9*17.924383)/$H321</f>
        <v>2.7681470604395622</v>
      </c>
      <c r="K321" s="16">
        <v>35</v>
      </c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9">
        <f t="shared" si="25"/>
        <v>2.4752000000000007E-2</v>
      </c>
      <c r="AB321" s="9">
        <f t="shared" si="26"/>
        <v>0.20152110600000014</v>
      </c>
      <c r="AC321" s="10">
        <f t="shared" si="27"/>
        <v>254.80000000000004</v>
      </c>
      <c r="AD321" s="10">
        <f t="shared" si="28"/>
        <v>0</v>
      </c>
      <c r="AE321" s="9">
        <f t="shared" si="29"/>
        <v>0</v>
      </c>
      <c r="AF321" s="9">
        <f t="shared" si="30"/>
        <v>0.22627310600000014</v>
      </c>
      <c r="AG321" s="9">
        <f t="shared" si="31"/>
        <v>3.108147060439562</v>
      </c>
      <c r="AH321" s="11">
        <f t="shared" si="35"/>
        <v>2.4752000000000005</v>
      </c>
      <c r="AI321" s="11">
        <f t="shared" si="35"/>
        <v>20.152110600000015</v>
      </c>
      <c r="AJ321" s="11">
        <f t="shared" si="35"/>
        <v>254.80000000000004</v>
      </c>
      <c r="AK321" s="11">
        <f t="shared" si="35"/>
        <v>0</v>
      </c>
      <c r="AL321" s="11">
        <f t="shared" si="35"/>
        <v>0</v>
      </c>
      <c r="AM321" s="2"/>
      <c r="AN321" s="2"/>
      <c r="AO321" s="2"/>
    </row>
    <row r="322" spans="1:41" x14ac:dyDescent="0.2">
      <c r="A322" s="2" t="s">
        <v>703</v>
      </c>
      <c r="B322" s="2" t="s">
        <v>427</v>
      </c>
      <c r="C322" s="2" t="s">
        <v>48</v>
      </c>
      <c r="D322" s="2"/>
      <c r="E322" s="2" t="s">
        <v>50</v>
      </c>
      <c r="F322" s="2" t="s">
        <v>704</v>
      </c>
      <c r="G322" s="2" t="s">
        <v>621</v>
      </c>
      <c r="H322" s="12">
        <f>7.8079+1.2117</f>
        <v>9.0196000000000005</v>
      </c>
      <c r="I322" s="9">
        <f>(0.55*7.8079+0.52*1.2117)/$H322</f>
        <v>0.54596977693024085</v>
      </c>
      <c r="J322" s="9">
        <f>(2.72*7.8079+2.66*1.2117)/$H322</f>
        <v>2.7119395538604816</v>
      </c>
      <c r="K322" s="13">
        <f>(18.262*7.8079+18*1.2117)/$H322</f>
        <v>18.226802718524102</v>
      </c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9">
        <f t="shared" si="25"/>
        <v>4.924429000000001E-2</v>
      </c>
      <c r="AB322" s="9">
        <f t="shared" si="26"/>
        <v>0.24460610000000002</v>
      </c>
      <c r="AC322" s="10">
        <f t="shared" si="27"/>
        <v>164.39846979999999</v>
      </c>
      <c r="AD322" s="10">
        <f t="shared" si="28"/>
        <v>0</v>
      </c>
      <c r="AE322" s="9">
        <f t="shared" si="29"/>
        <v>0</v>
      </c>
      <c r="AF322" s="9">
        <f t="shared" si="30"/>
        <v>0.29385039000000002</v>
      </c>
      <c r="AG322" s="9">
        <f t="shared" si="31"/>
        <v>3.2579093307907225</v>
      </c>
      <c r="AH322" s="11">
        <f t="shared" ref="AH322:AL337" si="36">$H322*I322</f>
        <v>4.9244290000000008</v>
      </c>
      <c r="AI322" s="11">
        <f t="shared" si="36"/>
        <v>24.460610000000003</v>
      </c>
      <c r="AJ322" s="11">
        <f t="shared" si="36"/>
        <v>164.39846979999999</v>
      </c>
      <c r="AK322" s="11">
        <f t="shared" si="36"/>
        <v>0</v>
      </c>
      <c r="AL322" s="11">
        <f t="shared" si="36"/>
        <v>0</v>
      </c>
      <c r="AM322" s="2"/>
      <c r="AN322" s="2"/>
      <c r="AO322" s="2"/>
    </row>
    <row r="323" spans="1:41" x14ac:dyDescent="0.2">
      <c r="A323" s="2" t="s">
        <v>705</v>
      </c>
      <c r="B323" s="2" t="s">
        <v>427</v>
      </c>
      <c r="C323" s="2" t="s">
        <v>48</v>
      </c>
      <c r="D323" s="2"/>
      <c r="E323" s="2" t="s">
        <v>50</v>
      </c>
      <c r="F323" s="2" t="s">
        <v>704</v>
      </c>
      <c r="G323" s="2" t="s">
        <v>706</v>
      </c>
      <c r="H323" s="12">
        <v>7.5602720000000003</v>
      </c>
      <c r="I323" s="9">
        <v>0.38100000000000001</v>
      </c>
      <c r="J323" s="9">
        <v>1.522</v>
      </c>
      <c r="K323" s="13">
        <v>15.311</v>
      </c>
      <c r="L323" s="9">
        <v>0.14599999999999999</v>
      </c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9">
        <f t="shared" si="25"/>
        <v>2.880463632E-2</v>
      </c>
      <c r="AB323" s="9">
        <f t="shared" si="26"/>
        <v>0.11506733984</v>
      </c>
      <c r="AC323" s="10">
        <f t="shared" si="27"/>
        <v>115.75532459200001</v>
      </c>
      <c r="AD323" s="10">
        <f t="shared" si="28"/>
        <v>0</v>
      </c>
      <c r="AE323" s="9">
        <f t="shared" si="29"/>
        <v>1.103799712E-2</v>
      </c>
      <c r="AF323" s="9">
        <f t="shared" si="30"/>
        <v>0.15490997328</v>
      </c>
      <c r="AG323" s="9">
        <f t="shared" si="31"/>
        <v>2.0489999999999999</v>
      </c>
      <c r="AH323" s="11">
        <f t="shared" si="36"/>
        <v>2.8804636320000001</v>
      </c>
      <c r="AI323" s="11">
        <f t="shared" si="36"/>
        <v>11.506733984</v>
      </c>
      <c r="AJ323" s="11">
        <f t="shared" si="36"/>
        <v>115.75532459200001</v>
      </c>
      <c r="AK323" s="11">
        <f t="shared" si="36"/>
        <v>1.103799712</v>
      </c>
      <c r="AL323" s="11">
        <f t="shared" si="36"/>
        <v>0</v>
      </c>
      <c r="AM323" s="2"/>
      <c r="AN323" s="2"/>
      <c r="AO323" s="2"/>
    </row>
    <row r="324" spans="1:41" x14ac:dyDescent="0.2">
      <c r="A324" s="2" t="s">
        <v>707</v>
      </c>
      <c r="B324" s="2" t="s">
        <v>427</v>
      </c>
      <c r="C324" s="2" t="s">
        <v>54</v>
      </c>
      <c r="D324" s="2" t="s">
        <v>73</v>
      </c>
      <c r="E324" s="7" t="s">
        <v>40</v>
      </c>
      <c r="F324" s="2" t="s">
        <v>708</v>
      </c>
      <c r="G324" s="2" t="s">
        <v>438</v>
      </c>
      <c r="H324" s="12">
        <v>0.68871199999999999</v>
      </c>
      <c r="I324" s="2">
        <v>1.82</v>
      </c>
      <c r="J324" s="2">
        <v>5.51</v>
      </c>
      <c r="K324" s="2">
        <v>58.6</v>
      </c>
      <c r="L324" s="2"/>
      <c r="M324" s="2">
        <v>0.99</v>
      </c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9">
        <f t="shared" si="25"/>
        <v>1.25345584E-2</v>
      </c>
      <c r="AB324" s="9">
        <f t="shared" si="26"/>
        <v>3.7948031199999996E-2</v>
      </c>
      <c r="AC324" s="10">
        <f t="shared" si="27"/>
        <v>40.3585232</v>
      </c>
      <c r="AD324" s="10">
        <f t="shared" si="28"/>
        <v>0.68182487999999997</v>
      </c>
      <c r="AE324" s="9">
        <f t="shared" si="29"/>
        <v>0</v>
      </c>
      <c r="AF324" s="9">
        <f t="shared" si="30"/>
        <v>5.0482589599999995E-2</v>
      </c>
      <c r="AG324" s="9">
        <f t="shared" si="31"/>
        <v>7.33</v>
      </c>
      <c r="AH324" s="11">
        <f t="shared" si="36"/>
        <v>1.25345584</v>
      </c>
      <c r="AI324" s="11">
        <f t="shared" si="36"/>
        <v>3.7948031199999996</v>
      </c>
      <c r="AJ324" s="11">
        <f t="shared" si="36"/>
        <v>40.3585232</v>
      </c>
      <c r="AK324" s="11">
        <f t="shared" si="36"/>
        <v>0</v>
      </c>
      <c r="AL324" s="11">
        <f t="shared" si="36"/>
        <v>0.68182487999999997</v>
      </c>
      <c r="AM324" s="2"/>
      <c r="AN324" s="2"/>
      <c r="AO324" s="2"/>
    </row>
    <row r="325" spans="1:41" x14ac:dyDescent="0.2">
      <c r="A325" s="2" t="s">
        <v>709</v>
      </c>
      <c r="B325" s="2" t="s">
        <v>427</v>
      </c>
      <c r="C325" s="2" t="s">
        <v>54</v>
      </c>
      <c r="D325" s="2"/>
      <c r="E325" s="7" t="s">
        <v>40</v>
      </c>
      <c r="F325" s="2" t="s">
        <v>41</v>
      </c>
      <c r="G325" s="2" t="s">
        <v>438</v>
      </c>
      <c r="H325" s="12">
        <f>0.196087+0.020735</f>
        <v>0.21682200000000001</v>
      </c>
      <c r="I325" s="2">
        <v>2.85</v>
      </c>
      <c r="J325" s="2">
        <v>4.63</v>
      </c>
      <c r="K325" s="2">
        <v>411.3</v>
      </c>
      <c r="L325" s="2"/>
      <c r="M325" s="2">
        <v>0.47</v>
      </c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9">
        <f t="shared" si="25"/>
        <v>6.1794270000000004E-3</v>
      </c>
      <c r="AB325" s="9">
        <f t="shared" si="26"/>
        <v>1.0038858600000001E-2</v>
      </c>
      <c r="AC325" s="10">
        <f t="shared" si="27"/>
        <v>89.178888600000008</v>
      </c>
      <c r="AD325" s="10">
        <f t="shared" si="28"/>
        <v>0.10190634</v>
      </c>
      <c r="AE325" s="9">
        <f t="shared" si="29"/>
        <v>0</v>
      </c>
      <c r="AF325" s="9">
        <f t="shared" si="30"/>
        <v>1.62182856E-2</v>
      </c>
      <c r="AG325" s="9">
        <f t="shared" si="31"/>
        <v>7.48</v>
      </c>
      <c r="AH325" s="11">
        <f t="shared" si="36"/>
        <v>0.61794270000000007</v>
      </c>
      <c r="AI325" s="11">
        <f t="shared" si="36"/>
        <v>1.00388586</v>
      </c>
      <c r="AJ325" s="11">
        <f t="shared" si="36"/>
        <v>89.178888600000008</v>
      </c>
      <c r="AK325" s="11">
        <f t="shared" si="36"/>
        <v>0</v>
      </c>
      <c r="AL325" s="11">
        <f t="shared" si="36"/>
        <v>0.10190634</v>
      </c>
      <c r="AM325" s="2"/>
      <c r="AN325" s="2"/>
      <c r="AO325" s="2"/>
    </row>
    <row r="326" spans="1:41" x14ac:dyDescent="0.2">
      <c r="A326" s="2" t="s">
        <v>710</v>
      </c>
      <c r="B326" s="2" t="s">
        <v>427</v>
      </c>
      <c r="C326" s="2" t="s">
        <v>48</v>
      </c>
      <c r="D326" s="2"/>
      <c r="E326" s="7" t="s">
        <v>40</v>
      </c>
      <c r="F326" s="2" t="s">
        <v>41</v>
      </c>
      <c r="G326" s="2" t="s">
        <v>438</v>
      </c>
      <c r="H326" s="2">
        <v>2.7</v>
      </c>
      <c r="I326" s="2">
        <v>0.01</v>
      </c>
      <c r="J326" s="2">
        <v>0.2</v>
      </c>
      <c r="K326" s="2">
        <v>34</v>
      </c>
      <c r="L326" s="2">
        <v>0.5</v>
      </c>
      <c r="M326" s="2">
        <v>0.3</v>
      </c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9">
        <f t="shared" si="25"/>
        <v>2.7000000000000006E-4</v>
      </c>
      <c r="AB326" s="9">
        <f t="shared" si="26"/>
        <v>5.4000000000000003E-3</v>
      </c>
      <c r="AC326" s="10">
        <f t="shared" si="27"/>
        <v>91.800000000000011</v>
      </c>
      <c r="AD326" s="10">
        <f t="shared" si="28"/>
        <v>0.81</v>
      </c>
      <c r="AE326" s="9">
        <f t="shared" si="29"/>
        <v>1.3500000000000002E-2</v>
      </c>
      <c r="AF326" s="9">
        <f t="shared" si="30"/>
        <v>1.9170000000000003E-2</v>
      </c>
      <c r="AG326" s="9">
        <f t="shared" si="31"/>
        <v>0.71</v>
      </c>
      <c r="AH326" s="11">
        <f t="shared" si="36"/>
        <v>2.7000000000000003E-2</v>
      </c>
      <c r="AI326" s="11">
        <f t="shared" si="36"/>
        <v>0.54</v>
      </c>
      <c r="AJ326" s="11">
        <f t="shared" si="36"/>
        <v>91.800000000000011</v>
      </c>
      <c r="AK326" s="11">
        <f t="shared" si="36"/>
        <v>1.35</v>
      </c>
      <c r="AL326" s="11">
        <f t="shared" si="36"/>
        <v>0.81</v>
      </c>
      <c r="AM326" s="2"/>
      <c r="AN326" s="2"/>
      <c r="AO326" s="2"/>
    </row>
    <row r="327" spans="1:41" x14ac:dyDescent="0.2">
      <c r="A327" s="2" t="s">
        <v>711</v>
      </c>
      <c r="B327" s="2" t="s">
        <v>427</v>
      </c>
      <c r="C327" s="2" t="s">
        <v>48</v>
      </c>
      <c r="D327" s="2"/>
      <c r="E327" s="2" t="s">
        <v>50</v>
      </c>
      <c r="F327" s="2" t="s">
        <v>63</v>
      </c>
      <c r="G327" s="2" t="s">
        <v>64</v>
      </c>
      <c r="H327" s="2">
        <f>0.55+1</f>
        <v>1.55</v>
      </c>
      <c r="I327" s="2"/>
      <c r="J327" s="9">
        <f>(4.22*0.55+5*1)/$H327</f>
        <v>4.7232258064516124</v>
      </c>
      <c r="K327" s="14">
        <f>(19.7*0.55+20*1)/$H327</f>
        <v>19.893548387096775</v>
      </c>
      <c r="L327" s="13">
        <f>(0.82*0.55+1.3*1)/$H327</f>
        <v>1.1296774193548387</v>
      </c>
      <c r="M327" s="9">
        <f>(0.13*0.55+0*1)/$H327</f>
        <v>4.6129032258064522E-2</v>
      </c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9">
        <f t="shared" si="25"/>
        <v>0</v>
      </c>
      <c r="AB327" s="9">
        <f t="shared" si="26"/>
        <v>7.3209999999999997E-2</v>
      </c>
      <c r="AC327" s="10">
        <f t="shared" si="27"/>
        <v>30.835000000000001</v>
      </c>
      <c r="AD327" s="10">
        <f t="shared" si="28"/>
        <v>7.1500000000000008E-2</v>
      </c>
      <c r="AE327" s="9">
        <f t="shared" si="29"/>
        <v>1.7509999999999998E-2</v>
      </c>
      <c r="AF327" s="9">
        <f t="shared" si="30"/>
        <v>9.0719999999999995E-2</v>
      </c>
      <c r="AG327" s="9">
        <f t="shared" si="31"/>
        <v>5.8529032258064513</v>
      </c>
      <c r="AH327" s="11">
        <f t="shared" si="36"/>
        <v>0</v>
      </c>
      <c r="AI327" s="11">
        <f t="shared" si="36"/>
        <v>7.3209999999999997</v>
      </c>
      <c r="AJ327" s="11">
        <f t="shared" si="36"/>
        <v>30.835000000000001</v>
      </c>
      <c r="AK327" s="11">
        <f t="shared" si="36"/>
        <v>1.7509999999999999</v>
      </c>
      <c r="AL327" s="11">
        <f t="shared" si="36"/>
        <v>7.1500000000000008E-2</v>
      </c>
      <c r="AM327" s="2"/>
      <c r="AN327" s="2"/>
      <c r="AO327" s="2"/>
    </row>
    <row r="328" spans="1:41" x14ac:dyDescent="0.2">
      <c r="A328" s="2" t="s">
        <v>712</v>
      </c>
      <c r="B328" s="2" t="s">
        <v>427</v>
      </c>
      <c r="C328" s="2" t="s">
        <v>54</v>
      </c>
      <c r="D328" s="2"/>
      <c r="E328" s="2" t="s">
        <v>50</v>
      </c>
      <c r="F328" s="2" t="s">
        <v>713</v>
      </c>
      <c r="G328" s="2" t="s">
        <v>615</v>
      </c>
      <c r="H328" s="12">
        <v>2.63E-3</v>
      </c>
      <c r="I328" s="2">
        <v>14</v>
      </c>
      <c r="J328" s="2"/>
      <c r="K328" s="2">
        <v>411</v>
      </c>
      <c r="L328" s="2">
        <v>5</v>
      </c>
      <c r="M328" s="2">
        <v>2.4</v>
      </c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9">
        <f t="shared" si="25"/>
        <v>3.6820000000000001E-4</v>
      </c>
      <c r="AB328" s="9">
        <f t="shared" si="26"/>
        <v>0</v>
      </c>
      <c r="AC328" s="10">
        <f t="shared" si="27"/>
        <v>1.0809299999999999</v>
      </c>
      <c r="AD328" s="10">
        <f t="shared" si="28"/>
        <v>6.3119999999999999E-3</v>
      </c>
      <c r="AE328" s="9">
        <f t="shared" si="29"/>
        <v>1.315E-4</v>
      </c>
      <c r="AF328" s="9">
        <f t="shared" si="30"/>
        <v>4.9970000000000006E-4</v>
      </c>
      <c r="AG328" s="9">
        <f t="shared" si="31"/>
        <v>19</v>
      </c>
      <c r="AH328" s="11">
        <f t="shared" si="36"/>
        <v>3.6819999999999999E-2</v>
      </c>
      <c r="AI328" s="11">
        <f t="shared" si="36"/>
        <v>0</v>
      </c>
      <c r="AJ328" s="11">
        <f t="shared" si="36"/>
        <v>1.0809299999999999</v>
      </c>
      <c r="AK328" s="11">
        <f t="shared" si="36"/>
        <v>1.315E-2</v>
      </c>
      <c r="AL328" s="11">
        <f t="shared" si="36"/>
        <v>6.3119999999999999E-3</v>
      </c>
      <c r="AM328" s="2"/>
      <c r="AN328" s="2"/>
      <c r="AO328" s="2"/>
    </row>
    <row r="329" spans="1:41" x14ac:dyDescent="0.2">
      <c r="A329" s="2" t="s">
        <v>714</v>
      </c>
      <c r="B329" s="2" t="s">
        <v>427</v>
      </c>
      <c r="C329" s="2" t="s">
        <v>715</v>
      </c>
      <c r="D329" s="2"/>
      <c r="E329" s="7" t="s">
        <v>40</v>
      </c>
      <c r="F329" s="2" t="s">
        <v>716</v>
      </c>
      <c r="G329" s="2" t="s">
        <v>500</v>
      </c>
      <c r="H329" s="12">
        <v>0.13937099999999999</v>
      </c>
      <c r="I329" s="2">
        <v>3.7</v>
      </c>
      <c r="J329" s="2"/>
      <c r="K329" s="2">
        <v>316</v>
      </c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9">
        <f t="shared" si="25"/>
        <v>5.1567269999999998E-3</v>
      </c>
      <c r="AB329" s="9">
        <f t="shared" si="26"/>
        <v>0</v>
      </c>
      <c r="AC329" s="10">
        <f t="shared" si="27"/>
        <v>44.041235999999998</v>
      </c>
      <c r="AD329" s="10">
        <f t="shared" si="28"/>
        <v>0</v>
      </c>
      <c r="AE329" s="9">
        <f t="shared" si="29"/>
        <v>0</v>
      </c>
      <c r="AF329" s="9">
        <f t="shared" si="30"/>
        <v>5.1567269999999998E-3</v>
      </c>
      <c r="AG329" s="9">
        <f t="shared" si="31"/>
        <v>3.7</v>
      </c>
      <c r="AH329" s="11">
        <f t="shared" si="36"/>
        <v>0.51567269999999998</v>
      </c>
      <c r="AI329" s="11">
        <f t="shared" si="36"/>
        <v>0</v>
      </c>
      <c r="AJ329" s="11">
        <f t="shared" si="36"/>
        <v>44.041235999999998</v>
      </c>
      <c r="AK329" s="11">
        <f t="shared" si="36"/>
        <v>0</v>
      </c>
      <c r="AL329" s="11">
        <f t="shared" si="36"/>
        <v>0</v>
      </c>
      <c r="AM329" s="2"/>
      <c r="AN329" s="2"/>
      <c r="AO329" s="2"/>
    </row>
    <row r="330" spans="1:41" x14ac:dyDescent="0.2">
      <c r="A330" s="2" t="s">
        <v>717</v>
      </c>
      <c r="B330" s="2" t="s">
        <v>427</v>
      </c>
      <c r="C330" s="2" t="s">
        <v>48</v>
      </c>
      <c r="D330" s="2"/>
      <c r="E330" s="2" t="s">
        <v>50</v>
      </c>
      <c r="F330" s="2" t="s">
        <v>718</v>
      </c>
      <c r="G330" s="2" t="s">
        <v>719</v>
      </c>
      <c r="H330" s="2">
        <f>1.46-0.173</f>
        <v>1.2869999999999999</v>
      </c>
      <c r="I330" s="2"/>
      <c r="J330" s="2">
        <v>15.06</v>
      </c>
      <c r="K330" s="2">
        <v>36.799999999999997</v>
      </c>
      <c r="L330" s="2">
        <v>0.84</v>
      </c>
      <c r="M330" s="2">
        <v>0.49</v>
      </c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9">
        <f t="shared" si="25"/>
        <v>0</v>
      </c>
      <c r="AB330" s="9">
        <f t="shared" si="26"/>
        <v>0.1938222</v>
      </c>
      <c r="AC330" s="10">
        <f t="shared" si="27"/>
        <v>47.361599999999996</v>
      </c>
      <c r="AD330" s="10">
        <f t="shared" si="28"/>
        <v>0.63062999999999991</v>
      </c>
      <c r="AE330" s="9">
        <f t="shared" si="29"/>
        <v>1.0810799999999999E-2</v>
      </c>
      <c r="AF330" s="9">
        <f t="shared" si="30"/>
        <v>0.20463300000000001</v>
      </c>
      <c r="AG330" s="9">
        <f t="shared" si="31"/>
        <v>15.9</v>
      </c>
      <c r="AH330" s="11">
        <f t="shared" si="36"/>
        <v>0</v>
      </c>
      <c r="AI330" s="11">
        <f t="shared" si="36"/>
        <v>19.38222</v>
      </c>
      <c r="AJ330" s="11">
        <f t="shared" si="36"/>
        <v>47.361599999999996</v>
      </c>
      <c r="AK330" s="11">
        <f t="shared" si="36"/>
        <v>1.0810799999999998</v>
      </c>
      <c r="AL330" s="11">
        <f t="shared" si="36"/>
        <v>0.63062999999999991</v>
      </c>
      <c r="AM330" s="2"/>
      <c r="AN330" s="2"/>
      <c r="AO330" s="2"/>
    </row>
    <row r="331" spans="1:41" x14ac:dyDescent="0.2">
      <c r="A331" s="2" t="s">
        <v>720</v>
      </c>
      <c r="B331" s="2" t="s">
        <v>427</v>
      </c>
      <c r="C331" s="2" t="s">
        <v>38</v>
      </c>
      <c r="D331" s="2" t="s">
        <v>39</v>
      </c>
      <c r="E331" s="2" t="s">
        <v>50</v>
      </c>
      <c r="F331" s="2" t="s">
        <v>721</v>
      </c>
      <c r="G331" s="2" t="s">
        <v>641</v>
      </c>
      <c r="H331" s="2">
        <f>0.472+1.144+0.043+0.531+0.138+0.664+2.195+1.026+0.113+0.292+0.394+1.018+0.319+0.519+0.627+1.873+0.331+0.459+2.599+0.656+3.494+0.251+3.302+0.193+2.343+0.282</f>
        <v>25.278000000000002</v>
      </c>
      <c r="I331" s="9">
        <f>(1.84*0.472+1.18*1.144+0.84*0.043+0.76*0.531+1.86*0.138+1.32*0.664+0.98*2.195+0.67*1.026+0.8*0.113+0.96*0.292+2.08*0.394+1.24*1.018+1.08*0.319+0.94*0.519+0.88*0.627+0.54*1.873+0.84*0.331+1.52*0.459+0.9*2.599+0.7*0.656+0.8*3.494+0.7*0.251+0.7*3.302+0.6*0.193+0.6*2.343+0.6*0.282)/$H331</f>
        <v>0.87922303979745198</v>
      </c>
      <c r="J331" s="9">
        <f>(2.68*0.472+2.74*1.144+2.12*0.043+1.87*0.531+1.88*0.138+1.92*0.664+2.37*2.195+2.46*1.026+1.69*0.113+1.9*0.292+2.14*0.394+1.76*1.018+2.86*0.319+2.62*0.519+1.97*0.627+2.52*1.873+2.18*0.331+1.74*0.459+3.1*2.599+2.6*0.656+3.1*3.494+2.5*0.251+2.8*3.302+2.3*0.193+2.4*2.343+2.2*0.282)/$H331</f>
        <v>2.5724622201123508</v>
      </c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9">
        <f t="shared" si="25"/>
        <v>0.22224999999999995</v>
      </c>
      <c r="AB331" s="9">
        <f t="shared" si="26"/>
        <v>0.65026700000000004</v>
      </c>
      <c r="AC331" s="10">
        <f t="shared" si="27"/>
        <v>0</v>
      </c>
      <c r="AD331" s="10">
        <f t="shared" si="28"/>
        <v>0</v>
      </c>
      <c r="AE331" s="9">
        <f t="shared" si="29"/>
        <v>0</v>
      </c>
      <c r="AF331" s="9">
        <f t="shared" si="30"/>
        <v>0.87251699999999999</v>
      </c>
      <c r="AG331" s="9">
        <f t="shared" si="31"/>
        <v>3.4516852599098029</v>
      </c>
      <c r="AH331" s="11">
        <f t="shared" si="36"/>
        <v>22.224999999999994</v>
      </c>
      <c r="AI331" s="11">
        <f t="shared" si="36"/>
        <v>65.026700000000005</v>
      </c>
      <c r="AJ331" s="11">
        <f t="shared" si="36"/>
        <v>0</v>
      </c>
      <c r="AK331" s="11">
        <f t="shared" si="36"/>
        <v>0</v>
      </c>
      <c r="AL331" s="11">
        <f t="shared" si="36"/>
        <v>0</v>
      </c>
      <c r="AM331" s="2"/>
      <c r="AN331" s="2"/>
      <c r="AO331" s="2"/>
    </row>
    <row r="332" spans="1:41" x14ac:dyDescent="0.2">
      <c r="A332" s="2" t="s">
        <v>722</v>
      </c>
      <c r="B332" s="2" t="s">
        <v>427</v>
      </c>
      <c r="C332" s="2" t="s">
        <v>54</v>
      </c>
      <c r="D332" s="2"/>
      <c r="E332" s="7" t="s">
        <v>40</v>
      </c>
      <c r="F332" s="2" t="s">
        <v>645</v>
      </c>
      <c r="G332" s="2" t="s">
        <v>596</v>
      </c>
      <c r="H332" s="2">
        <v>0.312</v>
      </c>
      <c r="I332" s="2">
        <v>2.5</v>
      </c>
      <c r="J332" s="2">
        <v>2.5</v>
      </c>
      <c r="K332" s="2">
        <v>390.8</v>
      </c>
      <c r="L332" s="2"/>
      <c r="M332" s="2">
        <v>3.81</v>
      </c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9">
        <f t="shared" si="25"/>
        <v>7.8000000000000005E-3</v>
      </c>
      <c r="AB332" s="9">
        <f t="shared" si="26"/>
        <v>7.8000000000000005E-3</v>
      </c>
      <c r="AC332" s="10">
        <f t="shared" si="27"/>
        <v>121.92960000000001</v>
      </c>
      <c r="AD332" s="10">
        <f t="shared" si="28"/>
        <v>1.18872</v>
      </c>
      <c r="AE332" s="9">
        <f t="shared" si="29"/>
        <v>0</v>
      </c>
      <c r="AF332" s="9">
        <f t="shared" si="30"/>
        <v>1.5600000000000001E-2</v>
      </c>
      <c r="AG332" s="9">
        <f t="shared" si="31"/>
        <v>5</v>
      </c>
      <c r="AH332" s="11">
        <f t="shared" si="36"/>
        <v>0.78</v>
      </c>
      <c r="AI332" s="11">
        <f t="shared" si="36"/>
        <v>0.78</v>
      </c>
      <c r="AJ332" s="11">
        <f t="shared" si="36"/>
        <v>121.92960000000001</v>
      </c>
      <c r="AK332" s="11">
        <f t="shared" si="36"/>
        <v>0</v>
      </c>
      <c r="AL332" s="11">
        <f t="shared" si="36"/>
        <v>1.18872</v>
      </c>
      <c r="AM332" s="2"/>
      <c r="AN332" s="2"/>
      <c r="AO332" s="2"/>
    </row>
    <row r="333" spans="1:41" x14ac:dyDescent="0.2">
      <c r="A333" s="2" t="s">
        <v>723</v>
      </c>
      <c r="B333" s="2" t="s">
        <v>427</v>
      </c>
      <c r="C333" s="2" t="s">
        <v>48</v>
      </c>
      <c r="D333" s="2"/>
      <c r="E333" s="2" t="s">
        <v>50</v>
      </c>
      <c r="F333" s="2" t="s">
        <v>724</v>
      </c>
      <c r="G333" s="2" t="s">
        <v>725</v>
      </c>
      <c r="H333" s="2">
        <v>19.367000000000001</v>
      </c>
      <c r="I333" s="9">
        <v>0.02</v>
      </c>
      <c r="J333" s="9">
        <v>1.63</v>
      </c>
      <c r="K333" s="2">
        <v>15.42</v>
      </c>
      <c r="L333" s="2">
        <v>0.37</v>
      </c>
      <c r="M333" s="2">
        <v>0.95</v>
      </c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9">
        <f t="shared" si="25"/>
        <v>3.8734000000000004E-3</v>
      </c>
      <c r="AB333" s="9">
        <f t="shared" si="26"/>
        <v>0.31568210000000002</v>
      </c>
      <c r="AC333" s="10">
        <f t="shared" si="27"/>
        <v>298.63914</v>
      </c>
      <c r="AD333" s="10">
        <f t="shared" si="28"/>
        <v>18.39865</v>
      </c>
      <c r="AE333" s="9">
        <f t="shared" si="29"/>
        <v>7.1657899999999997E-2</v>
      </c>
      <c r="AF333" s="9">
        <f t="shared" si="30"/>
        <v>0.39121340000000004</v>
      </c>
      <c r="AG333" s="9">
        <f t="shared" si="31"/>
        <v>2.02</v>
      </c>
      <c r="AH333" s="11">
        <f t="shared" si="36"/>
        <v>0.38734000000000002</v>
      </c>
      <c r="AI333" s="11">
        <f t="shared" si="36"/>
        <v>31.568210000000001</v>
      </c>
      <c r="AJ333" s="11">
        <f t="shared" si="36"/>
        <v>298.63914</v>
      </c>
      <c r="AK333" s="11">
        <f t="shared" si="36"/>
        <v>7.1657900000000003</v>
      </c>
      <c r="AL333" s="11">
        <f t="shared" si="36"/>
        <v>18.39865</v>
      </c>
      <c r="AM333" s="2"/>
      <c r="AN333" s="2"/>
      <c r="AO333" s="2"/>
    </row>
    <row r="334" spans="1:41" x14ac:dyDescent="0.2">
      <c r="A334" s="2" t="s">
        <v>726</v>
      </c>
      <c r="B334" s="2" t="s">
        <v>427</v>
      </c>
      <c r="C334" s="2" t="s">
        <v>38</v>
      </c>
      <c r="D334" s="2" t="s">
        <v>39</v>
      </c>
      <c r="E334" s="7" t="s">
        <v>40</v>
      </c>
      <c r="F334" s="2" t="s">
        <v>41</v>
      </c>
      <c r="G334" s="8" t="s">
        <v>544</v>
      </c>
      <c r="H334" s="2">
        <f>26-20.1</f>
        <v>5.8999999999999986</v>
      </c>
      <c r="I334" s="13">
        <f>(3.7*26-3.6*20.1)/$H334</f>
        <v>4.0406779661016943</v>
      </c>
      <c r="J334" s="13">
        <f>(13.9*26-13.4*20.1)/$H334</f>
        <v>15.603389830508478</v>
      </c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9">
        <f t="shared" si="25"/>
        <v>0.23839999999999989</v>
      </c>
      <c r="AB334" s="9">
        <f t="shared" si="26"/>
        <v>0.92059999999999997</v>
      </c>
      <c r="AC334" s="10">
        <f t="shared" si="27"/>
        <v>0</v>
      </c>
      <c r="AD334" s="10">
        <f t="shared" si="28"/>
        <v>0</v>
      </c>
      <c r="AE334" s="9">
        <f t="shared" si="29"/>
        <v>0</v>
      </c>
      <c r="AF334" s="9">
        <f t="shared" si="30"/>
        <v>1.1589999999999998</v>
      </c>
      <c r="AG334" s="9">
        <f t="shared" si="31"/>
        <v>19.644067796610173</v>
      </c>
      <c r="AH334" s="11">
        <f t="shared" si="36"/>
        <v>23.839999999999989</v>
      </c>
      <c r="AI334" s="11">
        <f t="shared" si="36"/>
        <v>92.06</v>
      </c>
      <c r="AJ334" s="11">
        <f t="shared" si="36"/>
        <v>0</v>
      </c>
      <c r="AK334" s="11">
        <f t="shared" si="36"/>
        <v>0</v>
      </c>
      <c r="AL334" s="11">
        <f t="shared" si="36"/>
        <v>0</v>
      </c>
      <c r="AM334" s="2"/>
      <c r="AN334" s="2"/>
      <c r="AO334" s="2"/>
    </row>
    <row r="335" spans="1:41" x14ac:dyDescent="0.2">
      <c r="A335" s="2" t="s">
        <v>727</v>
      </c>
      <c r="B335" s="2" t="s">
        <v>427</v>
      </c>
      <c r="C335" s="2" t="s">
        <v>54</v>
      </c>
      <c r="D335" s="2"/>
      <c r="E335" s="7" t="s">
        <v>40</v>
      </c>
      <c r="F335" s="2" t="s">
        <v>41</v>
      </c>
      <c r="G335" s="2" t="s">
        <v>438</v>
      </c>
      <c r="H335" s="12">
        <v>0.82640000000000002</v>
      </c>
      <c r="I335" s="2">
        <v>5</v>
      </c>
      <c r="J335" s="2">
        <v>5</v>
      </c>
      <c r="K335" s="2">
        <v>668.5</v>
      </c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9">
        <f t="shared" si="25"/>
        <v>4.1319999999999996E-2</v>
      </c>
      <c r="AB335" s="9">
        <f t="shared" si="26"/>
        <v>4.1319999999999996E-2</v>
      </c>
      <c r="AC335" s="10">
        <f t="shared" si="27"/>
        <v>552.44839999999999</v>
      </c>
      <c r="AD335" s="10">
        <f t="shared" si="28"/>
        <v>0</v>
      </c>
      <c r="AE335" s="9">
        <f t="shared" si="29"/>
        <v>0</v>
      </c>
      <c r="AF335" s="9">
        <f t="shared" si="30"/>
        <v>8.2639999999999991E-2</v>
      </c>
      <c r="AG335" s="9">
        <f t="shared" si="31"/>
        <v>10</v>
      </c>
      <c r="AH335" s="11">
        <f t="shared" si="36"/>
        <v>4.1319999999999997</v>
      </c>
      <c r="AI335" s="11">
        <f t="shared" si="36"/>
        <v>4.1319999999999997</v>
      </c>
      <c r="AJ335" s="11">
        <f t="shared" si="36"/>
        <v>552.44839999999999</v>
      </c>
      <c r="AK335" s="11">
        <f t="shared" si="36"/>
        <v>0</v>
      </c>
      <c r="AL335" s="11">
        <f t="shared" si="36"/>
        <v>0</v>
      </c>
      <c r="AM335" s="2"/>
      <c r="AN335" s="2"/>
      <c r="AO335" s="2"/>
    </row>
    <row r="336" spans="1:41" x14ac:dyDescent="0.2">
      <c r="A336" s="2" t="s">
        <v>728</v>
      </c>
      <c r="B336" s="2" t="s">
        <v>427</v>
      </c>
      <c r="C336" s="2" t="s">
        <v>54</v>
      </c>
      <c r="D336" s="2"/>
      <c r="E336" s="7" t="s">
        <v>40</v>
      </c>
      <c r="F336" s="2" t="s">
        <v>41</v>
      </c>
      <c r="G336" s="2" t="s">
        <v>438</v>
      </c>
      <c r="H336" s="12">
        <f>0.118+0.01116+0.018+0.000327</f>
        <v>0.14748699999999998</v>
      </c>
      <c r="I336" s="9">
        <f>(3*0.118+1.58*0.01116+2.1*0.018+0*0.000327)/$H336</f>
        <v>2.7760602629384286</v>
      </c>
      <c r="J336" s="9">
        <f>(0*0.118+1.87*0.01116+2.1*0.018+0*0.000327)/$H336</f>
        <v>0.39779234780014516</v>
      </c>
      <c r="K336" s="14">
        <f>(120*0.118+208*0.01116+31*0.018+2057*0.000327)/$H336</f>
        <v>120.09139110565677</v>
      </c>
      <c r="L336" s="2"/>
      <c r="M336" s="9">
        <f>(0.69*0.118+2.23*0.01116+0.27*0.018+0*0.000327)/$H336</f>
        <v>0.75373965163031331</v>
      </c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9">
        <f t="shared" si="25"/>
        <v>4.0943279999999995E-3</v>
      </c>
      <c r="AB336" s="9">
        <f t="shared" si="26"/>
        <v>5.8669200000000009E-4</v>
      </c>
      <c r="AC336" s="10">
        <f t="shared" si="27"/>
        <v>17.711918999999998</v>
      </c>
      <c r="AD336" s="10">
        <f t="shared" si="28"/>
        <v>0.11116680000000001</v>
      </c>
      <c r="AE336" s="9">
        <f t="shared" si="29"/>
        <v>0</v>
      </c>
      <c r="AF336" s="9">
        <f t="shared" si="30"/>
        <v>4.6810199999999993E-3</v>
      </c>
      <c r="AG336" s="9">
        <f t="shared" si="31"/>
        <v>3.1738526107385736</v>
      </c>
      <c r="AH336" s="11">
        <f t="shared" si="36"/>
        <v>0.40943279999999993</v>
      </c>
      <c r="AI336" s="11">
        <f t="shared" si="36"/>
        <v>5.8669200000000005E-2</v>
      </c>
      <c r="AJ336" s="11">
        <f t="shared" si="36"/>
        <v>17.711918999999998</v>
      </c>
      <c r="AK336" s="11">
        <f t="shared" si="36"/>
        <v>0</v>
      </c>
      <c r="AL336" s="11">
        <f t="shared" si="36"/>
        <v>0.11116680000000001</v>
      </c>
      <c r="AM336" s="2"/>
      <c r="AN336" s="2"/>
      <c r="AO336" s="2"/>
    </row>
    <row r="337" spans="1:41" x14ac:dyDescent="0.2">
      <c r="A337" s="2" t="s">
        <v>729</v>
      </c>
      <c r="B337" s="2" t="s">
        <v>427</v>
      </c>
      <c r="C337" s="2" t="s">
        <v>38</v>
      </c>
      <c r="D337" s="2" t="s">
        <v>39</v>
      </c>
      <c r="E337" s="2" t="s">
        <v>50</v>
      </c>
      <c r="F337" s="2" t="s">
        <v>730</v>
      </c>
      <c r="G337" s="2" t="s">
        <v>731</v>
      </c>
      <c r="H337" s="12">
        <f>1.7+3.731+6.239</f>
        <v>11.67</v>
      </c>
      <c r="I337" s="13">
        <f>(9.7*1.7+10.5*3.731+11.5*6.239)/$H337</f>
        <v>10.918080548414737</v>
      </c>
      <c r="J337" s="13">
        <f>(12.1*1.7+10.2*3.731+14.5*6.239)/$H337</f>
        <v>12.775638389031705</v>
      </c>
      <c r="K337" s="14">
        <f>(155*1.7+162*3.731+229*6.239)/$H337</f>
        <v>196.79974293059129</v>
      </c>
      <c r="L337" s="9">
        <f>(0.28*1.7+0.32*3.731+0.57*6.239)/$H337</f>
        <v>0.44782776349614395</v>
      </c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9">
        <f t="shared" si="25"/>
        <v>1.2741399999999998</v>
      </c>
      <c r="AB337" s="9">
        <f t="shared" si="26"/>
        <v>1.490917</v>
      </c>
      <c r="AC337" s="10">
        <f t="shared" si="27"/>
        <v>2296.6530000000002</v>
      </c>
      <c r="AD337" s="10">
        <f t="shared" si="28"/>
        <v>0</v>
      </c>
      <c r="AE337" s="9">
        <f t="shared" si="29"/>
        <v>5.2261499999999995E-2</v>
      </c>
      <c r="AF337" s="9">
        <f t="shared" si="30"/>
        <v>2.8173184999999998</v>
      </c>
      <c r="AG337" s="9">
        <f t="shared" si="31"/>
        <v>24.141546700942584</v>
      </c>
      <c r="AH337" s="11">
        <f t="shared" si="36"/>
        <v>127.41399999999999</v>
      </c>
      <c r="AI337" s="11">
        <f t="shared" si="36"/>
        <v>149.0917</v>
      </c>
      <c r="AJ337" s="11">
        <f t="shared" si="36"/>
        <v>2296.6530000000002</v>
      </c>
      <c r="AK337" s="11">
        <f t="shared" si="36"/>
        <v>5.2261499999999996</v>
      </c>
      <c r="AL337" s="11">
        <f t="shared" si="36"/>
        <v>0</v>
      </c>
      <c r="AM337" s="2"/>
      <c r="AN337" s="2"/>
      <c r="AO337" s="2"/>
    </row>
    <row r="338" spans="1:41" x14ac:dyDescent="0.2">
      <c r="A338" s="2" t="s">
        <v>732</v>
      </c>
      <c r="B338" s="2" t="s">
        <v>427</v>
      </c>
      <c r="C338" s="2" t="s">
        <v>54</v>
      </c>
      <c r="D338" s="2"/>
      <c r="E338" s="7" t="s">
        <v>40</v>
      </c>
      <c r="F338" s="2" t="s">
        <v>41</v>
      </c>
      <c r="G338" s="2" t="s">
        <v>438</v>
      </c>
      <c r="H338" s="12">
        <f>0.347381+0.011295+0.000816</f>
        <v>0.35949199999999998</v>
      </c>
      <c r="I338" s="13">
        <f>(4.93*0.347381+1.8*0.011295+6.2*0.000816)/$H338</f>
        <v>4.8345402122995784</v>
      </c>
      <c r="J338" s="2"/>
      <c r="K338" s="13">
        <f>(39.42*0.347381+148.1*0.011295+970.3*0.000816)/$H338</f>
        <v>44.947629766448216</v>
      </c>
      <c r="L338" s="13">
        <f>(1.5*0.347381+1.9*0.011295+4.2*0.000816)/$H338</f>
        <v>1.518696382673328</v>
      </c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9">
        <f t="shared" si="25"/>
        <v>1.7379785299999999E-2</v>
      </c>
      <c r="AB338" s="9">
        <f t="shared" si="26"/>
        <v>0</v>
      </c>
      <c r="AC338" s="10">
        <f t="shared" si="27"/>
        <v>16.158313320000001</v>
      </c>
      <c r="AD338" s="10">
        <f t="shared" si="28"/>
        <v>0</v>
      </c>
      <c r="AE338" s="9">
        <f t="shared" si="29"/>
        <v>5.4595920000000001E-3</v>
      </c>
      <c r="AF338" s="9">
        <f t="shared" si="30"/>
        <v>2.2839377299999998E-2</v>
      </c>
      <c r="AG338" s="9">
        <f t="shared" si="31"/>
        <v>6.3532365949729064</v>
      </c>
      <c r="AH338" s="11">
        <f t="shared" ref="AH338:AL353" si="37">$H338*I338</f>
        <v>1.7379785299999999</v>
      </c>
      <c r="AI338" s="11">
        <f t="shared" si="37"/>
        <v>0</v>
      </c>
      <c r="AJ338" s="11">
        <f t="shared" si="37"/>
        <v>16.158313320000001</v>
      </c>
      <c r="AK338" s="11">
        <f t="shared" si="37"/>
        <v>0.54595919999999998</v>
      </c>
      <c r="AL338" s="11">
        <f t="shared" si="37"/>
        <v>0</v>
      </c>
      <c r="AM338" s="2"/>
      <c r="AN338" s="2"/>
      <c r="AO338" s="2"/>
    </row>
    <row r="339" spans="1:41" x14ac:dyDescent="0.2">
      <c r="A339" s="2" t="s">
        <v>733</v>
      </c>
      <c r="B339" s="2" t="s">
        <v>427</v>
      </c>
      <c r="C339" s="2" t="s">
        <v>48</v>
      </c>
      <c r="D339" s="2"/>
      <c r="E339" s="7" t="s">
        <v>40</v>
      </c>
      <c r="F339" s="2" t="s">
        <v>734</v>
      </c>
      <c r="G339" s="2" t="s">
        <v>735</v>
      </c>
      <c r="H339" s="2">
        <v>0.375</v>
      </c>
      <c r="I339" s="2">
        <v>4.8</v>
      </c>
      <c r="J339" s="2">
        <v>6.1</v>
      </c>
      <c r="K339" s="2">
        <v>55</v>
      </c>
      <c r="L339" s="2">
        <v>0.5</v>
      </c>
      <c r="M339" s="13">
        <v>4</v>
      </c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9">
        <f t="shared" si="25"/>
        <v>1.7999999999999999E-2</v>
      </c>
      <c r="AB339" s="9">
        <f t="shared" si="26"/>
        <v>2.2874999999999996E-2</v>
      </c>
      <c r="AC339" s="10">
        <f t="shared" si="27"/>
        <v>20.625</v>
      </c>
      <c r="AD339" s="10">
        <f t="shared" si="28"/>
        <v>1.5</v>
      </c>
      <c r="AE339" s="9">
        <f t="shared" si="29"/>
        <v>1.8749999999999999E-3</v>
      </c>
      <c r="AF339" s="9">
        <f t="shared" si="30"/>
        <v>4.2749999999999996E-2</v>
      </c>
      <c r="AG339" s="9">
        <f t="shared" si="31"/>
        <v>11.399999999999999</v>
      </c>
      <c r="AH339" s="11">
        <f t="shared" si="37"/>
        <v>1.7999999999999998</v>
      </c>
      <c r="AI339" s="11">
        <f t="shared" si="37"/>
        <v>2.2874999999999996</v>
      </c>
      <c r="AJ339" s="11">
        <f t="shared" si="37"/>
        <v>20.625</v>
      </c>
      <c r="AK339" s="11">
        <f t="shared" si="37"/>
        <v>0.1875</v>
      </c>
      <c r="AL339" s="11">
        <f t="shared" si="37"/>
        <v>1.5</v>
      </c>
      <c r="AM339" s="2"/>
      <c r="AN339" s="2"/>
      <c r="AO339" s="2"/>
    </row>
    <row r="340" spans="1:41" x14ac:dyDescent="0.2">
      <c r="A340" s="2" t="s">
        <v>736</v>
      </c>
      <c r="B340" s="2" t="s">
        <v>427</v>
      </c>
      <c r="C340" s="2" t="s">
        <v>38</v>
      </c>
      <c r="D340" s="2" t="s">
        <v>39</v>
      </c>
      <c r="E340" s="7" t="s">
        <v>40</v>
      </c>
      <c r="F340" s="2" t="s">
        <v>41</v>
      </c>
      <c r="G340" s="2" t="s">
        <v>438</v>
      </c>
      <c r="H340" s="12">
        <v>2.1770399999999999</v>
      </c>
      <c r="I340" s="2">
        <v>6.5</v>
      </c>
      <c r="J340" s="13">
        <v>18.5</v>
      </c>
      <c r="K340" s="2">
        <v>68.5</v>
      </c>
      <c r="L340" s="9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9">
        <f t="shared" si="25"/>
        <v>0.14150759999999998</v>
      </c>
      <c r="AB340" s="9">
        <f t="shared" si="26"/>
        <v>0.40275239999999995</v>
      </c>
      <c r="AC340" s="10">
        <f t="shared" si="27"/>
        <v>149.12724</v>
      </c>
      <c r="AD340" s="10">
        <f t="shared" si="28"/>
        <v>0</v>
      </c>
      <c r="AE340" s="9">
        <f t="shared" si="29"/>
        <v>0</v>
      </c>
      <c r="AF340" s="9">
        <f t="shared" si="30"/>
        <v>0.54425999999999997</v>
      </c>
      <c r="AG340" s="9">
        <f t="shared" si="31"/>
        <v>25</v>
      </c>
      <c r="AH340" s="11">
        <f t="shared" si="37"/>
        <v>14.150759999999998</v>
      </c>
      <c r="AI340" s="11">
        <f t="shared" si="37"/>
        <v>40.275239999999997</v>
      </c>
      <c r="AJ340" s="11">
        <f t="shared" si="37"/>
        <v>149.12724</v>
      </c>
      <c r="AK340" s="11">
        <f t="shared" si="37"/>
        <v>0</v>
      </c>
      <c r="AL340" s="11">
        <f t="shared" si="37"/>
        <v>0</v>
      </c>
      <c r="AM340" s="2"/>
      <c r="AN340" s="2"/>
      <c r="AO340" s="2"/>
    </row>
    <row r="341" spans="1:41" x14ac:dyDescent="0.2">
      <c r="A341" s="2" t="s">
        <v>737</v>
      </c>
      <c r="B341" s="2" t="s">
        <v>427</v>
      </c>
      <c r="C341" s="2" t="s">
        <v>38</v>
      </c>
      <c r="D341" s="2" t="s">
        <v>62</v>
      </c>
      <c r="E341" s="7" t="s">
        <v>40</v>
      </c>
      <c r="F341" s="2" t="s">
        <v>41</v>
      </c>
      <c r="G341" s="8" t="s">
        <v>44</v>
      </c>
      <c r="H341" s="2">
        <v>5.8</v>
      </c>
      <c r="I341" s="2">
        <v>0.98</v>
      </c>
      <c r="J341" s="2">
        <v>3.42</v>
      </c>
      <c r="K341" s="2">
        <v>3.4</v>
      </c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9">
        <f t="shared" si="25"/>
        <v>5.6840000000000002E-2</v>
      </c>
      <c r="AB341" s="9">
        <f t="shared" si="26"/>
        <v>0.19835999999999998</v>
      </c>
      <c r="AC341" s="10">
        <f t="shared" si="27"/>
        <v>19.72</v>
      </c>
      <c r="AD341" s="10">
        <f t="shared" si="28"/>
        <v>0</v>
      </c>
      <c r="AE341" s="9">
        <f t="shared" si="29"/>
        <v>0</v>
      </c>
      <c r="AF341" s="9">
        <f t="shared" si="30"/>
        <v>0.25519999999999998</v>
      </c>
      <c r="AG341" s="9">
        <f t="shared" si="31"/>
        <v>4.4000000000000004</v>
      </c>
      <c r="AH341" s="11">
        <f t="shared" si="37"/>
        <v>5.6840000000000002</v>
      </c>
      <c r="AI341" s="11">
        <f t="shared" si="37"/>
        <v>19.835999999999999</v>
      </c>
      <c r="AJ341" s="11">
        <f t="shared" si="37"/>
        <v>19.72</v>
      </c>
      <c r="AK341" s="11">
        <f t="shared" si="37"/>
        <v>0</v>
      </c>
      <c r="AL341" s="11">
        <f t="shared" si="37"/>
        <v>0</v>
      </c>
      <c r="AM341" s="2"/>
      <c r="AN341" s="2"/>
      <c r="AO341" s="2"/>
    </row>
    <row r="342" spans="1:41" x14ac:dyDescent="0.2">
      <c r="A342" s="2" t="s">
        <v>738</v>
      </c>
      <c r="B342" s="2" t="s">
        <v>427</v>
      </c>
      <c r="C342" s="2" t="s">
        <v>48</v>
      </c>
      <c r="D342" s="2"/>
      <c r="E342" s="7" t="s">
        <v>40</v>
      </c>
      <c r="F342" s="2" t="s">
        <v>578</v>
      </c>
      <c r="G342" s="2" t="s">
        <v>615</v>
      </c>
      <c r="H342" s="2">
        <v>0.48</v>
      </c>
      <c r="I342" s="2"/>
      <c r="J342" s="2">
        <v>7.97</v>
      </c>
      <c r="K342" s="2">
        <v>23.3</v>
      </c>
      <c r="L342" s="2">
        <v>0.4</v>
      </c>
      <c r="M342" s="2">
        <v>1.9</v>
      </c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9">
        <f t="shared" si="25"/>
        <v>0</v>
      </c>
      <c r="AB342" s="9">
        <f t="shared" si="26"/>
        <v>3.8255999999999998E-2</v>
      </c>
      <c r="AC342" s="10">
        <f t="shared" si="27"/>
        <v>11.183999999999999</v>
      </c>
      <c r="AD342" s="10">
        <f t="shared" si="28"/>
        <v>0.91199999999999992</v>
      </c>
      <c r="AE342" s="9">
        <f t="shared" si="29"/>
        <v>1.92E-3</v>
      </c>
      <c r="AF342" s="9">
        <f t="shared" si="30"/>
        <v>4.0175999999999996E-2</v>
      </c>
      <c r="AG342" s="9">
        <f t="shared" si="31"/>
        <v>8.3699999999999992</v>
      </c>
      <c r="AH342" s="11">
        <f t="shared" si="37"/>
        <v>0</v>
      </c>
      <c r="AI342" s="11">
        <f t="shared" si="37"/>
        <v>3.8255999999999997</v>
      </c>
      <c r="AJ342" s="11">
        <f t="shared" si="37"/>
        <v>11.183999999999999</v>
      </c>
      <c r="AK342" s="11">
        <f t="shared" si="37"/>
        <v>0.192</v>
      </c>
      <c r="AL342" s="11">
        <f t="shared" si="37"/>
        <v>0.91199999999999992</v>
      </c>
      <c r="AM342" s="2"/>
      <c r="AN342" s="2"/>
      <c r="AO342" s="2"/>
    </row>
    <row r="343" spans="1:41" x14ac:dyDescent="0.2">
      <c r="A343" s="2" t="s">
        <v>739</v>
      </c>
      <c r="B343" s="2" t="s">
        <v>427</v>
      </c>
      <c r="C343" s="2" t="s">
        <v>38</v>
      </c>
      <c r="D343" s="2" t="s">
        <v>62</v>
      </c>
      <c r="E343" s="7" t="s">
        <v>40</v>
      </c>
      <c r="F343" s="2" t="s">
        <v>740</v>
      </c>
      <c r="G343" s="2" t="s">
        <v>438</v>
      </c>
      <c r="H343" s="12">
        <v>2.605826</v>
      </c>
      <c r="I343" s="2">
        <v>5.0999999999999996</v>
      </c>
      <c r="J343" s="2">
        <v>5.6</v>
      </c>
      <c r="K343" s="2">
        <v>37.700000000000003</v>
      </c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9">
        <f t="shared" si="25"/>
        <v>0.132897126</v>
      </c>
      <c r="AB343" s="9">
        <f t="shared" si="26"/>
        <v>0.14592625599999998</v>
      </c>
      <c r="AC343" s="10">
        <f t="shared" si="27"/>
        <v>98.239640200000011</v>
      </c>
      <c r="AD343" s="10">
        <f t="shared" si="28"/>
        <v>0</v>
      </c>
      <c r="AE343" s="9">
        <f t="shared" si="29"/>
        <v>0</v>
      </c>
      <c r="AF343" s="9">
        <f t="shared" si="30"/>
        <v>0.27882338200000001</v>
      </c>
      <c r="AG343" s="9">
        <f t="shared" si="31"/>
        <v>10.7</v>
      </c>
      <c r="AH343" s="11">
        <f t="shared" si="37"/>
        <v>13.2897126</v>
      </c>
      <c r="AI343" s="11">
        <f t="shared" si="37"/>
        <v>14.592625599999998</v>
      </c>
      <c r="AJ343" s="11">
        <f t="shared" si="37"/>
        <v>98.239640200000011</v>
      </c>
      <c r="AK343" s="11">
        <f t="shared" si="37"/>
        <v>0</v>
      </c>
      <c r="AL343" s="11">
        <f t="shared" si="37"/>
        <v>0</v>
      </c>
      <c r="AM343" s="2"/>
      <c r="AN343" s="2"/>
      <c r="AO343" s="2"/>
    </row>
    <row r="344" spans="1:41" x14ac:dyDescent="0.2">
      <c r="A344" s="2" t="s">
        <v>741</v>
      </c>
      <c r="B344" s="2" t="s">
        <v>427</v>
      </c>
      <c r="C344" s="2" t="s">
        <v>38</v>
      </c>
      <c r="D344" s="2" t="s">
        <v>39</v>
      </c>
      <c r="E344" s="7" t="s">
        <v>40</v>
      </c>
      <c r="F344" s="2" t="s">
        <v>41</v>
      </c>
      <c r="G344" s="8" t="s">
        <v>742</v>
      </c>
      <c r="H344" s="9">
        <v>20.137619999999998</v>
      </c>
      <c r="I344" s="13">
        <f>5/3</f>
        <v>1.6666666666666667</v>
      </c>
      <c r="J344" s="13">
        <f>5*(2/3)</f>
        <v>3.333333333333333</v>
      </c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9">
        <f t="shared" si="25"/>
        <v>0.33562700000000001</v>
      </c>
      <c r="AB344" s="9">
        <f t="shared" si="26"/>
        <v>0.6712539999999998</v>
      </c>
      <c r="AC344" s="10">
        <f t="shared" si="27"/>
        <v>0</v>
      </c>
      <c r="AD344" s="10">
        <f t="shared" si="28"/>
        <v>0</v>
      </c>
      <c r="AE344" s="9">
        <f t="shared" si="29"/>
        <v>0</v>
      </c>
      <c r="AF344" s="9">
        <f t="shared" si="30"/>
        <v>1.0068809999999999</v>
      </c>
      <c r="AG344" s="9">
        <f t="shared" si="31"/>
        <v>5</v>
      </c>
      <c r="AH344" s="11">
        <f t="shared" si="37"/>
        <v>33.5627</v>
      </c>
      <c r="AI344" s="11">
        <f t="shared" si="37"/>
        <v>67.125399999999985</v>
      </c>
      <c r="AJ344" s="11">
        <f t="shared" si="37"/>
        <v>0</v>
      </c>
      <c r="AK344" s="11">
        <f t="shared" si="37"/>
        <v>0</v>
      </c>
      <c r="AL344" s="11">
        <f t="shared" si="37"/>
        <v>0</v>
      </c>
      <c r="AM344" s="2"/>
      <c r="AN344" s="2"/>
      <c r="AO344" s="2"/>
    </row>
    <row r="345" spans="1:41" x14ac:dyDescent="0.2">
      <c r="A345" s="2" t="s">
        <v>743</v>
      </c>
      <c r="B345" s="2" t="s">
        <v>427</v>
      </c>
      <c r="C345" s="2" t="s">
        <v>48</v>
      </c>
      <c r="D345" s="2"/>
      <c r="E345" s="7" t="s">
        <v>40</v>
      </c>
      <c r="F345" s="2" t="s">
        <v>605</v>
      </c>
      <c r="G345" s="2" t="s">
        <v>606</v>
      </c>
      <c r="H345" s="13">
        <v>1</v>
      </c>
      <c r="I345" s="2"/>
      <c r="J345" s="2">
        <v>2.06</v>
      </c>
      <c r="K345" s="2"/>
      <c r="L345" s="2">
        <v>1.97</v>
      </c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9">
        <f t="shared" si="25"/>
        <v>0</v>
      </c>
      <c r="AB345" s="9">
        <f t="shared" si="26"/>
        <v>2.06E-2</v>
      </c>
      <c r="AC345" s="10">
        <f t="shared" si="27"/>
        <v>0</v>
      </c>
      <c r="AD345" s="10">
        <f t="shared" si="28"/>
        <v>0</v>
      </c>
      <c r="AE345" s="9">
        <f t="shared" si="29"/>
        <v>1.9699999999999999E-2</v>
      </c>
      <c r="AF345" s="9">
        <f t="shared" si="30"/>
        <v>4.0300000000000002E-2</v>
      </c>
      <c r="AG345" s="9">
        <f t="shared" si="31"/>
        <v>4.03</v>
      </c>
      <c r="AH345" s="11">
        <f t="shared" si="37"/>
        <v>0</v>
      </c>
      <c r="AI345" s="11">
        <f t="shared" si="37"/>
        <v>2.06</v>
      </c>
      <c r="AJ345" s="11">
        <f t="shared" si="37"/>
        <v>0</v>
      </c>
      <c r="AK345" s="11">
        <f t="shared" si="37"/>
        <v>1.97</v>
      </c>
      <c r="AL345" s="11">
        <f t="shared" si="37"/>
        <v>0</v>
      </c>
      <c r="AM345" s="2"/>
      <c r="AN345" s="2"/>
      <c r="AO345" s="2"/>
    </row>
    <row r="346" spans="1:41" x14ac:dyDescent="0.2">
      <c r="A346" s="2" t="s">
        <v>744</v>
      </c>
      <c r="B346" s="2" t="s">
        <v>427</v>
      </c>
      <c r="C346" s="2" t="s">
        <v>48</v>
      </c>
      <c r="D346" s="2"/>
      <c r="E346" s="2" t="s">
        <v>50</v>
      </c>
      <c r="F346" s="2" t="s">
        <v>745</v>
      </c>
      <c r="G346" s="2" t="s">
        <v>746</v>
      </c>
      <c r="H346" s="12">
        <v>2.3139180000000001</v>
      </c>
      <c r="I346" s="2">
        <v>0.21</v>
      </c>
      <c r="J346" s="2">
        <v>0.88</v>
      </c>
      <c r="K346" s="2">
        <v>77.599999999999994</v>
      </c>
      <c r="L346" s="2">
        <v>0.21</v>
      </c>
      <c r="M346" s="2">
        <v>0.64</v>
      </c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9">
        <f t="shared" si="25"/>
        <v>4.8592278000000001E-3</v>
      </c>
      <c r="AB346" s="9">
        <f t="shared" si="26"/>
        <v>2.0362478400000002E-2</v>
      </c>
      <c r="AC346" s="10">
        <f t="shared" si="27"/>
        <v>179.56003680000001</v>
      </c>
      <c r="AD346" s="10">
        <f t="shared" si="28"/>
        <v>1.4809075200000001</v>
      </c>
      <c r="AE346" s="9">
        <f t="shared" si="29"/>
        <v>4.8592278000000001E-3</v>
      </c>
      <c r="AF346" s="9">
        <f t="shared" si="30"/>
        <v>3.0080934000000004E-2</v>
      </c>
      <c r="AG346" s="9">
        <f t="shared" si="31"/>
        <v>1.3</v>
      </c>
      <c r="AH346" s="11">
        <f t="shared" si="37"/>
        <v>0.48592278</v>
      </c>
      <c r="AI346" s="11">
        <f t="shared" si="37"/>
        <v>2.0362478400000001</v>
      </c>
      <c r="AJ346" s="11">
        <f t="shared" si="37"/>
        <v>179.56003680000001</v>
      </c>
      <c r="AK346" s="11">
        <f t="shared" si="37"/>
        <v>0.48592278</v>
      </c>
      <c r="AL346" s="11">
        <f t="shared" si="37"/>
        <v>1.4809075200000001</v>
      </c>
      <c r="AM346" s="2"/>
      <c r="AN346" s="2"/>
      <c r="AO346" s="2"/>
    </row>
    <row r="347" spans="1:41" x14ac:dyDescent="0.2">
      <c r="A347" s="2" t="s">
        <v>747</v>
      </c>
      <c r="B347" s="2" t="s">
        <v>427</v>
      </c>
      <c r="C347" s="2" t="s">
        <v>48</v>
      </c>
      <c r="D347" s="2"/>
      <c r="E347" s="7" t="s">
        <v>40</v>
      </c>
      <c r="F347" s="2" t="s">
        <v>673</v>
      </c>
      <c r="G347" s="2" t="s">
        <v>748</v>
      </c>
      <c r="H347" s="9">
        <f>0.279*0.9072</f>
        <v>0.25310880000000002</v>
      </c>
      <c r="I347" s="2"/>
      <c r="J347" s="2">
        <v>4.38</v>
      </c>
      <c r="K347" s="2">
        <v>42.16</v>
      </c>
      <c r="L347" s="2">
        <v>0.77</v>
      </c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9">
        <f t="shared" si="25"/>
        <v>0</v>
      </c>
      <c r="AB347" s="9">
        <f t="shared" si="26"/>
        <v>1.108616544E-2</v>
      </c>
      <c r="AC347" s="10">
        <f t="shared" si="27"/>
        <v>10.671067008</v>
      </c>
      <c r="AD347" s="10">
        <f t="shared" si="28"/>
        <v>0</v>
      </c>
      <c r="AE347" s="9">
        <f t="shared" si="29"/>
        <v>1.9489377600000002E-3</v>
      </c>
      <c r="AF347" s="9">
        <f t="shared" si="30"/>
        <v>1.30351032E-2</v>
      </c>
      <c r="AG347" s="9">
        <f t="shared" si="31"/>
        <v>5.15</v>
      </c>
      <c r="AH347" s="11">
        <f t="shared" si="37"/>
        <v>0</v>
      </c>
      <c r="AI347" s="11">
        <f t="shared" si="37"/>
        <v>1.108616544</v>
      </c>
      <c r="AJ347" s="11">
        <f t="shared" si="37"/>
        <v>10.671067008</v>
      </c>
      <c r="AK347" s="11">
        <f t="shared" si="37"/>
        <v>0.19489377600000002</v>
      </c>
      <c r="AL347" s="11">
        <f t="shared" si="37"/>
        <v>0</v>
      </c>
      <c r="AM347" s="2"/>
      <c r="AN347" s="2"/>
      <c r="AO347" s="2"/>
    </row>
    <row r="348" spans="1:41" x14ac:dyDescent="0.2">
      <c r="A348" s="2" t="s">
        <v>749</v>
      </c>
      <c r="B348" s="2" t="s">
        <v>427</v>
      </c>
      <c r="C348" s="2" t="s">
        <v>48</v>
      </c>
      <c r="D348" s="2"/>
      <c r="E348" s="7" t="s">
        <v>40</v>
      </c>
      <c r="F348" s="2" t="s">
        <v>673</v>
      </c>
      <c r="G348" s="2" t="s">
        <v>748</v>
      </c>
      <c r="H348" s="9">
        <f>0.109*0.9072</f>
        <v>9.8884799999999995E-2</v>
      </c>
      <c r="I348" s="2">
        <v>0.61</v>
      </c>
      <c r="J348" s="2">
        <v>5.2</v>
      </c>
      <c r="K348" s="2"/>
      <c r="L348" s="2">
        <v>0.26</v>
      </c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9">
        <f t="shared" si="25"/>
        <v>6.0319727999999994E-4</v>
      </c>
      <c r="AB348" s="9">
        <f t="shared" si="26"/>
        <v>5.1420096000000005E-3</v>
      </c>
      <c r="AC348" s="10">
        <f t="shared" si="27"/>
        <v>0</v>
      </c>
      <c r="AD348" s="10">
        <f t="shared" si="28"/>
        <v>0</v>
      </c>
      <c r="AE348" s="9">
        <f t="shared" si="29"/>
        <v>2.5710047999999999E-4</v>
      </c>
      <c r="AF348" s="9">
        <f t="shared" si="30"/>
        <v>6.0023073600000013E-3</v>
      </c>
      <c r="AG348" s="9">
        <f t="shared" si="31"/>
        <v>6.07</v>
      </c>
      <c r="AH348" s="11">
        <f t="shared" si="37"/>
        <v>6.0319727999999996E-2</v>
      </c>
      <c r="AI348" s="11">
        <f t="shared" si="37"/>
        <v>0.51420096000000004</v>
      </c>
      <c r="AJ348" s="11">
        <f t="shared" si="37"/>
        <v>0</v>
      </c>
      <c r="AK348" s="11">
        <f t="shared" si="37"/>
        <v>2.5710047999999999E-2</v>
      </c>
      <c r="AL348" s="11">
        <f t="shared" si="37"/>
        <v>0</v>
      </c>
      <c r="AM348" s="2"/>
      <c r="AN348" s="2"/>
      <c r="AO348" s="2"/>
    </row>
    <row r="349" spans="1:41" x14ac:dyDescent="0.2">
      <c r="A349" s="2" t="s">
        <v>750</v>
      </c>
      <c r="B349" s="2" t="s">
        <v>427</v>
      </c>
      <c r="C349" s="2" t="s">
        <v>48</v>
      </c>
      <c r="D349" s="2"/>
      <c r="E349" s="7" t="s">
        <v>40</v>
      </c>
      <c r="F349" s="2" t="s">
        <v>673</v>
      </c>
      <c r="G349" s="2" t="s">
        <v>748</v>
      </c>
      <c r="H349" s="9">
        <f>1.06*0.9072</f>
        <v>0.96163200000000004</v>
      </c>
      <c r="I349" s="2">
        <v>1.03</v>
      </c>
      <c r="J349" s="2">
        <v>6.86</v>
      </c>
      <c r="K349" s="2">
        <v>54.52</v>
      </c>
      <c r="L349" s="2">
        <v>0.7</v>
      </c>
      <c r="M349" s="2">
        <v>1.02</v>
      </c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9">
        <f t="shared" si="25"/>
        <v>9.9048096000000016E-3</v>
      </c>
      <c r="AB349" s="9">
        <f t="shared" si="26"/>
        <v>6.5967955200000011E-2</v>
      </c>
      <c r="AC349" s="10">
        <f t="shared" si="27"/>
        <v>52.428176640000004</v>
      </c>
      <c r="AD349" s="10">
        <f t="shared" si="28"/>
        <v>0.98086464000000007</v>
      </c>
      <c r="AE349" s="9">
        <f t="shared" si="29"/>
        <v>6.7314240000000006E-3</v>
      </c>
      <c r="AF349" s="9">
        <f t="shared" si="30"/>
        <v>8.260418880000002E-2</v>
      </c>
      <c r="AG349" s="9">
        <f t="shared" si="31"/>
        <v>8.59</v>
      </c>
      <c r="AH349" s="11">
        <f t="shared" si="37"/>
        <v>0.99048096000000008</v>
      </c>
      <c r="AI349" s="11">
        <f t="shared" si="37"/>
        <v>6.5967955200000006</v>
      </c>
      <c r="AJ349" s="11">
        <f t="shared" si="37"/>
        <v>52.428176640000004</v>
      </c>
      <c r="AK349" s="11">
        <f t="shared" si="37"/>
        <v>0.67314240000000003</v>
      </c>
      <c r="AL349" s="11">
        <f t="shared" si="37"/>
        <v>0.98086464000000007</v>
      </c>
      <c r="AM349" s="2"/>
      <c r="AN349" s="2"/>
      <c r="AO349" s="2"/>
    </row>
    <row r="350" spans="1:41" x14ac:dyDescent="0.2">
      <c r="A350" s="2" t="s">
        <v>751</v>
      </c>
      <c r="B350" s="2" t="s">
        <v>427</v>
      </c>
      <c r="C350" s="2" t="s">
        <v>48</v>
      </c>
      <c r="D350" s="2"/>
      <c r="E350" s="7" t="s">
        <v>40</v>
      </c>
      <c r="F350" s="2" t="s">
        <v>673</v>
      </c>
      <c r="G350" s="2" t="s">
        <v>748</v>
      </c>
      <c r="H350" s="9">
        <f>5.44*0.9072</f>
        <v>4.935168</v>
      </c>
      <c r="I350" s="2"/>
      <c r="J350" s="9">
        <v>1.8</v>
      </c>
      <c r="K350" s="2"/>
      <c r="L350" s="2">
        <v>1.49</v>
      </c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9">
        <f t="shared" si="25"/>
        <v>0</v>
      </c>
      <c r="AB350" s="9">
        <f t="shared" si="26"/>
        <v>8.8833023999999997E-2</v>
      </c>
      <c r="AC350" s="10">
        <f t="shared" si="27"/>
        <v>0</v>
      </c>
      <c r="AD350" s="10">
        <f t="shared" si="28"/>
        <v>0</v>
      </c>
      <c r="AE350" s="9">
        <f t="shared" si="29"/>
        <v>7.3534003199999989E-2</v>
      </c>
      <c r="AF350" s="9">
        <f t="shared" si="30"/>
        <v>0.16236702719999999</v>
      </c>
      <c r="AG350" s="9">
        <f t="shared" si="31"/>
        <v>3.29</v>
      </c>
      <c r="AH350" s="11">
        <f t="shared" si="37"/>
        <v>0</v>
      </c>
      <c r="AI350" s="11">
        <f t="shared" si="37"/>
        <v>8.8833023999999998</v>
      </c>
      <c r="AJ350" s="11">
        <f t="shared" si="37"/>
        <v>0</v>
      </c>
      <c r="AK350" s="11">
        <f t="shared" si="37"/>
        <v>7.3534003199999995</v>
      </c>
      <c r="AL350" s="11">
        <f t="shared" si="37"/>
        <v>0</v>
      </c>
      <c r="AM350" s="2"/>
      <c r="AN350" s="2"/>
      <c r="AO350" s="2"/>
    </row>
    <row r="351" spans="1:41" x14ac:dyDescent="0.2">
      <c r="A351" s="2" t="s">
        <v>752</v>
      </c>
      <c r="B351" s="2" t="s">
        <v>427</v>
      </c>
      <c r="C351" s="2" t="s">
        <v>38</v>
      </c>
      <c r="D351" s="2" t="s">
        <v>62</v>
      </c>
      <c r="E351" s="2" t="s">
        <v>50</v>
      </c>
      <c r="F351" s="2" t="s">
        <v>753</v>
      </c>
      <c r="G351" s="2" t="s">
        <v>754</v>
      </c>
      <c r="H351" s="2">
        <f>7.083+8.048</f>
        <v>15.131</v>
      </c>
      <c r="I351" s="9">
        <f>(1.25*7.083+1.08*8.048)/$H351</f>
        <v>1.1595790099795122</v>
      </c>
      <c r="J351" s="9">
        <f>(6.07*7.083+5.74*8.048)/$H351</f>
        <v>5.8944769017249365</v>
      </c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9">
        <f t="shared" si="25"/>
        <v>0.1754559</v>
      </c>
      <c r="AB351" s="9">
        <f t="shared" si="26"/>
        <v>0.89189330000000011</v>
      </c>
      <c r="AC351" s="10">
        <f t="shared" si="27"/>
        <v>0</v>
      </c>
      <c r="AD351" s="10">
        <f t="shared" si="28"/>
        <v>0</v>
      </c>
      <c r="AE351" s="9">
        <f t="shared" si="29"/>
        <v>0</v>
      </c>
      <c r="AF351" s="9">
        <f t="shared" si="30"/>
        <v>1.0673492000000002</v>
      </c>
      <c r="AG351" s="9">
        <f t="shared" si="31"/>
        <v>7.0540559117044488</v>
      </c>
      <c r="AH351" s="11">
        <f t="shared" si="37"/>
        <v>17.545590000000001</v>
      </c>
      <c r="AI351" s="11">
        <f t="shared" si="37"/>
        <v>89.189330000000012</v>
      </c>
      <c r="AJ351" s="11">
        <f t="shared" si="37"/>
        <v>0</v>
      </c>
      <c r="AK351" s="11">
        <f t="shared" si="37"/>
        <v>0</v>
      </c>
      <c r="AL351" s="11">
        <f t="shared" si="37"/>
        <v>0</v>
      </c>
      <c r="AM351" s="2"/>
      <c r="AN351" s="2"/>
      <c r="AO351" s="2"/>
    </row>
    <row r="352" spans="1:41" x14ac:dyDescent="0.2">
      <c r="A352" s="2" t="s">
        <v>755</v>
      </c>
      <c r="B352" s="2" t="s">
        <v>427</v>
      </c>
      <c r="C352" s="2" t="s">
        <v>54</v>
      </c>
      <c r="D352" s="2"/>
      <c r="E352" s="7" t="s">
        <v>40</v>
      </c>
      <c r="F352" s="2" t="s">
        <v>756</v>
      </c>
      <c r="G352" s="2" t="s">
        <v>438</v>
      </c>
      <c r="H352" s="12">
        <v>0.27394400000000002</v>
      </c>
      <c r="I352" s="2">
        <v>5.4</v>
      </c>
      <c r="J352" s="13">
        <v>4.8</v>
      </c>
      <c r="K352" s="2">
        <v>233.1</v>
      </c>
      <c r="L352" s="9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9">
        <f t="shared" si="25"/>
        <v>1.4792976000000003E-2</v>
      </c>
      <c r="AB352" s="9">
        <f t="shared" si="26"/>
        <v>1.3149312E-2</v>
      </c>
      <c r="AC352" s="10">
        <f t="shared" si="27"/>
        <v>63.856346400000007</v>
      </c>
      <c r="AD352" s="10">
        <f t="shared" si="28"/>
        <v>0</v>
      </c>
      <c r="AE352" s="9">
        <f t="shared" si="29"/>
        <v>0</v>
      </c>
      <c r="AF352" s="9">
        <f t="shared" si="30"/>
        <v>2.7942288000000003E-2</v>
      </c>
      <c r="AG352" s="9">
        <f t="shared" si="31"/>
        <v>10.199999999999999</v>
      </c>
      <c r="AH352" s="11">
        <f t="shared" si="37"/>
        <v>1.4792976000000002</v>
      </c>
      <c r="AI352" s="11">
        <f t="shared" si="37"/>
        <v>1.3149312</v>
      </c>
      <c r="AJ352" s="11">
        <f t="shared" si="37"/>
        <v>63.856346400000007</v>
      </c>
      <c r="AK352" s="11">
        <f t="shared" si="37"/>
        <v>0</v>
      </c>
      <c r="AL352" s="11">
        <f t="shared" si="37"/>
        <v>0</v>
      </c>
      <c r="AM352" s="2"/>
      <c r="AN352" s="2"/>
      <c r="AO352" s="2"/>
    </row>
    <row r="353" spans="1:41" x14ac:dyDescent="0.2">
      <c r="A353" s="2" t="s">
        <v>757</v>
      </c>
      <c r="B353" s="2" t="s">
        <v>427</v>
      </c>
      <c r="C353" s="2" t="s">
        <v>48</v>
      </c>
      <c r="D353" s="2"/>
      <c r="E353" s="2" t="s">
        <v>50</v>
      </c>
      <c r="F353" s="2" t="s">
        <v>487</v>
      </c>
      <c r="G353" s="2" t="s">
        <v>572</v>
      </c>
      <c r="H353" s="12">
        <v>22.263781000000002</v>
      </c>
      <c r="I353" s="2"/>
      <c r="J353" s="2">
        <v>1.33</v>
      </c>
      <c r="K353" s="2"/>
      <c r="L353" s="9">
        <v>1.1000000000000001</v>
      </c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9">
        <f t="shared" si="25"/>
        <v>0</v>
      </c>
      <c r="AB353" s="9">
        <f t="shared" si="26"/>
        <v>0.29610828730000005</v>
      </c>
      <c r="AC353" s="10">
        <f t="shared" si="27"/>
        <v>0</v>
      </c>
      <c r="AD353" s="10">
        <f t="shared" si="28"/>
        <v>0</v>
      </c>
      <c r="AE353" s="9">
        <f t="shared" si="29"/>
        <v>0.24490159100000003</v>
      </c>
      <c r="AF353" s="9">
        <f t="shared" si="30"/>
        <v>0.54100987830000014</v>
      </c>
      <c r="AG353" s="9">
        <f t="shared" si="31"/>
        <v>2.4300000000000002</v>
      </c>
      <c r="AH353" s="11">
        <f t="shared" si="37"/>
        <v>0</v>
      </c>
      <c r="AI353" s="11">
        <f t="shared" si="37"/>
        <v>29.610828730000005</v>
      </c>
      <c r="AJ353" s="11">
        <f t="shared" si="37"/>
        <v>0</v>
      </c>
      <c r="AK353" s="11">
        <f t="shared" si="37"/>
        <v>24.490159100000003</v>
      </c>
      <c r="AL353" s="11">
        <f t="shared" si="37"/>
        <v>0</v>
      </c>
      <c r="AM353" s="2"/>
      <c r="AN353" s="2"/>
      <c r="AO353" s="2"/>
    </row>
    <row r="354" spans="1:41" x14ac:dyDescent="0.2">
      <c r="A354" s="2" t="s">
        <v>758</v>
      </c>
      <c r="B354" s="2" t="s">
        <v>427</v>
      </c>
      <c r="C354" s="7" t="s">
        <v>499</v>
      </c>
      <c r="D354" s="2"/>
      <c r="E354" s="2" t="s">
        <v>50</v>
      </c>
      <c r="F354" s="2" t="s">
        <v>759</v>
      </c>
      <c r="G354" s="2" t="s">
        <v>760</v>
      </c>
      <c r="H354" s="2">
        <v>2.19</v>
      </c>
      <c r="I354" s="2">
        <v>2.6</v>
      </c>
      <c r="J354" s="2">
        <v>10.4</v>
      </c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9">
        <f t="shared" si="25"/>
        <v>5.6939999999999998E-2</v>
      </c>
      <c r="AB354" s="9">
        <f t="shared" si="26"/>
        <v>0.22775999999999999</v>
      </c>
      <c r="AC354" s="10">
        <f t="shared" si="27"/>
        <v>0</v>
      </c>
      <c r="AD354" s="10">
        <f t="shared" si="28"/>
        <v>0</v>
      </c>
      <c r="AE354" s="9">
        <f t="shared" si="29"/>
        <v>0</v>
      </c>
      <c r="AF354" s="9">
        <f t="shared" si="30"/>
        <v>0.28470000000000001</v>
      </c>
      <c r="AG354" s="9">
        <f t="shared" si="31"/>
        <v>13</v>
      </c>
      <c r="AH354" s="11">
        <f t="shared" ref="AH354:AL369" si="38">$H354*I354</f>
        <v>5.694</v>
      </c>
      <c r="AI354" s="11">
        <f t="shared" si="38"/>
        <v>22.776</v>
      </c>
      <c r="AJ354" s="11">
        <f t="shared" si="38"/>
        <v>0</v>
      </c>
      <c r="AK354" s="11">
        <f t="shared" si="38"/>
        <v>0</v>
      </c>
      <c r="AL354" s="11">
        <f t="shared" si="38"/>
        <v>0</v>
      </c>
      <c r="AM354" s="2"/>
      <c r="AN354" s="2"/>
      <c r="AO354" s="2"/>
    </row>
    <row r="355" spans="1:41" x14ac:dyDescent="0.2">
      <c r="A355" s="2" t="s">
        <v>761</v>
      </c>
      <c r="B355" s="2" t="s">
        <v>427</v>
      </c>
      <c r="C355" s="2" t="s">
        <v>38</v>
      </c>
      <c r="D355" s="2"/>
      <c r="E355" s="7" t="s">
        <v>40</v>
      </c>
      <c r="F355" s="2" t="s">
        <v>41</v>
      </c>
      <c r="G355" s="8" t="s">
        <v>483</v>
      </c>
      <c r="H355" s="2">
        <v>1.5</v>
      </c>
      <c r="I355" s="2"/>
      <c r="J355" s="2">
        <v>5.7</v>
      </c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9">
        <f t="shared" si="25"/>
        <v>0</v>
      </c>
      <c r="AB355" s="9">
        <f t="shared" si="26"/>
        <v>8.5500000000000007E-2</v>
      </c>
      <c r="AC355" s="10">
        <f t="shared" si="27"/>
        <v>0</v>
      </c>
      <c r="AD355" s="10">
        <f t="shared" si="28"/>
        <v>0</v>
      </c>
      <c r="AE355" s="9">
        <f t="shared" si="29"/>
        <v>0</v>
      </c>
      <c r="AF355" s="9">
        <f t="shared" si="30"/>
        <v>8.5500000000000007E-2</v>
      </c>
      <c r="AG355" s="9">
        <f t="shared" si="31"/>
        <v>5.7</v>
      </c>
      <c r="AH355" s="11">
        <f t="shared" si="38"/>
        <v>0</v>
      </c>
      <c r="AI355" s="11">
        <f t="shared" si="38"/>
        <v>8.5500000000000007</v>
      </c>
      <c r="AJ355" s="11">
        <f t="shared" si="38"/>
        <v>0</v>
      </c>
      <c r="AK355" s="11">
        <f t="shared" si="38"/>
        <v>0</v>
      </c>
      <c r="AL355" s="11">
        <f t="shared" si="38"/>
        <v>0</v>
      </c>
      <c r="AM355" s="2"/>
      <c r="AN355" s="2"/>
      <c r="AO355" s="2"/>
    </row>
    <row r="356" spans="1:41" x14ac:dyDescent="0.2">
      <c r="A356" s="2" t="s">
        <v>762</v>
      </c>
      <c r="B356" s="2" t="s">
        <v>427</v>
      </c>
      <c r="C356" s="2" t="s">
        <v>38</v>
      </c>
      <c r="D356" s="2" t="s">
        <v>39</v>
      </c>
      <c r="E356" s="7" t="s">
        <v>40</v>
      </c>
      <c r="F356" s="2" t="s">
        <v>41</v>
      </c>
      <c r="G356" s="2" t="s">
        <v>438</v>
      </c>
      <c r="H356" s="12">
        <v>3.6287E-2</v>
      </c>
      <c r="I356" s="2">
        <v>0.1</v>
      </c>
      <c r="J356" s="2">
        <v>4.0999999999999996</v>
      </c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9">
        <f t="shared" si="25"/>
        <v>3.6287E-5</v>
      </c>
      <c r="AB356" s="9">
        <f t="shared" si="26"/>
        <v>1.4877669999999999E-3</v>
      </c>
      <c r="AC356" s="10">
        <f t="shared" si="27"/>
        <v>0</v>
      </c>
      <c r="AD356" s="10">
        <f t="shared" si="28"/>
        <v>0</v>
      </c>
      <c r="AE356" s="9">
        <f t="shared" si="29"/>
        <v>0</v>
      </c>
      <c r="AF356" s="9">
        <f t="shared" si="30"/>
        <v>1.5240539999999999E-3</v>
      </c>
      <c r="AG356" s="9">
        <f t="shared" si="31"/>
        <v>4.1999999999999993</v>
      </c>
      <c r="AH356" s="11">
        <f t="shared" si="38"/>
        <v>3.6287000000000003E-3</v>
      </c>
      <c r="AI356" s="11">
        <f t="shared" si="38"/>
        <v>0.14877669999999998</v>
      </c>
      <c r="AJ356" s="11">
        <f t="shared" si="38"/>
        <v>0</v>
      </c>
      <c r="AK356" s="11">
        <f t="shared" si="38"/>
        <v>0</v>
      </c>
      <c r="AL356" s="11">
        <f t="shared" si="38"/>
        <v>0</v>
      </c>
      <c r="AM356" s="2"/>
      <c r="AN356" s="2"/>
      <c r="AO356" s="2"/>
    </row>
    <row r="357" spans="1:41" x14ac:dyDescent="0.2">
      <c r="A357" s="2" t="s">
        <v>763</v>
      </c>
      <c r="B357" s="2" t="s">
        <v>427</v>
      </c>
      <c r="C357" s="2" t="s">
        <v>48</v>
      </c>
      <c r="D357" s="2"/>
      <c r="E357" s="7" t="s">
        <v>40</v>
      </c>
      <c r="F357" s="2" t="s">
        <v>540</v>
      </c>
      <c r="G357" s="2" t="s">
        <v>438</v>
      </c>
      <c r="H357" s="2">
        <v>1.34</v>
      </c>
      <c r="I357" s="2">
        <v>0.4</v>
      </c>
      <c r="J357" s="2">
        <v>3.8</v>
      </c>
      <c r="K357" s="2">
        <v>13</v>
      </c>
      <c r="L357" s="2">
        <v>0.1</v>
      </c>
      <c r="M357" s="2">
        <v>0.25</v>
      </c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9">
        <f t="shared" si="25"/>
        <v>5.3600000000000002E-3</v>
      </c>
      <c r="AB357" s="9">
        <f t="shared" si="26"/>
        <v>5.0919999999999993E-2</v>
      </c>
      <c r="AC357" s="10">
        <f t="shared" si="27"/>
        <v>17.420000000000002</v>
      </c>
      <c r="AD357" s="10">
        <f t="shared" si="28"/>
        <v>0.33500000000000002</v>
      </c>
      <c r="AE357" s="9">
        <f t="shared" si="29"/>
        <v>1.34E-3</v>
      </c>
      <c r="AF357" s="9">
        <f t="shared" si="30"/>
        <v>5.7619999999999998E-2</v>
      </c>
      <c r="AG357" s="9">
        <f t="shared" si="31"/>
        <v>4.3</v>
      </c>
      <c r="AH357" s="11">
        <f t="shared" si="38"/>
        <v>0.53600000000000003</v>
      </c>
      <c r="AI357" s="11">
        <f t="shared" si="38"/>
        <v>5.0919999999999996</v>
      </c>
      <c r="AJ357" s="11">
        <f t="shared" si="38"/>
        <v>17.420000000000002</v>
      </c>
      <c r="AK357" s="11">
        <f t="shared" si="38"/>
        <v>0.13400000000000001</v>
      </c>
      <c r="AL357" s="11">
        <f t="shared" si="38"/>
        <v>0.33500000000000002</v>
      </c>
      <c r="AM357" s="2"/>
      <c r="AN357" s="2"/>
      <c r="AO357" s="2"/>
    </row>
    <row r="358" spans="1:41" x14ac:dyDescent="0.2">
      <c r="A358" s="2" t="s">
        <v>764</v>
      </c>
      <c r="B358" s="2" t="s">
        <v>427</v>
      </c>
      <c r="C358" s="2" t="s">
        <v>38</v>
      </c>
      <c r="D358" s="2" t="s">
        <v>39</v>
      </c>
      <c r="E358" s="2" t="s">
        <v>50</v>
      </c>
      <c r="F358" s="2" t="s">
        <v>765</v>
      </c>
      <c r="G358" s="2" t="s">
        <v>719</v>
      </c>
      <c r="H358" s="2">
        <f>2.075+5.77+3.677</f>
        <v>11.522</v>
      </c>
      <c r="I358" s="9">
        <f>(1.68*2.075+1.69*5.77+1.51*3.677)/$H358</f>
        <v>1.6307559451484115</v>
      </c>
      <c r="J358" s="9">
        <f>(3.14*2.075+3.3*5.77+2.35*3.677)/$H358</f>
        <v>2.9680133657351155</v>
      </c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9">
        <f t="shared" si="25"/>
        <v>0.18789569999999997</v>
      </c>
      <c r="AB358" s="9">
        <f t="shared" si="26"/>
        <v>0.34197450000000001</v>
      </c>
      <c r="AC358" s="10">
        <f t="shared" si="27"/>
        <v>0</v>
      </c>
      <c r="AD358" s="10">
        <f t="shared" si="28"/>
        <v>0</v>
      </c>
      <c r="AE358" s="9">
        <f t="shared" si="29"/>
        <v>0</v>
      </c>
      <c r="AF358" s="9">
        <f t="shared" si="30"/>
        <v>0.52987019999999996</v>
      </c>
      <c r="AG358" s="9">
        <f t="shared" si="31"/>
        <v>4.5987693108835268</v>
      </c>
      <c r="AH358" s="11">
        <f t="shared" si="38"/>
        <v>18.789569999999998</v>
      </c>
      <c r="AI358" s="11">
        <f t="shared" si="38"/>
        <v>34.197450000000003</v>
      </c>
      <c r="AJ358" s="11">
        <f t="shared" si="38"/>
        <v>0</v>
      </c>
      <c r="AK358" s="11">
        <f t="shared" si="38"/>
        <v>0</v>
      </c>
      <c r="AL358" s="11">
        <f t="shared" si="38"/>
        <v>0</v>
      </c>
      <c r="AM358" s="2"/>
      <c r="AN358" s="2"/>
      <c r="AO358" s="2"/>
    </row>
    <row r="359" spans="1:41" x14ac:dyDescent="0.2">
      <c r="A359" s="2" t="s">
        <v>766</v>
      </c>
      <c r="B359" s="2" t="s">
        <v>427</v>
      </c>
      <c r="C359" s="2" t="s">
        <v>38</v>
      </c>
      <c r="D359" s="2" t="s">
        <v>39</v>
      </c>
      <c r="E359" s="2" t="s">
        <v>50</v>
      </c>
      <c r="F359" s="2" t="s">
        <v>765</v>
      </c>
      <c r="G359" s="2" t="s">
        <v>719</v>
      </c>
      <c r="H359" s="2">
        <f>1.55+2.81+0.96</f>
        <v>5.32</v>
      </c>
      <c r="I359" s="9">
        <f>(1.45*1.55+1.44*2.81+1.59*0.96)/$H359</f>
        <v>1.4699812030075188</v>
      </c>
      <c r="J359" s="9">
        <f>(1.97*1.55+1.82*2.81+1.73*0.96)/$H359</f>
        <v>1.8474624060150375</v>
      </c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9">
        <f t="shared" si="25"/>
        <v>7.8203000000000009E-2</v>
      </c>
      <c r="AB359" s="9">
        <f t="shared" si="26"/>
        <v>9.8284999999999997E-2</v>
      </c>
      <c r="AC359" s="10">
        <f t="shared" si="27"/>
        <v>0</v>
      </c>
      <c r="AD359" s="10">
        <f t="shared" si="28"/>
        <v>0</v>
      </c>
      <c r="AE359" s="9">
        <f t="shared" si="29"/>
        <v>0</v>
      </c>
      <c r="AF359" s="9">
        <f t="shared" si="30"/>
        <v>0.17648800000000001</v>
      </c>
      <c r="AG359" s="9">
        <f t="shared" si="31"/>
        <v>3.3174436090225563</v>
      </c>
      <c r="AH359" s="11">
        <f t="shared" si="38"/>
        <v>7.8203000000000005</v>
      </c>
      <c r="AI359" s="11">
        <f t="shared" si="38"/>
        <v>9.8285</v>
      </c>
      <c r="AJ359" s="11">
        <f t="shared" si="38"/>
        <v>0</v>
      </c>
      <c r="AK359" s="11">
        <f t="shared" si="38"/>
        <v>0</v>
      </c>
      <c r="AL359" s="11">
        <f t="shared" si="38"/>
        <v>0</v>
      </c>
      <c r="AM359" s="2"/>
      <c r="AN359" s="2"/>
      <c r="AO359" s="2"/>
    </row>
    <row r="360" spans="1:41" x14ac:dyDescent="0.2">
      <c r="A360" s="2" t="s">
        <v>767</v>
      </c>
      <c r="B360" s="2" t="s">
        <v>427</v>
      </c>
      <c r="C360" s="2" t="s">
        <v>48</v>
      </c>
      <c r="D360" s="2"/>
      <c r="E360" s="2" t="s">
        <v>50</v>
      </c>
      <c r="F360" s="2" t="s">
        <v>546</v>
      </c>
      <c r="G360" s="2" t="s">
        <v>768</v>
      </c>
      <c r="H360" s="2">
        <v>5.4470000000000001</v>
      </c>
      <c r="I360" s="2"/>
      <c r="J360" s="2">
        <v>4.5999999999999996</v>
      </c>
      <c r="K360" s="13">
        <v>34</v>
      </c>
      <c r="L360" s="2">
        <v>1.2</v>
      </c>
      <c r="M360" s="2">
        <v>0.2</v>
      </c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9">
        <f t="shared" si="25"/>
        <v>0</v>
      </c>
      <c r="AB360" s="9">
        <f t="shared" si="26"/>
        <v>0.25056199999999995</v>
      </c>
      <c r="AC360" s="10">
        <f t="shared" si="27"/>
        <v>185.19800000000001</v>
      </c>
      <c r="AD360" s="10">
        <f t="shared" si="28"/>
        <v>1.0894000000000001</v>
      </c>
      <c r="AE360" s="9">
        <f t="shared" si="29"/>
        <v>6.5363999999999992E-2</v>
      </c>
      <c r="AF360" s="9">
        <f t="shared" si="30"/>
        <v>0.31592599999999993</v>
      </c>
      <c r="AG360" s="9">
        <f t="shared" si="31"/>
        <v>5.8</v>
      </c>
      <c r="AH360" s="11">
        <f t="shared" si="38"/>
        <v>0</v>
      </c>
      <c r="AI360" s="11">
        <f t="shared" si="38"/>
        <v>25.056199999999997</v>
      </c>
      <c r="AJ360" s="11">
        <f t="shared" si="38"/>
        <v>185.19800000000001</v>
      </c>
      <c r="AK360" s="11">
        <f t="shared" si="38"/>
        <v>6.5363999999999995</v>
      </c>
      <c r="AL360" s="11">
        <f t="shared" si="38"/>
        <v>1.0894000000000001</v>
      </c>
      <c r="AM360" s="2"/>
      <c r="AN360" s="2"/>
      <c r="AO360" s="2"/>
    </row>
    <row r="361" spans="1:41" x14ac:dyDescent="0.2">
      <c r="A361" s="2" t="s">
        <v>769</v>
      </c>
      <c r="B361" s="2" t="s">
        <v>427</v>
      </c>
      <c r="C361" s="2" t="s">
        <v>54</v>
      </c>
      <c r="D361" s="2"/>
      <c r="E361" s="7" t="s">
        <v>40</v>
      </c>
      <c r="F361" s="2" t="s">
        <v>41</v>
      </c>
      <c r="G361" s="2" t="s">
        <v>438</v>
      </c>
      <c r="H361" s="12">
        <v>1.5062390000000001</v>
      </c>
      <c r="I361" s="2">
        <v>0.15</v>
      </c>
      <c r="J361" s="2">
        <v>3.57</v>
      </c>
      <c r="K361" s="2">
        <v>41.13</v>
      </c>
      <c r="L361" s="9">
        <v>0.63</v>
      </c>
      <c r="M361" s="2">
        <v>0.82</v>
      </c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9">
        <f t="shared" si="25"/>
        <v>2.2593585000000001E-3</v>
      </c>
      <c r="AB361" s="9">
        <f t="shared" si="26"/>
        <v>5.3772732300000001E-2</v>
      </c>
      <c r="AC361" s="10">
        <f t="shared" si="27"/>
        <v>61.951610070000008</v>
      </c>
      <c r="AD361" s="10">
        <f t="shared" si="28"/>
        <v>1.23511598</v>
      </c>
      <c r="AE361" s="9">
        <f t="shared" si="29"/>
        <v>9.4893057000000006E-3</v>
      </c>
      <c r="AF361" s="9">
        <f t="shared" si="30"/>
        <v>6.5521396500000009E-2</v>
      </c>
      <c r="AG361" s="9">
        <f t="shared" si="31"/>
        <v>4.3499999999999996</v>
      </c>
      <c r="AH361" s="11">
        <f t="shared" si="38"/>
        <v>0.22593584999999999</v>
      </c>
      <c r="AI361" s="11">
        <f t="shared" si="38"/>
        <v>5.3772732300000001</v>
      </c>
      <c r="AJ361" s="11">
        <f t="shared" si="38"/>
        <v>61.951610070000008</v>
      </c>
      <c r="AK361" s="11">
        <f t="shared" si="38"/>
        <v>0.94893057000000003</v>
      </c>
      <c r="AL361" s="11">
        <f t="shared" si="38"/>
        <v>1.23511598</v>
      </c>
      <c r="AM361" s="2"/>
      <c r="AN361" s="2"/>
      <c r="AO361" s="2"/>
    </row>
    <row r="362" spans="1:41" x14ac:dyDescent="0.2">
      <c r="A362" s="2" t="s">
        <v>770</v>
      </c>
      <c r="B362" s="2" t="s">
        <v>427</v>
      </c>
      <c r="C362" s="2" t="s">
        <v>48</v>
      </c>
      <c r="D362" s="2"/>
      <c r="E362" s="2" t="s">
        <v>50</v>
      </c>
      <c r="F362" s="2" t="s">
        <v>771</v>
      </c>
      <c r="G362" s="2" t="s">
        <v>459</v>
      </c>
      <c r="H362" s="12">
        <f>6.5528+15.86</f>
        <v>22.412800000000001</v>
      </c>
      <c r="I362" s="2"/>
      <c r="J362" s="9">
        <f>(1.22*6.5528+0.84*15.86)/$H362</f>
        <v>0.95110008566533399</v>
      </c>
      <c r="K362" s="9">
        <f>(7.4*6.5528+5.77*15.86)/$H362</f>
        <v>6.2465608937749852</v>
      </c>
      <c r="L362" s="9">
        <f>(0.85*6.5528+0.68*15.86)/$H362</f>
        <v>0.72970266990291266</v>
      </c>
      <c r="M362" s="9">
        <f>(0.37*6.5528+0.28*15.86)/$H362</f>
        <v>0.30631317818389497</v>
      </c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9">
        <f t="shared" si="25"/>
        <v>0</v>
      </c>
      <c r="AB362" s="9">
        <f t="shared" si="26"/>
        <v>0.21316816</v>
      </c>
      <c r="AC362" s="10">
        <f t="shared" si="27"/>
        <v>140.00291999999999</v>
      </c>
      <c r="AD362" s="10">
        <f t="shared" si="28"/>
        <v>6.8653360000000019</v>
      </c>
      <c r="AE362" s="9">
        <f t="shared" si="29"/>
        <v>0.16354680000000002</v>
      </c>
      <c r="AF362" s="9">
        <f t="shared" si="30"/>
        <v>0.37671496000000004</v>
      </c>
      <c r="AG362" s="9">
        <f t="shared" si="31"/>
        <v>1.6808027555682465</v>
      </c>
      <c r="AH362" s="11">
        <f t="shared" si="38"/>
        <v>0</v>
      </c>
      <c r="AI362" s="11">
        <f t="shared" si="38"/>
        <v>21.316815999999999</v>
      </c>
      <c r="AJ362" s="11">
        <f t="shared" si="38"/>
        <v>140.00291999999999</v>
      </c>
      <c r="AK362" s="11">
        <f t="shared" si="38"/>
        <v>16.354680000000002</v>
      </c>
      <c r="AL362" s="11">
        <f t="shared" si="38"/>
        <v>6.8653360000000019</v>
      </c>
      <c r="AM362" s="2"/>
      <c r="AN362" s="2"/>
      <c r="AO362" s="2"/>
    </row>
    <row r="363" spans="1:41" x14ac:dyDescent="0.2">
      <c r="A363" s="2" t="s">
        <v>772</v>
      </c>
      <c r="B363" s="2" t="s">
        <v>427</v>
      </c>
      <c r="C363" s="2" t="s">
        <v>54</v>
      </c>
      <c r="D363" s="2"/>
      <c r="E363" s="2" t="s">
        <v>50</v>
      </c>
      <c r="F363" s="2" t="s">
        <v>773</v>
      </c>
      <c r="G363" s="2" t="s">
        <v>774</v>
      </c>
      <c r="H363" s="12">
        <f>0.702+0.967</f>
        <v>1.669</v>
      </c>
      <c r="I363" s="9">
        <f>(0.33*0.702+0.25*0.967)/$H363</f>
        <v>0.28364889155182743</v>
      </c>
      <c r="J363" s="9">
        <f>(0.88*0.702+0.64*0.967)/$H363</f>
        <v>0.74094667465548225</v>
      </c>
      <c r="K363" s="13">
        <f>(17.89*0.702+18.98*0.967)/$H363</f>
        <v>18.521533852606353</v>
      </c>
      <c r="L363" s="9">
        <f>(0.07*0.702+0.4*0.967)/$H363</f>
        <v>0.26119832234871182</v>
      </c>
      <c r="M363" s="9">
        <f>(4.46*0.702+4.39*0.967)/$H363</f>
        <v>4.4194427801078486</v>
      </c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9">
        <f t="shared" si="25"/>
        <v>4.7340999999999998E-3</v>
      </c>
      <c r="AB363" s="9">
        <f t="shared" si="26"/>
        <v>1.23664E-2</v>
      </c>
      <c r="AC363" s="10">
        <f t="shared" si="27"/>
        <v>30.912440000000004</v>
      </c>
      <c r="AD363" s="10">
        <f t="shared" si="28"/>
        <v>7.3760499999999993</v>
      </c>
      <c r="AE363" s="9">
        <f t="shared" si="29"/>
        <v>4.3594000000000003E-3</v>
      </c>
      <c r="AF363" s="9">
        <f t="shared" si="30"/>
        <v>2.1459899999999997E-2</v>
      </c>
      <c r="AG363" s="9">
        <f t="shared" si="31"/>
        <v>1.2857938885560214</v>
      </c>
      <c r="AH363" s="11">
        <f t="shared" si="38"/>
        <v>0.47341</v>
      </c>
      <c r="AI363" s="11">
        <f t="shared" si="38"/>
        <v>1.23664</v>
      </c>
      <c r="AJ363" s="11">
        <f t="shared" si="38"/>
        <v>30.912440000000004</v>
      </c>
      <c r="AK363" s="11">
        <f t="shared" si="38"/>
        <v>0.43594000000000005</v>
      </c>
      <c r="AL363" s="11">
        <f t="shared" si="38"/>
        <v>7.3760499999999993</v>
      </c>
      <c r="AM363" s="2"/>
      <c r="AN363" s="2"/>
      <c r="AO363" s="2"/>
    </row>
    <row r="364" spans="1:41" x14ac:dyDescent="0.2">
      <c r="A364" s="2" t="s">
        <v>775</v>
      </c>
      <c r="B364" s="2" t="s">
        <v>427</v>
      </c>
      <c r="C364" s="2" t="s">
        <v>54</v>
      </c>
      <c r="D364" s="2" t="s">
        <v>73</v>
      </c>
      <c r="E364" s="2" t="s">
        <v>50</v>
      </c>
      <c r="F364" s="2" t="s">
        <v>776</v>
      </c>
      <c r="G364" s="2" t="s">
        <v>777</v>
      </c>
      <c r="H364" s="12">
        <v>6.9500000000000006E-2</v>
      </c>
      <c r="I364" s="2">
        <v>1.89</v>
      </c>
      <c r="J364" s="2">
        <v>9.1199999999999992</v>
      </c>
      <c r="K364" s="13">
        <v>555.66</v>
      </c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9">
        <f t="shared" si="25"/>
        <v>1.3135499999999999E-3</v>
      </c>
      <c r="AB364" s="9">
        <f t="shared" si="26"/>
        <v>6.3383999999999992E-3</v>
      </c>
      <c r="AC364" s="10">
        <f t="shared" si="27"/>
        <v>38.618369999999999</v>
      </c>
      <c r="AD364" s="10">
        <f t="shared" si="28"/>
        <v>0</v>
      </c>
      <c r="AE364" s="9">
        <f t="shared" si="29"/>
        <v>0</v>
      </c>
      <c r="AF364" s="9">
        <f t="shared" si="30"/>
        <v>7.6519499999999994E-3</v>
      </c>
      <c r="AG364" s="9">
        <f t="shared" si="31"/>
        <v>11.01</v>
      </c>
      <c r="AH364" s="11">
        <f t="shared" si="38"/>
        <v>0.131355</v>
      </c>
      <c r="AI364" s="11">
        <f t="shared" si="38"/>
        <v>0.63383999999999996</v>
      </c>
      <c r="AJ364" s="11">
        <f t="shared" si="38"/>
        <v>38.618369999999999</v>
      </c>
      <c r="AK364" s="11">
        <f t="shared" si="38"/>
        <v>0</v>
      </c>
      <c r="AL364" s="11">
        <f t="shared" si="38"/>
        <v>0</v>
      </c>
      <c r="AM364" s="2"/>
      <c r="AN364" s="2"/>
      <c r="AO364" s="2"/>
    </row>
    <row r="365" spans="1:41" x14ac:dyDescent="0.2">
      <c r="A365" s="2" t="s">
        <v>778</v>
      </c>
      <c r="B365" s="2" t="s">
        <v>427</v>
      </c>
      <c r="C365" s="2" t="s">
        <v>54</v>
      </c>
      <c r="D365" s="2"/>
      <c r="E365" s="7" t="s">
        <v>40</v>
      </c>
      <c r="F365" s="2" t="s">
        <v>41</v>
      </c>
      <c r="G365" s="2" t="s">
        <v>438</v>
      </c>
      <c r="H365" s="12">
        <f>0.029753+0.011974+0.008543+0.005533+0.006186+0.006147</f>
        <v>6.8136000000000002E-2</v>
      </c>
      <c r="I365" s="9">
        <f>(2.09*0.029753+1.8*0.011974+1.05*0.008543+1.6*0.005533+1.16*0.006186+1.2*0.006147)/$H365</f>
        <v>1.7041223435481976</v>
      </c>
      <c r="J365" s="9">
        <f>(0.54*0.029753+1*0.011974+3.67*0.008543+0.1*0.005533+0.09*0.006186+0.3*0.006147)/$H365</f>
        <v>0.91504593753669139</v>
      </c>
      <c r="K365" s="9">
        <f>(7.54*0.029753+9.5*0.011974+8.56*0.008543+8.4*0.005533+4.13*0.006186+2.9*0.006147)/$H365</f>
        <v>7.3539741106023246</v>
      </c>
      <c r="L365" s="9"/>
      <c r="M365" s="9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9">
        <f t="shared" si="25"/>
        <v>1.1611207999999999E-3</v>
      </c>
      <c r="AB365" s="9">
        <f t="shared" si="26"/>
        <v>6.2347570000000009E-4</v>
      </c>
      <c r="AC365" s="10">
        <f t="shared" si="27"/>
        <v>0.50107038000000004</v>
      </c>
      <c r="AD365" s="10">
        <f t="shared" si="28"/>
        <v>0</v>
      </c>
      <c r="AE365" s="9">
        <f t="shared" si="29"/>
        <v>0</v>
      </c>
      <c r="AF365" s="9">
        <f t="shared" si="30"/>
        <v>1.7845965E-3</v>
      </c>
      <c r="AG365" s="9">
        <f t="shared" si="31"/>
        <v>2.6191682810848889</v>
      </c>
      <c r="AH365" s="11">
        <f t="shared" si="38"/>
        <v>0.11611207999999999</v>
      </c>
      <c r="AI365" s="11">
        <f t="shared" si="38"/>
        <v>6.2347570000000005E-2</v>
      </c>
      <c r="AJ365" s="11">
        <f t="shared" si="38"/>
        <v>0.50107038000000004</v>
      </c>
      <c r="AK365" s="11">
        <f t="shared" si="38"/>
        <v>0</v>
      </c>
      <c r="AL365" s="11">
        <f t="shared" si="38"/>
        <v>0</v>
      </c>
      <c r="AM365" s="2"/>
      <c r="AN365" s="2"/>
      <c r="AO365" s="2"/>
    </row>
    <row r="366" spans="1:41" x14ac:dyDescent="0.2">
      <c r="A366" s="2" t="s">
        <v>779</v>
      </c>
      <c r="B366" s="2" t="s">
        <v>427</v>
      </c>
      <c r="C366" s="2" t="s">
        <v>54</v>
      </c>
      <c r="D366" s="2"/>
      <c r="E366" s="7" t="s">
        <v>40</v>
      </c>
      <c r="F366" s="2" t="s">
        <v>780</v>
      </c>
      <c r="G366" s="2" t="s">
        <v>781</v>
      </c>
      <c r="H366" s="12">
        <f>(0.708134+0.220266)*0.9072</f>
        <v>0.84224447999999996</v>
      </c>
      <c r="I366" s="9">
        <f>(0.82*0.708134+0.89*0.220266)/(0.708134+0.220266)</f>
        <v>0.83660773373545871</v>
      </c>
      <c r="J366" s="9">
        <f>(5.43*0.708134+5.67*0.220266)/(0.708134+0.220266)</f>
        <v>5.4869408013787169</v>
      </c>
      <c r="K366" s="13">
        <f>((4.78*0.708134+8.15*0.220266)/(0.708134+0.220266))*31.1/0.9072</f>
        <v>191.27404178653688</v>
      </c>
      <c r="L366" s="9">
        <f>(0.19*0.708134+0.54*0.220266)/(0.708134+0.220266)</f>
        <v>0.27303866867729432</v>
      </c>
      <c r="M366" s="9">
        <f>((0.086*0.708134+0.152*0.220266)/(0.708134+0.220266))*31.1/0.9072</f>
        <v>3.4849936108812485</v>
      </c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9">
        <f t="shared" si="25"/>
        <v>7.0462824566399984E-3</v>
      </c>
      <c r="AB366" s="9">
        <f t="shared" si="26"/>
        <v>4.6213456020480007E-2</v>
      </c>
      <c r="AC366" s="10">
        <f t="shared" si="27"/>
        <v>161.09950586200003</v>
      </c>
      <c r="AD366" s="10">
        <f t="shared" si="28"/>
        <v>2.9352166315999995</v>
      </c>
      <c r="AE366" s="9">
        <f t="shared" si="29"/>
        <v>2.2996531152000002E-3</v>
      </c>
      <c r="AF366" s="9">
        <f t="shared" si="30"/>
        <v>5.5559391592320005E-2</v>
      </c>
      <c r="AG366" s="9">
        <f t="shared" si="31"/>
        <v>6.5965872037914703</v>
      </c>
      <c r="AH366" s="11">
        <f t="shared" si="38"/>
        <v>0.70462824566399984</v>
      </c>
      <c r="AI366" s="11">
        <f t="shared" si="38"/>
        <v>4.6213456020480006</v>
      </c>
      <c r="AJ366" s="11">
        <f t="shared" si="38"/>
        <v>161.09950586200003</v>
      </c>
      <c r="AK366" s="11">
        <f t="shared" si="38"/>
        <v>0.22996531152000002</v>
      </c>
      <c r="AL366" s="11">
        <f t="shared" si="38"/>
        <v>2.9352166315999995</v>
      </c>
      <c r="AM366" s="2"/>
      <c r="AN366" s="2"/>
      <c r="AO366" s="2"/>
    </row>
    <row r="367" spans="1:41" x14ac:dyDescent="0.2">
      <c r="A367" s="2" t="s">
        <v>782</v>
      </c>
      <c r="B367" s="2" t="s">
        <v>427</v>
      </c>
      <c r="C367" s="2" t="s">
        <v>54</v>
      </c>
      <c r="D367" s="2"/>
      <c r="E367" s="7" t="s">
        <v>40</v>
      </c>
      <c r="F367" s="2" t="s">
        <v>780</v>
      </c>
      <c r="G367" s="2" t="s">
        <v>781</v>
      </c>
      <c r="H367" s="12">
        <v>0.5776</v>
      </c>
      <c r="I367" s="2">
        <v>1.49</v>
      </c>
      <c r="J367" s="9">
        <v>6.53</v>
      </c>
      <c r="K367" s="2">
        <v>257</v>
      </c>
      <c r="L367" s="2">
        <v>0.49</v>
      </c>
      <c r="M367" s="2">
        <v>3.7</v>
      </c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9">
        <f t="shared" si="25"/>
        <v>8.6062399999999994E-3</v>
      </c>
      <c r="AB367" s="9">
        <f t="shared" si="26"/>
        <v>3.7717279999999999E-2</v>
      </c>
      <c r="AC367" s="10">
        <f t="shared" si="27"/>
        <v>148.44319999999999</v>
      </c>
      <c r="AD367" s="10">
        <f t="shared" si="28"/>
        <v>2.1371199999999999</v>
      </c>
      <c r="AE367" s="9">
        <f t="shared" si="29"/>
        <v>2.8302399999999999E-3</v>
      </c>
      <c r="AF367" s="9">
        <f t="shared" si="30"/>
        <v>4.9153759999999998E-2</v>
      </c>
      <c r="AG367" s="9">
        <f t="shared" si="31"/>
        <v>8.51</v>
      </c>
      <c r="AH367" s="11">
        <f t="shared" si="38"/>
        <v>0.86062399999999994</v>
      </c>
      <c r="AI367" s="11">
        <f t="shared" si="38"/>
        <v>3.771728</v>
      </c>
      <c r="AJ367" s="11">
        <f t="shared" si="38"/>
        <v>148.44319999999999</v>
      </c>
      <c r="AK367" s="11">
        <f t="shared" si="38"/>
        <v>0.283024</v>
      </c>
      <c r="AL367" s="11">
        <f t="shared" si="38"/>
        <v>2.1371199999999999</v>
      </c>
      <c r="AM367" s="2"/>
      <c r="AN367" s="2"/>
      <c r="AO367" s="2"/>
    </row>
    <row r="368" spans="1:41" x14ac:dyDescent="0.2">
      <c r="A368" s="2" t="s">
        <v>783</v>
      </c>
      <c r="B368" s="2" t="s">
        <v>427</v>
      </c>
      <c r="C368" s="2" t="s">
        <v>38</v>
      </c>
      <c r="D368" s="2" t="s">
        <v>62</v>
      </c>
      <c r="E368" s="2" t="s">
        <v>50</v>
      </c>
      <c r="F368" s="2" t="s">
        <v>759</v>
      </c>
      <c r="G368" s="2" t="s">
        <v>784</v>
      </c>
      <c r="H368" s="2">
        <v>2.57</v>
      </c>
      <c r="I368" s="2">
        <v>6.4</v>
      </c>
      <c r="J368" s="2">
        <v>8.8000000000000007</v>
      </c>
      <c r="K368" s="2">
        <v>325</v>
      </c>
      <c r="L368" s="2"/>
      <c r="M368" s="2">
        <v>0.63</v>
      </c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9">
        <f t="shared" si="25"/>
        <v>0.16448000000000002</v>
      </c>
      <c r="AB368" s="9">
        <f t="shared" si="26"/>
        <v>0.22616</v>
      </c>
      <c r="AC368" s="10">
        <f t="shared" si="27"/>
        <v>835.25</v>
      </c>
      <c r="AD368" s="10">
        <f t="shared" si="28"/>
        <v>1.6191</v>
      </c>
      <c r="AE368" s="9">
        <f t="shared" si="29"/>
        <v>0</v>
      </c>
      <c r="AF368" s="9">
        <f t="shared" si="30"/>
        <v>0.39063999999999999</v>
      </c>
      <c r="AG368" s="9">
        <f t="shared" si="31"/>
        <v>15.200000000000001</v>
      </c>
      <c r="AH368" s="11">
        <f t="shared" si="38"/>
        <v>16.448</v>
      </c>
      <c r="AI368" s="11">
        <f t="shared" si="38"/>
        <v>22.616</v>
      </c>
      <c r="AJ368" s="11">
        <f t="shared" si="38"/>
        <v>835.25</v>
      </c>
      <c r="AK368" s="11">
        <f t="shared" si="38"/>
        <v>0</v>
      </c>
      <c r="AL368" s="11">
        <f t="shared" si="38"/>
        <v>1.6191</v>
      </c>
      <c r="AM368" s="2"/>
      <c r="AN368" s="2"/>
      <c r="AO368" s="2"/>
    </row>
    <row r="369" spans="1:41" x14ac:dyDescent="0.2">
      <c r="A369" s="2" t="s">
        <v>785</v>
      </c>
      <c r="B369" s="2" t="s">
        <v>427</v>
      </c>
      <c r="C369" s="2" t="s">
        <v>38</v>
      </c>
      <c r="D369" s="2" t="s">
        <v>62</v>
      </c>
      <c r="E369" s="7" t="s">
        <v>40</v>
      </c>
      <c r="F369" s="2" t="s">
        <v>559</v>
      </c>
      <c r="G369" s="2" t="s">
        <v>786</v>
      </c>
      <c r="H369" s="2">
        <v>0.05</v>
      </c>
      <c r="I369" s="2"/>
      <c r="J369" s="2">
        <v>4.5</v>
      </c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9">
        <f t="shared" si="25"/>
        <v>0</v>
      </c>
      <c r="AB369" s="9">
        <f t="shared" si="26"/>
        <v>2.2500000000000003E-3</v>
      </c>
      <c r="AC369" s="10">
        <f t="shared" si="27"/>
        <v>0</v>
      </c>
      <c r="AD369" s="10">
        <f t="shared" si="28"/>
        <v>0</v>
      </c>
      <c r="AE369" s="9">
        <f t="shared" si="29"/>
        <v>0</v>
      </c>
      <c r="AF369" s="9">
        <f t="shared" si="30"/>
        <v>2.2500000000000003E-3</v>
      </c>
      <c r="AG369" s="9">
        <f t="shared" si="31"/>
        <v>4.5</v>
      </c>
      <c r="AH369" s="11">
        <f t="shared" si="38"/>
        <v>0</v>
      </c>
      <c r="AI369" s="11">
        <f t="shared" si="38"/>
        <v>0.22500000000000001</v>
      </c>
      <c r="AJ369" s="11">
        <f t="shared" si="38"/>
        <v>0</v>
      </c>
      <c r="AK369" s="11">
        <f t="shared" si="38"/>
        <v>0</v>
      </c>
      <c r="AL369" s="11">
        <f t="shared" si="38"/>
        <v>0</v>
      </c>
      <c r="AM369" s="2"/>
      <c r="AN369" s="2"/>
      <c r="AO369" s="2"/>
    </row>
    <row r="370" spans="1:41" x14ac:dyDescent="0.2">
      <c r="A370" s="2" t="s">
        <v>787</v>
      </c>
      <c r="B370" s="2" t="s">
        <v>427</v>
      </c>
      <c r="C370" s="2" t="s">
        <v>48</v>
      </c>
      <c r="D370" s="2"/>
      <c r="E370" s="7" t="s">
        <v>40</v>
      </c>
      <c r="F370" s="2" t="s">
        <v>471</v>
      </c>
      <c r="G370" s="2" t="s">
        <v>788</v>
      </c>
      <c r="H370" s="2">
        <v>1</v>
      </c>
      <c r="I370" s="2"/>
      <c r="J370" s="2">
        <v>2</v>
      </c>
      <c r="K370" s="2"/>
      <c r="L370" s="2">
        <v>2</v>
      </c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9">
        <f t="shared" si="25"/>
        <v>0</v>
      </c>
      <c r="AB370" s="9">
        <f t="shared" si="26"/>
        <v>0.02</v>
      </c>
      <c r="AC370" s="10">
        <f t="shared" si="27"/>
        <v>0</v>
      </c>
      <c r="AD370" s="10">
        <f t="shared" si="28"/>
        <v>0</v>
      </c>
      <c r="AE370" s="9">
        <f t="shared" si="29"/>
        <v>0.02</v>
      </c>
      <c r="AF370" s="9">
        <f t="shared" si="30"/>
        <v>0.04</v>
      </c>
      <c r="AG370" s="9">
        <f t="shared" si="31"/>
        <v>4</v>
      </c>
      <c r="AH370" s="11">
        <f t="shared" ref="AH370:AL385" si="39">$H370*I370</f>
        <v>0</v>
      </c>
      <c r="AI370" s="11">
        <f t="shared" si="39"/>
        <v>2</v>
      </c>
      <c r="AJ370" s="11">
        <f t="shared" si="39"/>
        <v>0</v>
      </c>
      <c r="AK370" s="11">
        <f t="shared" si="39"/>
        <v>2</v>
      </c>
      <c r="AL370" s="11">
        <f t="shared" si="39"/>
        <v>0</v>
      </c>
      <c r="AM370" s="2"/>
      <c r="AN370" s="2"/>
      <c r="AO370" s="2"/>
    </row>
    <row r="371" spans="1:41" x14ac:dyDescent="0.2">
      <c r="A371" s="2" t="s">
        <v>789</v>
      </c>
      <c r="B371" s="2" t="s">
        <v>427</v>
      </c>
      <c r="C371" s="2" t="s">
        <v>54</v>
      </c>
      <c r="D371" s="2"/>
      <c r="E371" s="7" t="s">
        <v>40</v>
      </c>
      <c r="F371" s="2" t="s">
        <v>41</v>
      </c>
      <c r="G371" s="2" t="s">
        <v>438</v>
      </c>
      <c r="H371" s="12">
        <f>0.0544+0.00808+0.019546+0.011398+0.027215</f>
        <v>0.120639</v>
      </c>
      <c r="I371" s="9">
        <f>(3.4*0.0544+18.8*0.00808+0.06*0.019546+7.75*0.011398+0*0.027215)/$H371</f>
        <v>3.5342738252140684</v>
      </c>
      <c r="J371" s="9">
        <f>(4.7*0.0544+42.6*0.00808+41.21*0.019546+2.84*0.011398+7.53*0.027215)/$H371</f>
        <v>13.616475020515754</v>
      </c>
      <c r="K371" s="14">
        <f>(290*0.0544+1131*0.00808+226*0.019546+778.1*0.011398+41.13*0.027215)/$H371</f>
        <v>325.93118933346602</v>
      </c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9">
        <f t="shared" si="25"/>
        <v>4.2637125999999996E-3</v>
      </c>
      <c r="AB371" s="9">
        <f t="shared" si="26"/>
        <v>1.64267793E-2</v>
      </c>
      <c r="AC371" s="10">
        <f t="shared" si="27"/>
        <v>39.320012750000004</v>
      </c>
      <c r="AD371" s="10">
        <f t="shared" si="28"/>
        <v>0</v>
      </c>
      <c r="AE371" s="9">
        <f t="shared" si="29"/>
        <v>0</v>
      </c>
      <c r="AF371" s="9">
        <f t="shared" si="30"/>
        <v>2.06904919E-2</v>
      </c>
      <c r="AG371" s="9">
        <f t="shared" si="31"/>
        <v>17.150748845729822</v>
      </c>
      <c r="AH371" s="11">
        <f t="shared" si="39"/>
        <v>0.42637125999999997</v>
      </c>
      <c r="AI371" s="11">
        <f t="shared" si="39"/>
        <v>1.6426779300000001</v>
      </c>
      <c r="AJ371" s="11">
        <f t="shared" si="39"/>
        <v>39.320012750000004</v>
      </c>
      <c r="AK371" s="11">
        <f t="shared" si="39"/>
        <v>0</v>
      </c>
      <c r="AL371" s="11">
        <f t="shared" si="39"/>
        <v>0</v>
      </c>
      <c r="AM371" s="2"/>
      <c r="AN371" s="2"/>
      <c r="AO371" s="2"/>
    </row>
    <row r="372" spans="1:41" x14ac:dyDescent="0.2">
      <c r="A372" s="2" t="s">
        <v>790</v>
      </c>
      <c r="B372" s="2" t="s">
        <v>427</v>
      </c>
      <c r="C372" s="2" t="s">
        <v>157</v>
      </c>
      <c r="D372" s="2"/>
      <c r="E372" s="7" t="s">
        <v>40</v>
      </c>
      <c r="F372" s="2" t="s">
        <v>41</v>
      </c>
      <c r="G372" s="2" t="s">
        <v>438</v>
      </c>
      <c r="H372" s="12">
        <v>8.3905999999999994E-2</v>
      </c>
      <c r="I372" s="2">
        <v>3.7</v>
      </c>
      <c r="J372" s="2">
        <v>12.5</v>
      </c>
      <c r="K372" s="2">
        <v>64.400000000000006</v>
      </c>
      <c r="L372" s="2">
        <v>1.69</v>
      </c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9">
        <f t="shared" si="25"/>
        <v>3.1045220000000002E-3</v>
      </c>
      <c r="AB372" s="9">
        <f t="shared" si="26"/>
        <v>1.0488249999999999E-2</v>
      </c>
      <c r="AC372" s="10">
        <f t="shared" si="27"/>
        <v>5.4035463999999997</v>
      </c>
      <c r="AD372" s="10">
        <f t="shared" si="28"/>
        <v>0</v>
      </c>
      <c r="AE372" s="9">
        <f t="shared" si="29"/>
        <v>1.4180114E-3</v>
      </c>
      <c r="AF372" s="9">
        <f t="shared" si="30"/>
        <v>1.50107834E-2</v>
      </c>
      <c r="AG372" s="9">
        <f t="shared" si="31"/>
        <v>17.89</v>
      </c>
      <c r="AH372" s="11">
        <f t="shared" si="39"/>
        <v>0.31045220000000001</v>
      </c>
      <c r="AI372" s="11">
        <f t="shared" si="39"/>
        <v>1.0488249999999999</v>
      </c>
      <c r="AJ372" s="11">
        <f t="shared" si="39"/>
        <v>5.4035463999999997</v>
      </c>
      <c r="AK372" s="11">
        <f t="shared" si="39"/>
        <v>0.14180113999999999</v>
      </c>
      <c r="AL372" s="11">
        <f t="shared" si="39"/>
        <v>0</v>
      </c>
      <c r="AM372" s="2"/>
      <c r="AN372" s="2"/>
      <c r="AO372" s="2"/>
    </row>
    <row r="373" spans="1:41" x14ac:dyDescent="0.2">
      <c r="A373" s="2" t="s">
        <v>791</v>
      </c>
      <c r="B373" s="2" t="s">
        <v>427</v>
      </c>
      <c r="C373" s="2" t="s">
        <v>54</v>
      </c>
      <c r="D373" s="2"/>
      <c r="E373" s="7" t="s">
        <v>40</v>
      </c>
      <c r="F373" s="2" t="s">
        <v>41</v>
      </c>
      <c r="G373" s="2" t="s">
        <v>438</v>
      </c>
      <c r="H373" s="2">
        <v>1.36</v>
      </c>
      <c r="I373" s="2">
        <v>0.17</v>
      </c>
      <c r="J373" s="2">
        <v>0.08</v>
      </c>
      <c r="K373" s="2">
        <v>4.2</v>
      </c>
      <c r="L373" s="2">
        <v>0.01</v>
      </c>
      <c r="M373" s="2">
        <v>0.06</v>
      </c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>
        <v>2.48</v>
      </c>
      <c r="Z373" s="2" t="s">
        <v>792</v>
      </c>
      <c r="AA373" s="9">
        <f t="shared" si="25"/>
        <v>2.3120000000000003E-3</v>
      </c>
      <c r="AB373" s="9">
        <f t="shared" si="26"/>
        <v>1.088E-3</v>
      </c>
      <c r="AC373" s="10">
        <f t="shared" si="27"/>
        <v>5.7120000000000006</v>
      </c>
      <c r="AD373" s="10">
        <f t="shared" si="28"/>
        <v>8.1600000000000006E-2</v>
      </c>
      <c r="AE373" s="9">
        <f t="shared" si="29"/>
        <v>1.36E-4</v>
      </c>
      <c r="AF373" s="9">
        <f t="shared" si="30"/>
        <v>3.5360000000000001E-3</v>
      </c>
      <c r="AG373" s="9">
        <f t="shared" si="31"/>
        <v>0.26</v>
      </c>
      <c r="AH373" s="11">
        <f t="shared" si="39"/>
        <v>0.23120000000000004</v>
      </c>
      <c r="AI373" s="11">
        <f t="shared" si="39"/>
        <v>0.10880000000000001</v>
      </c>
      <c r="AJ373" s="11">
        <f t="shared" si="39"/>
        <v>5.7120000000000006</v>
      </c>
      <c r="AK373" s="11">
        <f t="shared" si="39"/>
        <v>1.3600000000000001E-2</v>
      </c>
      <c r="AL373" s="11">
        <f t="shared" si="39"/>
        <v>8.1600000000000006E-2</v>
      </c>
      <c r="AM373" s="2"/>
      <c r="AN373" s="2"/>
      <c r="AO373" s="2"/>
    </row>
    <row r="374" spans="1:41" x14ac:dyDescent="0.2">
      <c r="A374" s="2" t="s">
        <v>793</v>
      </c>
      <c r="B374" s="2" t="s">
        <v>427</v>
      </c>
      <c r="C374" s="2" t="s">
        <v>54</v>
      </c>
      <c r="D374" s="2"/>
      <c r="E374" s="7" t="s">
        <v>40</v>
      </c>
      <c r="F374" s="2" t="s">
        <v>794</v>
      </c>
      <c r="G374" s="2" t="s">
        <v>438</v>
      </c>
      <c r="H374" s="12">
        <v>0.59070299999999998</v>
      </c>
      <c r="I374" s="2">
        <v>2.66</v>
      </c>
      <c r="J374" s="2">
        <v>1.26</v>
      </c>
      <c r="K374" s="2">
        <v>71.599999999999994</v>
      </c>
      <c r="L374" s="2">
        <v>1.1000000000000001</v>
      </c>
      <c r="M374" s="2">
        <v>1.19</v>
      </c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9">
        <f t="shared" si="25"/>
        <v>1.57126998E-2</v>
      </c>
      <c r="AB374" s="9">
        <f t="shared" si="26"/>
        <v>7.4428578E-3</v>
      </c>
      <c r="AC374" s="10">
        <f t="shared" si="27"/>
        <v>42.294334799999994</v>
      </c>
      <c r="AD374" s="10">
        <f t="shared" si="28"/>
        <v>0.70293656999999998</v>
      </c>
      <c r="AE374" s="9">
        <f t="shared" si="29"/>
        <v>6.4977330000000003E-3</v>
      </c>
      <c r="AF374" s="9">
        <f t="shared" si="30"/>
        <v>2.96532906E-2</v>
      </c>
      <c r="AG374" s="9">
        <f t="shared" si="31"/>
        <v>5.0199999999999996</v>
      </c>
      <c r="AH374" s="11">
        <f t="shared" si="39"/>
        <v>1.5712699800000001</v>
      </c>
      <c r="AI374" s="11">
        <f t="shared" si="39"/>
        <v>0.74428578000000001</v>
      </c>
      <c r="AJ374" s="11">
        <f t="shared" si="39"/>
        <v>42.294334799999994</v>
      </c>
      <c r="AK374" s="11">
        <f t="shared" si="39"/>
        <v>0.6497733</v>
      </c>
      <c r="AL374" s="11">
        <f t="shared" si="39"/>
        <v>0.70293656999999998</v>
      </c>
      <c r="AM374" s="2"/>
      <c r="AN374" s="2"/>
      <c r="AO374" s="2"/>
    </row>
    <row r="375" spans="1:41" x14ac:dyDescent="0.2">
      <c r="A375" s="2" t="s">
        <v>795</v>
      </c>
      <c r="B375" s="2" t="s">
        <v>427</v>
      </c>
      <c r="C375" s="2" t="s">
        <v>38</v>
      </c>
      <c r="D375" s="2" t="s">
        <v>62</v>
      </c>
      <c r="E375" s="7" t="s">
        <v>40</v>
      </c>
      <c r="F375" s="2" t="s">
        <v>41</v>
      </c>
      <c r="G375" s="8" t="s">
        <v>461</v>
      </c>
      <c r="H375" s="2">
        <v>2.5000000000000001E-2</v>
      </c>
      <c r="I375" s="2">
        <v>3.7</v>
      </c>
      <c r="J375" s="2">
        <v>15.6</v>
      </c>
      <c r="K375" s="2">
        <v>76.3</v>
      </c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9">
        <f t="shared" si="25"/>
        <v>9.2500000000000015E-4</v>
      </c>
      <c r="AB375" s="9">
        <f t="shared" si="26"/>
        <v>3.9000000000000003E-3</v>
      </c>
      <c r="AC375" s="10">
        <f t="shared" si="27"/>
        <v>1.9075</v>
      </c>
      <c r="AD375" s="10">
        <f t="shared" si="28"/>
        <v>0</v>
      </c>
      <c r="AE375" s="9">
        <f t="shared" si="29"/>
        <v>0</v>
      </c>
      <c r="AF375" s="9">
        <f t="shared" si="30"/>
        <v>4.8250000000000003E-3</v>
      </c>
      <c r="AG375" s="9">
        <f t="shared" si="31"/>
        <v>19.3</v>
      </c>
      <c r="AH375" s="11">
        <f t="shared" si="39"/>
        <v>9.2500000000000013E-2</v>
      </c>
      <c r="AI375" s="11">
        <f t="shared" si="39"/>
        <v>0.39</v>
      </c>
      <c r="AJ375" s="11">
        <f t="shared" si="39"/>
        <v>1.9075</v>
      </c>
      <c r="AK375" s="11">
        <f t="shared" si="39"/>
        <v>0</v>
      </c>
      <c r="AL375" s="11">
        <f t="shared" si="39"/>
        <v>0</v>
      </c>
      <c r="AM375" s="2"/>
      <c r="AN375" s="2"/>
      <c r="AO375" s="2"/>
    </row>
    <row r="376" spans="1:41" x14ac:dyDescent="0.2">
      <c r="A376" s="2" t="s">
        <v>796</v>
      </c>
      <c r="B376" s="2" t="s">
        <v>427</v>
      </c>
      <c r="C376" s="2" t="s">
        <v>48</v>
      </c>
      <c r="D376" s="2"/>
      <c r="E376" s="2" t="s">
        <v>50</v>
      </c>
      <c r="F376" s="2" t="s">
        <v>487</v>
      </c>
      <c r="G376" s="2" t="s">
        <v>621</v>
      </c>
      <c r="H376" s="12">
        <v>5.5244999999999997</v>
      </c>
      <c r="I376" s="2">
        <v>2.59</v>
      </c>
      <c r="J376" s="2">
        <v>6.11</v>
      </c>
      <c r="K376" s="2">
        <v>54.21</v>
      </c>
      <c r="L376" s="9">
        <v>0.4</v>
      </c>
      <c r="M376" s="2">
        <v>0.62</v>
      </c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9">
        <f t="shared" si="25"/>
        <v>0.14308454999999998</v>
      </c>
      <c r="AB376" s="9">
        <f t="shared" si="26"/>
        <v>0.33754694999999996</v>
      </c>
      <c r="AC376" s="10">
        <f t="shared" si="27"/>
        <v>299.48314499999998</v>
      </c>
      <c r="AD376" s="10">
        <f t="shared" si="28"/>
        <v>3.4251899999999997</v>
      </c>
      <c r="AE376" s="9">
        <f t="shared" si="29"/>
        <v>2.2098E-2</v>
      </c>
      <c r="AF376" s="9">
        <f t="shared" si="30"/>
        <v>0.50272949999999994</v>
      </c>
      <c r="AG376" s="9">
        <f t="shared" si="31"/>
        <v>9.1</v>
      </c>
      <c r="AH376" s="11">
        <f t="shared" si="39"/>
        <v>14.308454999999999</v>
      </c>
      <c r="AI376" s="11">
        <f t="shared" si="39"/>
        <v>33.754694999999998</v>
      </c>
      <c r="AJ376" s="11">
        <f t="shared" si="39"/>
        <v>299.48314499999998</v>
      </c>
      <c r="AK376" s="11">
        <f t="shared" si="39"/>
        <v>2.2098</v>
      </c>
      <c r="AL376" s="11">
        <f t="shared" si="39"/>
        <v>3.4251899999999997</v>
      </c>
      <c r="AM376" s="2"/>
      <c r="AN376" s="2"/>
      <c r="AO376" s="2"/>
    </row>
    <row r="377" spans="1:41" x14ac:dyDescent="0.2">
      <c r="A377" s="2" t="s">
        <v>797</v>
      </c>
      <c r="B377" s="2" t="s">
        <v>427</v>
      </c>
      <c r="C377" s="2" t="s">
        <v>38</v>
      </c>
      <c r="D377" s="2" t="s">
        <v>62</v>
      </c>
      <c r="E377" s="7" t="s">
        <v>40</v>
      </c>
      <c r="F377" s="2" t="s">
        <v>41</v>
      </c>
      <c r="G377" s="8" t="s">
        <v>461</v>
      </c>
      <c r="H377" s="9">
        <f>161.97-149.173608</f>
        <v>12.796391999999997</v>
      </c>
      <c r="I377" s="13">
        <f>(6.08*161.97-5.64*149.173608)/$H377</f>
        <v>11.209288593222217</v>
      </c>
      <c r="J377" s="13">
        <f>(5.86*161.97-5.33*149.173608)/$H377</f>
        <v>12.038461260017671</v>
      </c>
      <c r="K377" s="14">
        <f>(67.36*161.97-62.1*149.173608)/$H377</f>
        <v>128.67831363715646</v>
      </c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9">
        <f t="shared" si="25"/>
        <v>1.4343845088</v>
      </c>
      <c r="AB377" s="9">
        <f t="shared" si="26"/>
        <v>1.5404886936000002</v>
      </c>
      <c r="AC377" s="10">
        <f t="shared" si="27"/>
        <v>1646.6181431999996</v>
      </c>
      <c r="AD377" s="10">
        <f t="shared" si="28"/>
        <v>0</v>
      </c>
      <c r="AE377" s="9">
        <f t="shared" si="29"/>
        <v>0</v>
      </c>
      <c r="AF377" s="9">
        <f t="shared" si="30"/>
        <v>2.9748732024000004</v>
      </c>
      <c r="AG377" s="9">
        <f t="shared" si="31"/>
        <v>23.247749853239888</v>
      </c>
      <c r="AH377" s="11">
        <f t="shared" si="39"/>
        <v>143.43845088</v>
      </c>
      <c r="AI377" s="11">
        <f t="shared" si="39"/>
        <v>154.04886936000003</v>
      </c>
      <c r="AJ377" s="11">
        <f t="shared" si="39"/>
        <v>1646.6181431999996</v>
      </c>
      <c r="AK377" s="11">
        <f t="shared" si="39"/>
        <v>0</v>
      </c>
      <c r="AL377" s="11">
        <f t="shared" si="39"/>
        <v>0</v>
      </c>
      <c r="AM377" s="2"/>
      <c r="AN377" s="2"/>
      <c r="AO377" s="2"/>
    </row>
    <row r="378" spans="1:41" x14ac:dyDescent="0.2">
      <c r="A378" s="2" t="s">
        <v>798</v>
      </c>
      <c r="B378" s="2" t="s">
        <v>427</v>
      </c>
      <c r="C378" s="2" t="s">
        <v>38</v>
      </c>
      <c r="D378" s="2" t="s">
        <v>62</v>
      </c>
      <c r="E378" s="7" t="s">
        <v>40</v>
      </c>
      <c r="F378" s="2" t="s">
        <v>41</v>
      </c>
      <c r="G378" s="2" t="s">
        <v>438</v>
      </c>
      <c r="H378" s="2">
        <v>0.24399999999999999</v>
      </c>
      <c r="I378" s="2">
        <v>1</v>
      </c>
      <c r="J378" s="2">
        <v>4.5</v>
      </c>
      <c r="K378" s="2">
        <v>27.4</v>
      </c>
      <c r="L378" s="2">
        <v>0.7</v>
      </c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9">
        <f t="shared" si="25"/>
        <v>2.4399999999999999E-3</v>
      </c>
      <c r="AB378" s="9">
        <f t="shared" si="26"/>
        <v>1.0979999999999998E-2</v>
      </c>
      <c r="AC378" s="10">
        <f t="shared" si="27"/>
        <v>6.6855999999999991</v>
      </c>
      <c r="AD378" s="10">
        <f t="shared" si="28"/>
        <v>0</v>
      </c>
      <c r="AE378" s="9">
        <f t="shared" si="29"/>
        <v>1.7079999999999999E-3</v>
      </c>
      <c r="AF378" s="9">
        <f t="shared" si="30"/>
        <v>1.5127999999999997E-2</v>
      </c>
      <c r="AG378" s="9">
        <f t="shared" si="31"/>
        <v>6.2</v>
      </c>
      <c r="AH378" s="11">
        <f t="shared" si="39"/>
        <v>0.24399999999999999</v>
      </c>
      <c r="AI378" s="11">
        <f t="shared" si="39"/>
        <v>1.0979999999999999</v>
      </c>
      <c r="AJ378" s="11">
        <f t="shared" si="39"/>
        <v>6.6855999999999991</v>
      </c>
      <c r="AK378" s="11">
        <f t="shared" si="39"/>
        <v>0.17079999999999998</v>
      </c>
      <c r="AL378" s="11">
        <f t="shared" si="39"/>
        <v>0</v>
      </c>
      <c r="AM378" s="2"/>
      <c r="AN378" s="2"/>
      <c r="AO378" s="2"/>
    </row>
    <row r="379" spans="1:41" x14ac:dyDescent="0.2">
      <c r="A379" s="2" t="s">
        <v>799</v>
      </c>
      <c r="B379" s="2" t="s">
        <v>427</v>
      </c>
      <c r="C379" s="2" t="s">
        <v>618</v>
      </c>
      <c r="D379" s="2"/>
      <c r="E379" s="2" t="s">
        <v>50</v>
      </c>
      <c r="F379" s="2" t="s">
        <v>78</v>
      </c>
      <c r="G379" s="2" t="s">
        <v>71</v>
      </c>
      <c r="H379" s="2">
        <f>1.5+2.6</f>
        <v>4.0999999999999996</v>
      </c>
      <c r="I379" s="9">
        <f>(2.39*1.5+1.92*2.6)/$H379</f>
        <v>2.0919512195121954</v>
      </c>
      <c r="J379" s="9">
        <f>(5.99*1.5+4.42*2.6)/$H379</f>
        <v>4.9943902439024397</v>
      </c>
      <c r="K379" s="13">
        <f>(262*1.5+169*2.6)/$H379</f>
        <v>203.02439024390247</v>
      </c>
      <c r="L379" s="2"/>
      <c r="M379" s="13">
        <f>(0.7*1.5+0.5*2.6)/$H379</f>
        <v>0.57317073170731703</v>
      </c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9">
        <f t="shared" si="25"/>
        <v>8.5769999999999999E-2</v>
      </c>
      <c r="AB379" s="9">
        <f t="shared" si="26"/>
        <v>0.20477000000000001</v>
      </c>
      <c r="AC379" s="10">
        <f t="shared" si="27"/>
        <v>832.40000000000009</v>
      </c>
      <c r="AD379" s="10">
        <f t="shared" si="28"/>
        <v>2.3499999999999996</v>
      </c>
      <c r="AE379" s="9">
        <f t="shared" si="29"/>
        <v>0</v>
      </c>
      <c r="AF379" s="9">
        <f t="shared" si="30"/>
        <v>0.29054000000000002</v>
      </c>
      <c r="AG379" s="9">
        <f t="shared" si="31"/>
        <v>7.0863414634146356</v>
      </c>
      <c r="AH379" s="11">
        <f t="shared" si="39"/>
        <v>8.577</v>
      </c>
      <c r="AI379" s="11">
        <f t="shared" si="39"/>
        <v>20.477</v>
      </c>
      <c r="AJ379" s="11">
        <f t="shared" si="39"/>
        <v>832.40000000000009</v>
      </c>
      <c r="AK379" s="11">
        <f t="shared" si="39"/>
        <v>0</v>
      </c>
      <c r="AL379" s="11">
        <f t="shared" si="39"/>
        <v>2.3499999999999996</v>
      </c>
      <c r="AM379" s="2"/>
      <c r="AN379" s="2"/>
      <c r="AO379" s="2"/>
    </row>
    <row r="380" spans="1:41" x14ac:dyDescent="0.2">
      <c r="A380" s="2" t="s">
        <v>800</v>
      </c>
      <c r="B380" s="2" t="s">
        <v>427</v>
      </c>
      <c r="C380" s="2" t="s">
        <v>38</v>
      </c>
      <c r="D380" s="2"/>
      <c r="E380" s="7" t="s">
        <v>40</v>
      </c>
      <c r="F380" s="2" t="s">
        <v>41</v>
      </c>
      <c r="G380" s="2" t="s">
        <v>801</v>
      </c>
      <c r="H380" s="2">
        <v>4.3</v>
      </c>
      <c r="I380" s="2">
        <v>3.8</v>
      </c>
      <c r="J380" s="2">
        <v>4.7</v>
      </c>
      <c r="K380" s="2">
        <v>42</v>
      </c>
      <c r="L380" s="2">
        <v>0.27</v>
      </c>
      <c r="M380" s="2">
        <v>0.7</v>
      </c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9">
        <f t="shared" si="25"/>
        <v>0.16339999999999999</v>
      </c>
      <c r="AB380" s="9">
        <f t="shared" si="26"/>
        <v>0.2021</v>
      </c>
      <c r="AC380" s="10">
        <f t="shared" si="27"/>
        <v>180.6</v>
      </c>
      <c r="AD380" s="10">
        <f t="shared" si="28"/>
        <v>3.01</v>
      </c>
      <c r="AE380" s="9">
        <f t="shared" si="29"/>
        <v>1.1610000000000001E-2</v>
      </c>
      <c r="AF380" s="9">
        <f t="shared" si="30"/>
        <v>0.37711</v>
      </c>
      <c r="AG380" s="9">
        <f t="shared" si="31"/>
        <v>8.77</v>
      </c>
      <c r="AH380" s="11">
        <f t="shared" si="39"/>
        <v>16.34</v>
      </c>
      <c r="AI380" s="11">
        <f t="shared" si="39"/>
        <v>20.21</v>
      </c>
      <c r="AJ380" s="11">
        <f t="shared" si="39"/>
        <v>180.6</v>
      </c>
      <c r="AK380" s="11">
        <f t="shared" si="39"/>
        <v>1.161</v>
      </c>
      <c r="AL380" s="11">
        <f t="shared" si="39"/>
        <v>3.01</v>
      </c>
      <c r="AM380" s="2"/>
      <c r="AN380" s="2"/>
      <c r="AO380" s="2"/>
    </row>
    <row r="381" spans="1:41" x14ac:dyDescent="0.2">
      <c r="A381" s="2" t="s">
        <v>802</v>
      </c>
      <c r="B381" s="2" t="s">
        <v>427</v>
      </c>
      <c r="C381" s="2" t="s">
        <v>48</v>
      </c>
      <c r="D381" s="2"/>
      <c r="E381" s="7" t="s">
        <v>40</v>
      </c>
      <c r="F381" s="2" t="s">
        <v>803</v>
      </c>
      <c r="G381" s="2" t="s">
        <v>788</v>
      </c>
      <c r="H381" s="12">
        <f>3.377+0.488583</f>
        <v>3.865583</v>
      </c>
      <c r="I381" s="9">
        <f>(0.42*3.377+0.23*0.488583)/$H381</f>
        <v>0.39598531191802117</v>
      </c>
      <c r="J381" s="9">
        <f>(2.26*3.377+1.1*0.488583)/$H381</f>
        <v>2.1133840096047605</v>
      </c>
      <c r="K381" s="13">
        <f>(25.37*3.377+13.71*0.488583)/$H381</f>
        <v>23.896256510337505</v>
      </c>
      <c r="L381" s="9">
        <f>(0.29*3.377+0.67*0.488583)/$H381</f>
        <v>0.33802937616395767</v>
      </c>
      <c r="M381" s="9">
        <f>(0.41*3.377+0.1*0.488583)/$H381</f>
        <v>0.37081814049782397</v>
      </c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9">
        <f t="shared" si="25"/>
        <v>1.53071409E-2</v>
      </c>
      <c r="AB381" s="9">
        <f t="shared" si="26"/>
        <v>8.1694612999999985E-2</v>
      </c>
      <c r="AC381" s="10">
        <f t="shared" si="27"/>
        <v>92.372962929999986</v>
      </c>
      <c r="AD381" s="10">
        <f t="shared" si="28"/>
        <v>1.4334282999999999</v>
      </c>
      <c r="AE381" s="9">
        <f t="shared" si="29"/>
        <v>1.30668061E-2</v>
      </c>
      <c r="AF381" s="9">
        <f t="shared" si="30"/>
        <v>0.11006855999999998</v>
      </c>
      <c r="AG381" s="9">
        <f t="shared" si="31"/>
        <v>2.8473986976867396</v>
      </c>
      <c r="AH381" s="11">
        <f t="shared" si="39"/>
        <v>1.53071409</v>
      </c>
      <c r="AI381" s="11">
        <f t="shared" si="39"/>
        <v>8.1694612999999983</v>
      </c>
      <c r="AJ381" s="11">
        <f t="shared" si="39"/>
        <v>92.372962929999986</v>
      </c>
      <c r="AK381" s="11">
        <f t="shared" si="39"/>
        <v>1.3066806099999999</v>
      </c>
      <c r="AL381" s="11">
        <f t="shared" si="39"/>
        <v>1.4334282999999999</v>
      </c>
      <c r="AM381" s="2"/>
      <c r="AN381" s="2"/>
      <c r="AO381" s="2"/>
    </row>
    <row r="382" spans="1:41" x14ac:dyDescent="0.2">
      <c r="A382" s="2" t="s">
        <v>804</v>
      </c>
      <c r="B382" s="2" t="s">
        <v>427</v>
      </c>
      <c r="C382" s="2" t="s">
        <v>48</v>
      </c>
      <c r="D382" s="2"/>
      <c r="E382" s="7" t="s">
        <v>40</v>
      </c>
      <c r="F382" s="2" t="s">
        <v>803</v>
      </c>
      <c r="G382" s="2" t="s">
        <v>788</v>
      </c>
      <c r="H382" s="2">
        <v>22.8</v>
      </c>
      <c r="I382" s="2">
        <v>0.64</v>
      </c>
      <c r="J382" s="2">
        <v>1.82</v>
      </c>
      <c r="K382" s="2">
        <v>32.229999999999997</v>
      </c>
      <c r="L382" s="2">
        <v>0.56000000000000005</v>
      </c>
      <c r="M382" s="2">
        <v>1.17</v>
      </c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9">
        <f t="shared" si="25"/>
        <v>0.14591999999999999</v>
      </c>
      <c r="AB382" s="9">
        <f t="shared" si="26"/>
        <v>0.41496</v>
      </c>
      <c r="AC382" s="10">
        <f t="shared" si="27"/>
        <v>734.84399999999994</v>
      </c>
      <c r="AD382" s="10">
        <f t="shared" si="28"/>
        <v>26.675999999999998</v>
      </c>
      <c r="AE382" s="9">
        <f t="shared" si="29"/>
        <v>0.12768000000000002</v>
      </c>
      <c r="AF382" s="9">
        <f t="shared" si="30"/>
        <v>0.68856000000000006</v>
      </c>
      <c r="AG382" s="9">
        <f t="shared" si="31"/>
        <v>3.02</v>
      </c>
      <c r="AH382" s="11">
        <f t="shared" si="39"/>
        <v>14.592000000000001</v>
      </c>
      <c r="AI382" s="11">
        <f t="shared" si="39"/>
        <v>41.496000000000002</v>
      </c>
      <c r="AJ382" s="11">
        <f t="shared" si="39"/>
        <v>734.84399999999994</v>
      </c>
      <c r="AK382" s="11">
        <f t="shared" si="39"/>
        <v>12.768000000000002</v>
      </c>
      <c r="AL382" s="11">
        <f t="shared" si="39"/>
        <v>26.675999999999998</v>
      </c>
      <c r="AM382" s="2"/>
      <c r="AN382" s="2"/>
      <c r="AO382" s="2"/>
    </row>
    <row r="383" spans="1:41" x14ac:dyDescent="0.2">
      <c r="A383" s="2" t="s">
        <v>805</v>
      </c>
      <c r="B383" s="2" t="s">
        <v>427</v>
      </c>
      <c r="C383" s="2" t="s">
        <v>48</v>
      </c>
      <c r="D383" s="2"/>
      <c r="E383" s="7" t="s">
        <v>40</v>
      </c>
      <c r="F383" s="2" t="s">
        <v>803</v>
      </c>
      <c r="G383" s="2" t="s">
        <v>788</v>
      </c>
      <c r="H383" s="2">
        <v>0.13100000000000001</v>
      </c>
      <c r="I383" s="2">
        <v>2.69</v>
      </c>
      <c r="J383" s="2">
        <v>8.43</v>
      </c>
      <c r="K383" s="2">
        <v>101</v>
      </c>
      <c r="L383" s="2">
        <v>0.28000000000000003</v>
      </c>
      <c r="M383" s="9">
        <v>3.1</v>
      </c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9">
        <f t="shared" si="25"/>
        <v>3.5238999999999999E-3</v>
      </c>
      <c r="AB383" s="9">
        <f t="shared" si="26"/>
        <v>1.1043300000000001E-2</v>
      </c>
      <c r="AC383" s="10">
        <f t="shared" si="27"/>
        <v>13.231</v>
      </c>
      <c r="AD383" s="10">
        <f t="shared" si="28"/>
        <v>0.40610000000000002</v>
      </c>
      <c r="AE383" s="9">
        <f t="shared" si="29"/>
        <v>3.6680000000000003E-4</v>
      </c>
      <c r="AF383" s="9">
        <f t="shared" si="30"/>
        <v>1.4934000000000001E-2</v>
      </c>
      <c r="AG383" s="9">
        <f t="shared" si="31"/>
        <v>11.399999999999999</v>
      </c>
      <c r="AH383" s="11">
        <f t="shared" si="39"/>
        <v>0.35238999999999998</v>
      </c>
      <c r="AI383" s="11">
        <f t="shared" si="39"/>
        <v>1.10433</v>
      </c>
      <c r="AJ383" s="11">
        <f t="shared" si="39"/>
        <v>13.231</v>
      </c>
      <c r="AK383" s="11">
        <f t="shared" si="39"/>
        <v>3.6680000000000004E-2</v>
      </c>
      <c r="AL383" s="11">
        <f t="shared" si="39"/>
        <v>0.40610000000000002</v>
      </c>
      <c r="AM383" s="2"/>
      <c r="AN383" s="2"/>
      <c r="AO383" s="2"/>
    </row>
    <row r="384" spans="1:41" x14ac:dyDescent="0.2">
      <c r="A384" s="2" t="s">
        <v>806</v>
      </c>
      <c r="B384" s="2" t="s">
        <v>427</v>
      </c>
      <c r="C384" s="2" t="s">
        <v>187</v>
      </c>
      <c r="D384" s="2"/>
      <c r="E384" s="2" t="s">
        <v>50</v>
      </c>
      <c r="F384" s="2" t="s">
        <v>807</v>
      </c>
      <c r="G384" s="2" t="s">
        <v>808</v>
      </c>
      <c r="H384" s="2">
        <f>1.87+2.66</f>
        <v>4.53</v>
      </c>
      <c r="I384" s="9">
        <f>(0.67*1.87+0.45*2.66)/$H384</f>
        <v>0.54081677704194264</v>
      </c>
      <c r="J384" s="9">
        <f>(1.13*1.87+0.76*2.66)/$H384</f>
        <v>0.91273730684326715</v>
      </c>
      <c r="K384" s="13">
        <f>(35.73*1.87+24.02*2.66)/$H384</f>
        <v>28.8539293598234</v>
      </c>
      <c r="L384" s="9">
        <f>(0.21*1.87+0.14*2.66)/$H384</f>
        <v>0.16889624724061811</v>
      </c>
      <c r="M384" s="9">
        <f>(1.25*1.87+0.85*2.66)/$H384</f>
        <v>1.015121412803532</v>
      </c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9">
        <f t="shared" si="25"/>
        <v>2.4499000000000003E-2</v>
      </c>
      <c r="AB384" s="9">
        <f t="shared" si="26"/>
        <v>4.1347000000000002E-2</v>
      </c>
      <c r="AC384" s="10">
        <f t="shared" si="27"/>
        <v>130.70830000000001</v>
      </c>
      <c r="AD384" s="10">
        <f t="shared" si="28"/>
        <v>4.5985000000000005</v>
      </c>
      <c r="AE384" s="9">
        <f t="shared" si="29"/>
        <v>7.6510000000000015E-3</v>
      </c>
      <c r="AF384" s="9">
        <f t="shared" si="30"/>
        <v>7.3497000000000007E-2</v>
      </c>
      <c r="AG384" s="9">
        <f t="shared" si="31"/>
        <v>1.622450331125828</v>
      </c>
      <c r="AH384" s="11">
        <f t="shared" si="39"/>
        <v>2.4499000000000004</v>
      </c>
      <c r="AI384" s="11">
        <f t="shared" si="39"/>
        <v>4.1347000000000005</v>
      </c>
      <c r="AJ384" s="11">
        <f t="shared" si="39"/>
        <v>130.70830000000001</v>
      </c>
      <c r="AK384" s="11">
        <f t="shared" si="39"/>
        <v>0.76510000000000011</v>
      </c>
      <c r="AL384" s="11">
        <f t="shared" si="39"/>
        <v>4.5985000000000005</v>
      </c>
      <c r="AM384" s="2"/>
      <c r="AN384" s="2"/>
      <c r="AO384" s="2"/>
    </row>
    <row r="385" spans="1:41" x14ac:dyDescent="0.2">
      <c r="A385" s="2" t="s">
        <v>809</v>
      </c>
      <c r="B385" s="2" t="s">
        <v>427</v>
      </c>
      <c r="C385" s="2" t="s">
        <v>157</v>
      </c>
      <c r="D385" s="2"/>
      <c r="E385" s="7" t="s">
        <v>40</v>
      </c>
      <c r="F385" s="2" t="s">
        <v>41</v>
      </c>
      <c r="G385" s="2" t="s">
        <v>500</v>
      </c>
      <c r="H385" s="12">
        <v>9.0718999999999994E-2</v>
      </c>
      <c r="I385" s="2">
        <v>6</v>
      </c>
      <c r="J385" s="2">
        <v>10</v>
      </c>
      <c r="K385" s="2">
        <v>687.5</v>
      </c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9">
        <f t="shared" si="25"/>
        <v>5.44314E-3</v>
      </c>
      <c r="AB385" s="9">
        <f t="shared" si="26"/>
        <v>9.0718999999999991E-3</v>
      </c>
      <c r="AC385" s="10">
        <f t="shared" si="27"/>
        <v>62.369312499999992</v>
      </c>
      <c r="AD385" s="10">
        <f t="shared" si="28"/>
        <v>0</v>
      </c>
      <c r="AE385" s="9">
        <f t="shared" si="29"/>
        <v>0</v>
      </c>
      <c r="AF385" s="9">
        <f t="shared" si="30"/>
        <v>1.451504E-2</v>
      </c>
      <c r="AG385" s="9">
        <f t="shared" si="31"/>
        <v>16</v>
      </c>
      <c r="AH385" s="11">
        <f t="shared" si="39"/>
        <v>0.54431399999999996</v>
      </c>
      <c r="AI385" s="11">
        <f t="shared" si="39"/>
        <v>0.90718999999999994</v>
      </c>
      <c r="AJ385" s="11">
        <f t="shared" si="39"/>
        <v>62.369312499999992</v>
      </c>
      <c r="AK385" s="11">
        <f t="shared" si="39"/>
        <v>0</v>
      </c>
      <c r="AL385" s="11">
        <f t="shared" si="39"/>
        <v>0</v>
      </c>
      <c r="AM385" s="2"/>
      <c r="AN385" s="2"/>
      <c r="AO385" s="2"/>
    </row>
    <row r="386" spans="1:41" x14ac:dyDescent="0.2">
      <c r="A386" s="2" t="s">
        <v>810</v>
      </c>
      <c r="B386" s="2" t="s">
        <v>427</v>
      </c>
      <c r="C386" s="2" t="s">
        <v>48</v>
      </c>
      <c r="D386" s="2"/>
      <c r="E386" s="2" t="s">
        <v>50</v>
      </c>
      <c r="F386" s="2" t="s">
        <v>811</v>
      </c>
      <c r="G386" s="2" t="s">
        <v>812</v>
      </c>
      <c r="H386" s="2">
        <f>0.64+0.424</f>
        <v>1.0640000000000001</v>
      </c>
      <c r="I386" s="9">
        <f>(2.51*0.64+2.26*0.424)/$H386</f>
        <v>2.4103759398496236</v>
      </c>
      <c r="J386" s="9">
        <f>(3.51*0.64+3.2*0.424)/$H386</f>
        <v>3.386466165413534</v>
      </c>
      <c r="K386" s="14">
        <f>(187*0.64+176*0.424)/$H386</f>
        <v>182.61654135338344</v>
      </c>
      <c r="L386" s="9">
        <f>(0.14*0.64+0.14*0.424)/$H386</f>
        <v>0.14000000000000001</v>
      </c>
      <c r="M386" s="9">
        <f>(0.88*0.64+0.98*0.424)/$H386</f>
        <v>0.91984962406015036</v>
      </c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9">
        <f t="shared" si="25"/>
        <v>2.56464E-2</v>
      </c>
      <c r="AB386" s="9">
        <f t="shared" si="26"/>
        <v>3.6032000000000002E-2</v>
      </c>
      <c r="AC386" s="10">
        <f t="shared" si="27"/>
        <v>194.304</v>
      </c>
      <c r="AD386" s="10">
        <f t="shared" si="28"/>
        <v>0.97872000000000003</v>
      </c>
      <c r="AE386" s="9">
        <f t="shared" si="29"/>
        <v>1.4896E-3</v>
      </c>
      <c r="AF386" s="9">
        <f t="shared" si="30"/>
        <v>6.3168000000000002E-2</v>
      </c>
      <c r="AG386" s="9">
        <f t="shared" si="31"/>
        <v>5.9368421052631577</v>
      </c>
      <c r="AH386" s="11">
        <f t="shared" ref="AH386:AL401" si="40">$H386*I386</f>
        <v>2.5646399999999998</v>
      </c>
      <c r="AI386" s="11">
        <f t="shared" si="40"/>
        <v>3.6032000000000002</v>
      </c>
      <c r="AJ386" s="11">
        <f t="shared" si="40"/>
        <v>194.304</v>
      </c>
      <c r="AK386" s="11">
        <f t="shared" si="40"/>
        <v>0.14896000000000001</v>
      </c>
      <c r="AL386" s="11">
        <f t="shared" si="40"/>
        <v>0.97872000000000003</v>
      </c>
      <c r="AM386" s="2"/>
      <c r="AN386" s="2"/>
      <c r="AO386" s="2"/>
    </row>
    <row r="387" spans="1:41" x14ac:dyDescent="0.2">
      <c r="A387" s="2" t="s">
        <v>813</v>
      </c>
      <c r="B387" s="2" t="s">
        <v>427</v>
      </c>
      <c r="C387" s="2" t="s">
        <v>38</v>
      </c>
      <c r="D387" s="2" t="s">
        <v>62</v>
      </c>
      <c r="E387" s="2" t="s">
        <v>50</v>
      </c>
      <c r="F387" s="2" t="s">
        <v>594</v>
      </c>
      <c r="G387" s="2" t="s">
        <v>615</v>
      </c>
      <c r="H387" s="2">
        <f>4.98+13.55</f>
        <v>18.53</v>
      </c>
      <c r="I387" s="9">
        <f>(4.36*4.98+3.1*13.55)/$H387</f>
        <v>3.4386292498650839</v>
      </c>
      <c r="J387" s="9">
        <f>(6.64*4.98+6.68*13.55)/$H387</f>
        <v>6.6692498650836471</v>
      </c>
      <c r="K387" s="9">
        <f>(4.36*4.98+3.1*13.55)/$H387</f>
        <v>3.4386292498650839</v>
      </c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9">
        <f t="shared" si="25"/>
        <v>0.63717800000000013</v>
      </c>
      <c r="AB387" s="9">
        <f t="shared" si="26"/>
        <v>1.2358119999999999</v>
      </c>
      <c r="AC387" s="10">
        <f t="shared" si="27"/>
        <v>63.717800000000011</v>
      </c>
      <c r="AD387" s="10">
        <f t="shared" si="28"/>
        <v>0</v>
      </c>
      <c r="AE387" s="9">
        <f t="shared" si="29"/>
        <v>0</v>
      </c>
      <c r="AF387" s="9">
        <f t="shared" si="30"/>
        <v>1.8729900000000002</v>
      </c>
      <c r="AG387" s="9">
        <f t="shared" si="31"/>
        <v>10.10787911494873</v>
      </c>
      <c r="AH387" s="11">
        <f t="shared" si="40"/>
        <v>63.717800000000011</v>
      </c>
      <c r="AI387" s="11">
        <f t="shared" si="40"/>
        <v>123.5812</v>
      </c>
      <c r="AJ387" s="11">
        <f t="shared" si="40"/>
        <v>63.717800000000011</v>
      </c>
      <c r="AK387" s="11">
        <f t="shared" si="40"/>
        <v>0</v>
      </c>
      <c r="AL387" s="11">
        <f t="shared" si="40"/>
        <v>0</v>
      </c>
      <c r="AM387" s="2"/>
      <c r="AN387" s="2"/>
      <c r="AO387" s="2"/>
    </row>
    <row r="388" spans="1:41" x14ac:dyDescent="0.2">
      <c r="A388" s="2" t="s">
        <v>814</v>
      </c>
      <c r="B388" s="2" t="s">
        <v>427</v>
      </c>
      <c r="C388" s="2" t="s">
        <v>38</v>
      </c>
      <c r="D388" s="2" t="s">
        <v>815</v>
      </c>
      <c r="E388" s="2" t="s">
        <v>50</v>
      </c>
      <c r="F388" s="2" t="s">
        <v>816</v>
      </c>
      <c r="G388" s="2" t="s">
        <v>429</v>
      </c>
      <c r="H388" s="2">
        <f>0.55+0.548+0.099</f>
        <v>1.1970000000000001</v>
      </c>
      <c r="I388" s="2"/>
      <c r="J388" s="9">
        <f>(4.23*0.55+3.09*0.548+1.23*0.099)/$H388</f>
        <v>3.4599749373433579</v>
      </c>
      <c r="K388" s="13">
        <f>(59.99*0.55+36.19*0.548+12.45*0.099)/$H388</f>
        <v>45.162213868003349</v>
      </c>
      <c r="L388" s="9">
        <f>(2.3*0.55+1.18*0.548+1.19*0.099)/$H388</f>
        <v>1.6954469507101082</v>
      </c>
      <c r="M388" s="9">
        <f>(0.43*0.55+0.25*0.548+0*0.099)/$H388</f>
        <v>0.31203007518796994</v>
      </c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9">
        <f t="shared" si="25"/>
        <v>0</v>
      </c>
      <c r="AB388" s="9">
        <f t="shared" si="26"/>
        <v>4.1415899999999999E-2</v>
      </c>
      <c r="AC388" s="10">
        <f t="shared" si="27"/>
        <v>54.059170000000009</v>
      </c>
      <c r="AD388" s="10">
        <f t="shared" si="28"/>
        <v>0.37350000000000005</v>
      </c>
      <c r="AE388" s="9">
        <f t="shared" si="29"/>
        <v>2.0294499999999997E-2</v>
      </c>
      <c r="AF388" s="9">
        <f t="shared" si="30"/>
        <v>6.1710399999999999E-2</v>
      </c>
      <c r="AG388" s="9">
        <f t="shared" si="31"/>
        <v>5.1554218880534659</v>
      </c>
      <c r="AH388" s="11">
        <f t="shared" si="40"/>
        <v>0</v>
      </c>
      <c r="AI388" s="11">
        <f t="shared" si="40"/>
        <v>4.1415899999999999</v>
      </c>
      <c r="AJ388" s="11">
        <f t="shared" si="40"/>
        <v>54.059170000000009</v>
      </c>
      <c r="AK388" s="11">
        <f t="shared" si="40"/>
        <v>2.0294499999999998</v>
      </c>
      <c r="AL388" s="11">
        <f t="shared" si="40"/>
        <v>0.37350000000000005</v>
      </c>
      <c r="AM388" s="2"/>
      <c r="AN388" s="2"/>
      <c r="AO388" s="2"/>
    </row>
    <row r="389" spans="1:41" x14ac:dyDescent="0.2">
      <c r="A389" s="2" t="s">
        <v>817</v>
      </c>
      <c r="B389" s="2" t="s">
        <v>427</v>
      </c>
      <c r="C389" s="2" t="s">
        <v>54</v>
      </c>
      <c r="D389" s="2"/>
      <c r="E389" s="2" t="s">
        <v>50</v>
      </c>
      <c r="F389" s="2" t="s">
        <v>818</v>
      </c>
      <c r="G389" s="2" t="s">
        <v>731</v>
      </c>
      <c r="H389" s="12">
        <f>0.075+0.235</f>
        <v>0.31</v>
      </c>
      <c r="I389" s="9">
        <f>(2.48*0.075+1.93*0.235)/$H389</f>
        <v>2.0630645161290322</v>
      </c>
      <c r="J389" s="9">
        <f>(2.84*0.075+3.09*0.235)/$H389</f>
        <v>3.0295161290322579</v>
      </c>
      <c r="K389" s="13">
        <f>(457.4*0.075+544.2*0.235)/$H389</f>
        <v>523.20000000000005</v>
      </c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9">
        <f t="shared" si="25"/>
        <v>6.3954999999999993E-3</v>
      </c>
      <c r="AB389" s="9">
        <f t="shared" si="26"/>
        <v>9.3914999999999988E-3</v>
      </c>
      <c r="AC389" s="10">
        <f t="shared" si="27"/>
        <v>162.19200000000001</v>
      </c>
      <c r="AD389" s="10">
        <f t="shared" si="28"/>
        <v>0</v>
      </c>
      <c r="AE389" s="9">
        <f t="shared" si="29"/>
        <v>0</v>
      </c>
      <c r="AF389" s="9">
        <f t="shared" si="30"/>
        <v>1.5786999999999999E-2</v>
      </c>
      <c r="AG389" s="9">
        <f t="shared" si="31"/>
        <v>5.0925806451612896</v>
      </c>
      <c r="AH389" s="11">
        <f t="shared" si="40"/>
        <v>0.63954999999999995</v>
      </c>
      <c r="AI389" s="11">
        <f t="shared" si="40"/>
        <v>0.93914999999999993</v>
      </c>
      <c r="AJ389" s="11">
        <f t="shared" si="40"/>
        <v>162.19200000000001</v>
      </c>
      <c r="AK389" s="11">
        <f t="shared" si="40"/>
        <v>0</v>
      </c>
      <c r="AL389" s="11">
        <f t="shared" si="40"/>
        <v>0</v>
      </c>
      <c r="AM389" s="2"/>
      <c r="AN389" s="2"/>
      <c r="AO389" s="2"/>
    </row>
    <row r="390" spans="1:41" x14ac:dyDescent="0.2">
      <c r="A390" s="2" t="s">
        <v>819</v>
      </c>
      <c r="B390" s="2" t="s">
        <v>427</v>
      </c>
      <c r="C390" s="2" t="s">
        <v>48</v>
      </c>
      <c r="D390" s="2"/>
      <c r="E390" s="7" t="s">
        <v>40</v>
      </c>
      <c r="F390" s="2" t="s">
        <v>41</v>
      </c>
      <c r="G390" s="2" t="s">
        <v>438</v>
      </c>
      <c r="H390" s="12">
        <f>0.099802+0.025887+0.100616+0.029573+0.009453+0.037191+0.025398+0.023584+0.064846</f>
        <v>0.41634999999999994</v>
      </c>
      <c r="I390" s="13">
        <f>(8.75*0.099802+4.58*0.025887+5.61*0.100616+8.41*0.029573+16.06*0.009453+1.7*0.037191+6.19*0.025398+8.71*0.023584+1.09*0.064846)/$H390</f>
        <v>5.892510940314641</v>
      </c>
      <c r="J390" s="9">
        <f>(3.7*0.099802+4.78*0.025887+2.88*0.100616+16.51*0.029573+14.91*0.009453+1.5*0.037191+6.34*0.025398+2.24*0.023584+9.49*0.064846)/$H390</f>
        <v>5.5169984868500066</v>
      </c>
      <c r="K390" s="13">
        <f>(416.5*0.099802+234.8*0.025887+195*0.100616+216.3*0.029573+504.2*0.009453+229.67*0.037191+254.7*0.025398+287.2*0.023584+41.1*0.064846)/$H390</f>
        <v>247.09447837156242</v>
      </c>
      <c r="L390" s="2"/>
      <c r="M390" s="9">
        <f>(0.3*0.099802+0.1*0.025887+0.89*0.100616+1.2*0.029573+1.1*0.009453+2.74*0.037191+4.4*0.025398+0.13*0.023584+0.17*0.064846)/$H390</f>
        <v>0.95042084784436176</v>
      </c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9">
        <f t="shared" si="25"/>
        <v>2.4533469300000003E-2</v>
      </c>
      <c r="AB390" s="9">
        <f t="shared" si="26"/>
        <v>2.2970023199999998E-2</v>
      </c>
      <c r="AC390" s="10">
        <f t="shared" si="27"/>
        <v>102.87778607</v>
      </c>
      <c r="AD390" s="10">
        <f t="shared" si="28"/>
        <v>0.39570771999999999</v>
      </c>
      <c r="AE390" s="9">
        <f t="shared" si="29"/>
        <v>0</v>
      </c>
      <c r="AF390" s="9">
        <f t="shared" si="30"/>
        <v>4.7503492500000001E-2</v>
      </c>
      <c r="AG390" s="9">
        <f t="shared" si="31"/>
        <v>11.409509427164647</v>
      </c>
      <c r="AH390" s="11">
        <f t="shared" si="40"/>
        <v>2.4533469300000004</v>
      </c>
      <c r="AI390" s="11">
        <f t="shared" si="40"/>
        <v>2.2970023199999998</v>
      </c>
      <c r="AJ390" s="11">
        <f t="shared" si="40"/>
        <v>102.87778607</v>
      </c>
      <c r="AK390" s="11">
        <f t="shared" si="40"/>
        <v>0</v>
      </c>
      <c r="AL390" s="11">
        <f t="shared" si="40"/>
        <v>0.39570771999999999</v>
      </c>
      <c r="AM390" s="2"/>
      <c r="AN390" s="2"/>
      <c r="AO390" s="2"/>
    </row>
    <row r="391" spans="1:41" x14ac:dyDescent="0.2">
      <c r="A391" s="2" t="s">
        <v>820</v>
      </c>
      <c r="B391" s="2" t="s">
        <v>427</v>
      </c>
      <c r="C391" s="2" t="s">
        <v>48</v>
      </c>
      <c r="D391" s="2"/>
      <c r="E391" s="2" t="s">
        <v>50</v>
      </c>
      <c r="F391" s="2" t="s">
        <v>458</v>
      </c>
      <c r="G391" s="2" t="s">
        <v>71</v>
      </c>
      <c r="H391" s="2">
        <f>6.762+0.204</f>
        <v>6.9659999999999993</v>
      </c>
      <c r="I391" s="9">
        <f>(1.1*6.762+0.76*0.204)/$H391</f>
        <v>1.0900430663221361</v>
      </c>
      <c r="J391" s="9">
        <f>(5.89*6.762+4.02*0.204)/$H391</f>
        <v>5.8352368647717485</v>
      </c>
      <c r="K391" s="14">
        <f>(85*6.762+62*0.204)/$H391</f>
        <v>84.326442721791565</v>
      </c>
      <c r="L391" s="9">
        <f>(1.19*6.762+0.67*0.204)/$H391</f>
        <v>1.1747717484926785</v>
      </c>
      <c r="M391" s="9">
        <f>(2.4*6.762+1.18*0.204)/$H391</f>
        <v>2.3642721791559</v>
      </c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9">
        <f t="shared" si="25"/>
        <v>7.5932399999999983E-2</v>
      </c>
      <c r="AB391" s="9">
        <f t="shared" si="26"/>
        <v>0.40648259999999992</v>
      </c>
      <c r="AC391" s="10">
        <f t="shared" si="27"/>
        <v>587.41800000000001</v>
      </c>
      <c r="AD391" s="10">
        <f t="shared" si="28"/>
        <v>16.469519999999999</v>
      </c>
      <c r="AE391" s="9">
        <f t="shared" si="29"/>
        <v>8.183459999999998E-2</v>
      </c>
      <c r="AF391" s="9">
        <f t="shared" si="30"/>
        <v>0.56424959999999991</v>
      </c>
      <c r="AG391" s="9">
        <f t="shared" si="31"/>
        <v>8.1000516795865636</v>
      </c>
      <c r="AH391" s="11">
        <f t="shared" si="40"/>
        <v>7.5932399999999989</v>
      </c>
      <c r="AI391" s="11">
        <f t="shared" si="40"/>
        <v>40.648259999999993</v>
      </c>
      <c r="AJ391" s="11">
        <f t="shared" si="40"/>
        <v>587.41800000000001</v>
      </c>
      <c r="AK391" s="11">
        <f t="shared" si="40"/>
        <v>8.1834599999999984</v>
      </c>
      <c r="AL391" s="11">
        <f t="shared" si="40"/>
        <v>16.469519999999999</v>
      </c>
      <c r="AM391" s="2"/>
      <c r="AN391" s="2"/>
      <c r="AO391" s="2"/>
    </row>
    <row r="392" spans="1:41" x14ac:dyDescent="0.2">
      <c r="A392" s="2" t="s">
        <v>821</v>
      </c>
      <c r="B392" s="2" t="s">
        <v>427</v>
      </c>
      <c r="C392" s="2" t="s">
        <v>38</v>
      </c>
      <c r="D392" s="2" t="s">
        <v>39</v>
      </c>
      <c r="E392" s="7" t="s">
        <v>40</v>
      </c>
      <c r="F392" s="2" t="s">
        <v>41</v>
      </c>
      <c r="G392" s="8" t="s">
        <v>544</v>
      </c>
      <c r="H392" s="9">
        <v>1.3095300000000001</v>
      </c>
      <c r="I392" s="2">
        <v>0.59</v>
      </c>
      <c r="J392" s="2">
        <v>1.94</v>
      </c>
      <c r="K392" s="2">
        <v>13.5</v>
      </c>
      <c r="L392" s="2">
        <v>0.15</v>
      </c>
      <c r="M392" s="2"/>
      <c r="N392" s="9">
        <f>0.47*(137.327/(137.327+96.06))</f>
        <v>0.27655220727804031</v>
      </c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>
        <v>0.11</v>
      </c>
      <c r="Z392" s="2" t="s">
        <v>416</v>
      </c>
      <c r="AA392" s="9">
        <f t="shared" si="25"/>
        <v>7.7262269999999996E-3</v>
      </c>
      <c r="AB392" s="9">
        <f t="shared" si="26"/>
        <v>2.5404882E-2</v>
      </c>
      <c r="AC392" s="10">
        <f t="shared" si="27"/>
        <v>17.678655000000003</v>
      </c>
      <c r="AD392" s="10">
        <f t="shared" si="28"/>
        <v>0</v>
      </c>
      <c r="AE392" s="9">
        <f t="shared" si="29"/>
        <v>1.964295E-3</v>
      </c>
      <c r="AF392" s="9">
        <f t="shared" si="30"/>
        <v>3.5095403999999997E-2</v>
      </c>
      <c r="AG392" s="9">
        <f t="shared" si="31"/>
        <v>2.6799999999999997</v>
      </c>
      <c r="AH392" s="11">
        <f t="shared" si="40"/>
        <v>0.7726227</v>
      </c>
      <c r="AI392" s="11">
        <f t="shared" si="40"/>
        <v>2.5404882</v>
      </c>
      <c r="AJ392" s="11">
        <f t="shared" si="40"/>
        <v>17.678655000000003</v>
      </c>
      <c r="AK392" s="11">
        <f t="shared" si="40"/>
        <v>0.19642950000000001</v>
      </c>
      <c r="AL392" s="11">
        <f t="shared" si="40"/>
        <v>0</v>
      </c>
      <c r="AM392" s="2"/>
      <c r="AN392" s="2"/>
      <c r="AO392" s="2"/>
    </row>
    <row r="393" spans="1:41" x14ac:dyDescent="0.2">
      <c r="A393" s="2" t="s">
        <v>822</v>
      </c>
      <c r="B393" s="2" t="s">
        <v>427</v>
      </c>
      <c r="C393" s="2" t="s">
        <v>823</v>
      </c>
      <c r="D393" s="2" t="s">
        <v>824</v>
      </c>
      <c r="E393" s="7" t="s">
        <v>40</v>
      </c>
      <c r="F393" s="2" t="s">
        <v>567</v>
      </c>
      <c r="G393" s="2" t="s">
        <v>500</v>
      </c>
      <c r="H393" s="12">
        <v>1.9958E-2</v>
      </c>
      <c r="I393" s="2">
        <v>26.7</v>
      </c>
      <c r="J393" s="2">
        <v>7.3</v>
      </c>
      <c r="K393" s="15">
        <v>1027.4000000000001</v>
      </c>
      <c r="L393" s="9"/>
      <c r="M393" s="9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9">
        <f t="shared" si="25"/>
        <v>5.3287859999999994E-3</v>
      </c>
      <c r="AB393" s="9">
        <f t="shared" si="26"/>
        <v>1.456934E-3</v>
      </c>
      <c r="AC393" s="10">
        <f t="shared" si="27"/>
        <v>20.504849200000002</v>
      </c>
      <c r="AD393" s="10">
        <f t="shared" si="28"/>
        <v>0</v>
      </c>
      <c r="AE393" s="9">
        <f t="shared" si="29"/>
        <v>0</v>
      </c>
      <c r="AF393" s="9">
        <f t="shared" si="30"/>
        <v>6.7857199999999994E-3</v>
      </c>
      <c r="AG393" s="9">
        <f t="shared" si="31"/>
        <v>34</v>
      </c>
      <c r="AH393" s="11">
        <f t="shared" si="40"/>
        <v>0.53287859999999998</v>
      </c>
      <c r="AI393" s="11">
        <f t="shared" si="40"/>
        <v>0.1456934</v>
      </c>
      <c r="AJ393" s="11">
        <f t="shared" si="40"/>
        <v>20.504849200000002</v>
      </c>
      <c r="AK393" s="11">
        <f t="shared" si="40"/>
        <v>0</v>
      </c>
      <c r="AL393" s="11">
        <f t="shared" si="40"/>
        <v>0</v>
      </c>
      <c r="AM393" s="2"/>
      <c r="AN393" s="2"/>
      <c r="AO393" s="2"/>
    </row>
    <row r="394" spans="1:41" x14ac:dyDescent="0.2">
      <c r="A394" s="2" t="s">
        <v>825</v>
      </c>
      <c r="B394" s="2" t="s">
        <v>427</v>
      </c>
      <c r="C394" s="2" t="s">
        <v>38</v>
      </c>
      <c r="D394" s="2" t="s">
        <v>62</v>
      </c>
      <c r="E394" s="7" t="s">
        <v>40</v>
      </c>
      <c r="F394" s="2" t="s">
        <v>41</v>
      </c>
      <c r="G394" s="2" t="s">
        <v>500</v>
      </c>
      <c r="H394" s="2">
        <v>7.1</v>
      </c>
      <c r="I394" s="2">
        <v>3.4</v>
      </c>
      <c r="J394" s="2">
        <v>4.3</v>
      </c>
      <c r="K394" s="2">
        <v>48</v>
      </c>
      <c r="L394" s="2"/>
      <c r="M394" s="2">
        <v>0.75</v>
      </c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9">
        <f t="shared" si="25"/>
        <v>0.24139999999999998</v>
      </c>
      <c r="AB394" s="9">
        <f t="shared" si="26"/>
        <v>0.30529999999999996</v>
      </c>
      <c r="AC394" s="10">
        <f t="shared" si="27"/>
        <v>340.79999999999995</v>
      </c>
      <c r="AD394" s="10">
        <f t="shared" si="28"/>
        <v>5.3249999999999993</v>
      </c>
      <c r="AE394" s="9">
        <f t="shared" si="29"/>
        <v>0</v>
      </c>
      <c r="AF394" s="9">
        <f t="shared" si="30"/>
        <v>0.54669999999999996</v>
      </c>
      <c r="AG394" s="9">
        <f t="shared" si="31"/>
        <v>7.6999999999999993</v>
      </c>
      <c r="AH394" s="11">
        <f t="shared" si="40"/>
        <v>24.139999999999997</v>
      </c>
      <c r="AI394" s="11">
        <f t="shared" si="40"/>
        <v>30.529999999999998</v>
      </c>
      <c r="AJ394" s="11">
        <f t="shared" si="40"/>
        <v>340.79999999999995</v>
      </c>
      <c r="AK394" s="11">
        <f t="shared" si="40"/>
        <v>0</v>
      </c>
      <c r="AL394" s="11">
        <f t="shared" si="40"/>
        <v>5.3249999999999993</v>
      </c>
      <c r="AM394" s="2"/>
      <c r="AN394" s="2"/>
      <c r="AO394" s="2"/>
    </row>
    <row r="395" spans="1:41" x14ac:dyDescent="0.2">
      <c r="A395" s="2" t="s">
        <v>826</v>
      </c>
      <c r="B395" s="2" t="s">
        <v>427</v>
      </c>
      <c r="C395" s="2" t="s">
        <v>48</v>
      </c>
      <c r="D395" s="2"/>
      <c r="E395" s="2" t="s">
        <v>50</v>
      </c>
      <c r="F395" s="2" t="s">
        <v>434</v>
      </c>
      <c r="G395" s="2" t="s">
        <v>405</v>
      </c>
      <c r="H395" s="12">
        <f>0.559506+0.116048</f>
        <v>0.67555399999999999</v>
      </c>
      <c r="I395" s="2"/>
      <c r="J395" s="9">
        <f>(8.11*0.559506+4.55*0.116048)/$H395</f>
        <v>7.4984561707872333</v>
      </c>
      <c r="K395" s="13">
        <f>(62.18*0.559506+40.78*0.116048)/$H395</f>
        <v>58.503865745743482</v>
      </c>
      <c r="L395" s="9">
        <f>(0.52*0.559506+0.49*0.116048)/$H395</f>
        <v>0.51484654076506098</v>
      </c>
      <c r="M395" s="9">
        <f>(1.18*0.559506+0.73*0.116048)/$H395</f>
        <v>1.1026981114759145</v>
      </c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9">
        <f t="shared" si="25"/>
        <v>0</v>
      </c>
      <c r="AB395" s="9">
        <f t="shared" si="26"/>
        <v>5.0656120599999986E-2</v>
      </c>
      <c r="AC395" s="10">
        <f t="shared" si="27"/>
        <v>39.522520519999993</v>
      </c>
      <c r="AD395" s="10">
        <f t="shared" si="28"/>
        <v>0.74493211999999986</v>
      </c>
      <c r="AE395" s="9">
        <f t="shared" si="29"/>
        <v>3.4780663999999998E-3</v>
      </c>
      <c r="AF395" s="9">
        <f t="shared" si="30"/>
        <v>5.4134186999999986E-2</v>
      </c>
      <c r="AG395" s="9">
        <f t="shared" si="31"/>
        <v>8.0133027115522939</v>
      </c>
      <c r="AH395" s="11">
        <f t="shared" si="40"/>
        <v>0</v>
      </c>
      <c r="AI395" s="11">
        <f t="shared" si="40"/>
        <v>5.0656120599999985</v>
      </c>
      <c r="AJ395" s="11">
        <f t="shared" si="40"/>
        <v>39.522520519999993</v>
      </c>
      <c r="AK395" s="11">
        <f t="shared" si="40"/>
        <v>0.34780664</v>
      </c>
      <c r="AL395" s="11">
        <f t="shared" si="40"/>
        <v>0.74493211999999986</v>
      </c>
      <c r="AM395" s="2"/>
      <c r="AN395" s="2"/>
      <c r="AO395" s="2"/>
    </row>
    <row r="396" spans="1:41" x14ac:dyDescent="0.2">
      <c r="A396" s="2" t="s">
        <v>827</v>
      </c>
      <c r="B396" s="2" t="s">
        <v>427</v>
      </c>
      <c r="C396" s="2" t="s">
        <v>54</v>
      </c>
      <c r="D396" s="2"/>
      <c r="E396" s="7" t="s">
        <v>40</v>
      </c>
      <c r="F396" s="2" t="s">
        <v>567</v>
      </c>
      <c r="G396" s="2" t="s">
        <v>500</v>
      </c>
      <c r="H396" s="12">
        <v>0.352659</v>
      </c>
      <c r="I396" s="2">
        <v>3.18</v>
      </c>
      <c r="J396" s="9">
        <v>3.47</v>
      </c>
      <c r="K396" s="13">
        <v>606.16</v>
      </c>
      <c r="L396" s="9"/>
      <c r="M396" s="9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9">
        <f t="shared" si="25"/>
        <v>1.1214556200000001E-2</v>
      </c>
      <c r="AB396" s="9">
        <f t="shared" si="26"/>
        <v>1.22372673E-2</v>
      </c>
      <c r="AC396" s="10">
        <f t="shared" si="27"/>
        <v>213.76777944</v>
      </c>
      <c r="AD396" s="10">
        <f t="shared" si="28"/>
        <v>0</v>
      </c>
      <c r="AE396" s="9">
        <f t="shared" si="29"/>
        <v>0</v>
      </c>
      <c r="AF396" s="9">
        <f t="shared" si="30"/>
        <v>2.3451823500000003E-2</v>
      </c>
      <c r="AG396" s="9">
        <f t="shared" si="31"/>
        <v>6.65</v>
      </c>
      <c r="AH396" s="11">
        <f t="shared" si="40"/>
        <v>1.1214556200000001</v>
      </c>
      <c r="AI396" s="11">
        <f t="shared" si="40"/>
        <v>1.2237267300000001</v>
      </c>
      <c r="AJ396" s="11">
        <f t="shared" si="40"/>
        <v>213.76777944</v>
      </c>
      <c r="AK396" s="11">
        <f t="shared" si="40"/>
        <v>0</v>
      </c>
      <c r="AL396" s="11">
        <f t="shared" si="40"/>
        <v>0</v>
      </c>
      <c r="AM396" s="2"/>
      <c r="AN396" s="2"/>
      <c r="AO396" s="2"/>
    </row>
    <row r="397" spans="1:41" x14ac:dyDescent="0.2">
      <c r="A397" s="2" t="s">
        <v>828</v>
      </c>
      <c r="B397" s="2" t="s">
        <v>427</v>
      </c>
      <c r="C397" s="2" t="s">
        <v>38</v>
      </c>
      <c r="D397" s="2" t="s">
        <v>62</v>
      </c>
      <c r="E397" s="2" t="s">
        <v>50</v>
      </c>
      <c r="F397" s="2" t="s">
        <v>63</v>
      </c>
      <c r="G397" s="2" t="s">
        <v>64</v>
      </c>
      <c r="H397" s="2">
        <f>2.8+0.4</f>
        <v>3.1999999999999997</v>
      </c>
      <c r="I397" s="9">
        <f>(1.16*2.8+1.3*0.4)/$H397</f>
        <v>1.1775</v>
      </c>
      <c r="J397" s="9">
        <f>(4.22*2.8+5.3*0.4)/$H397</f>
        <v>4.3550000000000004</v>
      </c>
      <c r="K397" s="13">
        <f>(52.6*2.8+56*0.4)/$H397</f>
        <v>53.025000000000006</v>
      </c>
      <c r="L397" s="9">
        <f>(1.34*2.8+1.1*0.4)/$H397</f>
        <v>1.31</v>
      </c>
      <c r="M397" s="9">
        <f>(0.91*2.8+1.1*0.4)/$H397</f>
        <v>0.93375000000000008</v>
      </c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9">
        <f t="shared" si="25"/>
        <v>3.7679999999999998E-2</v>
      </c>
      <c r="AB397" s="9">
        <f t="shared" si="26"/>
        <v>0.13936000000000001</v>
      </c>
      <c r="AC397" s="10">
        <f t="shared" si="27"/>
        <v>169.68</v>
      </c>
      <c r="AD397" s="10">
        <f t="shared" si="28"/>
        <v>2.988</v>
      </c>
      <c r="AE397" s="9">
        <f t="shared" si="29"/>
        <v>4.1919999999999999E-2</v>
      </c>
      <c r="AF397" s="9">
        <f t="shared" si="30"/>
        <v>0.21895999999999999</v>
      </c>
      <c r="AG397" s="9">
        <f t="shared" si="31"/>
        <v>6.8425000000000011</v>
      </c>
      <c r="AH397" s="11">
        <f t="shared" si="40"/>
        <v>3.7679999999999998</v>
      </c>
      <c r="AI397" s="11">
        <f t="shared" si="40"/>
        <v>13.936</v>
      </c>
      <c r="AJ397" s="11">
        <f t="shared" si="40"/>
        <v>169.68</v>
      </c>
      <c r="AK397" s="11">
        <f t="shared" si="40"/>
        <v>4.1920000000000002</v>
      </c>
      <c r="AL397" s="11">
        <f t="shared" si="40"/>
        <v>2.988</v>
      </c>
      <c r="AM397" s="2"/>
      <c r="AN397" s="2"/>
      <c r="AO397" s="2"/>
    </row>
    <row r="398" spans="1:41" x14ac:dyDescent="0.2">
      <c r="A398" s="2" t="s">
        <v>829</v>
      </c>
      <c r="B398" s="2" t="s">
        <v>427</v>
      </c>
      <c r="C398" s="2" t="s">
        <v>54</v>
      </c>
      <c r="D398" s="2"/>
      <c r="E398" s="7" t="s">
        <v>40</v>
      </c>
      <c r="F398" s="2" t="s">
        <v>830</v>
      </c>
      <c r="G398" s="2" t="s">
        <v>615</v>
      </c>
      <c r="H398" s="2">
        <v>1.3</v>
      </c>
      <c r="I398" s="2">
        <v>3.12</v>
      </c>
      <c r="J398" s="2">
        <v>3.12</v>
      </c>
      <c r="K398" s="2">
        <v>36.299999999999997</v>
      </c>
      <c r="L398" s="2">
        <v>0.11</v>
      </c>
      <c r="M398" s="2">
        <v>2.2000000000000002</v>
      </c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9">
        <f t="shared" si="25"/>
        <v>4.0559999999999999E-2</v>
      </c>
      <c r="AB398" s="9">
        <f t="shared" si="26"/>
        <v>4.0559999999999999E-2</v>
      </c>
      <c r="AC398" s="10">
        <f t="shared" si="27"/>
        <v>47.19</v>
      </c>
      <c r="AD398" s="10">
        <f t="shared" si="28"/>
        <v>2.8600000000000003</v>
      </c>
      <c r="AE398" s="9">
        <f t="shared" si="29"/>
        <v>1.4300000000000001E-3</v>
      </c>
      <c r="AF398" s="9">
        <f t="shared" si="30"/>
        <v>8.2549999999999998E-2</v>
      </c>
      <c r="AG398" s="9">
        <f t="shared" si="31"/>
        <v>6.3500000000000005</v>
      </c>
      <c r="AH398" s="11">
        <f t="shared" si="40"/>
        <v>4.056</v>
      </c>
      <c r="AI398" s="11">
        <f t="shared" si="40"/>
        <v>4.056</v>
      </c>
      <c r="AJ398" s="11">
        <f t="shared" si="40"/>
        <v>47.19</v>
      </c>
      <c r="AK398" s="11">
        <f t="shared" si="40"/>
        <v>0.14300000000000002</v>
      </c>
      <c r="AL398" s="11">
        <f t="shared" si="40"/>
        <v>2.8600000000000003</v>
      </c>
      <c r="AM398" s="2"/>
      <c r="AN398" s="2"/>
      <c r="AO398" s="2"/>
    </row>
    <row r="399" spans="1:41" x14ac:dyDescent="0.2">
      <c r="A399" s="2" t="s">
        <v>831</v>
      </c>
      <c r="B399" s="2" t="s">
        <v>427</v>
      </c>
      <c r="C399" s="2" t="s">
        <v>54</v>
      </c>
      <c r="D399" s="2"/>
      <c r="E399" s="7" t="s">
        <v>40</v>
      </c>
      <c r="F399" s="2" t="s">
        <v>41</v>
      </c>
      <c r="G399" s="2" t="s">
        <v>438</v>
      </c>
      <c r="H399" s="2">
        <v>0.02</v>
      </c>
      <c r="I399" s="2">
        <v>4.4000000000000004</v>
      </c>
      <c r="J399" s="2">
        <v>2.2000000000000002</v>
      </c>
      <c r="K399" s="15">
        <v>2948.4</v>
      </c>
      <c r="L399" s="2"/>
      <c r="M399" s="2">
        <v>1.19</v>
      </c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9">
        <f t="shared" si="25"/>
        <v>8.8000000000000014E-4</v>
      </c>
      <c r="AB399" s="9">
        <f t="shared" si="26"/>
        <v>4.4000000000000007E-4</v>
      </c>
      <c r="AC399" s="10">
        <f t="shared" si="27"/>
        <v>58.968000000000004</v>
      </c>
      <c r="AD399" s="10">
        <f t="shared" si="28"/>
        <v>2.3799999999999998E-2</v>
      </c>
      <c r="AE399" s="9">
        <f t="shared" si="29"/>
        <v>0</v>
      </c>
      <c r="AF399" s="9">
        <f t="shared" si="30"/>
        <v>1.3200000000000002E-3</v>
      </c>
      <c r="AG399" s="9">
        <f t="shared" si="31"/>
        <v>6.6000000000000005</v>
      </c>
      <c r="AH399" s="11">
        <f t="shared" si="40"/>
        <v>8.8000000000000009E-2</v>
      </c>
      <c r="AI399" s="11">
        <f t="shared" si="40"/>
        <v>4.4000000000000004E-2</v>
      </c>
      <c r="AJ399" s="11">
        <f t="shared" si="40"/>
        <v>58.968000000000004</v>
      </c>
      <c r="AK399" s="11">
        <f t="shared" si="40"/>
        <v>0</v>
      </c>
      <c r="AL399" s="11">
        <f t="shared" si="40"/>
        <v>2.3799999999999998E-2</v>
      </c>
      <c r="AM399" s="2"/>
      <c r="AN399" s="2"/>
      <c r="AO399" s="2"/>
    </row>
    <row r="400" spans="1:41" x14ac:dyDescent="0.2">
      <c r="A400" s="2" t="s">
        <v>832</v>
      </c>
      <c r="B400" s="2" t="s">
        <v>427</v>
      </c>
      <c r="C400" s="2" t="s">
        <v>38</v>
      </c>
      <c r="D400" s="2" t="s">
        <v>62</v>
      </c>
      <c r="E400" s="7" t="s">
        <v>40</v>
      </c>
      <c r="F400" s="2" t="s">
        <v>41</v>
      </c>
      <c r="G400" s="8" t="s">
        <v>833</v>
      </c>
      <c r="H400" s="12">
        <v>0.5</v>
      </c>
      <c r="I400" s="2">
        <v>2.7</v>
      </c>
      <c r="J400" s="2">
        <v>3.5</v>
      </c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9">
        <f t="shared" si="25"/>
        <v>1.3500000000000002E-2</v>
      </c>
      <c r="AB400" s="9">
        <f t="shared" si="26"/>
        <v>1.7500000000000002E-2</v>
      </c>
      <c r="AC400" s="10">
        <f t="shared" si="27"/>
        <v>0</v>
      </c>
      <c r="AD400" s="10">
        <f t="shared" si="28"/>
        <v>0</v>
      </c>
      <c r="AE400" s="9">
        <f t="shared" si="29"/>
        <v>0</v>
      </c>
      <c r="AF400" s="9">
        <f t="shared" si="30"/>
        <v>3.1000000000000003E-2</v>
      </c>
      <c r="AG400" s="9">
        <f t="shared" si="31"/>
        <v>6.2</v>
      </c>
      <c r="AH400" s="11">
        <f t="shared" si="40"/>
        <v>1.35</v>
      </c>
      <c r="AI400" s="11">
        <f t="shared" si="40"/>
        <v>1.75</v>
      </c>
      <c r="AJ400" s="11">
        <f t="shared" si="40"/>
        <v>0</v>
      </c>
      <c r="AK400" s="11">
        <f t="shared" si="40"/>
        <v>0</v>
      </c>
      <c r="AL400" s="11">
        <f t="shared" si="40"/>
        <v>0</v>
      </c>
      <c r="AM400" s="2"/>
      <c r="AN400" s="2"/>
      <c r="AO400" s="2"/>
    </row>
    <row r="401" spans="1:41" x14ac:dyDescent="0.2">
      <c r="A401" s="2" t="s">
        <v>834</v>
      </c>
      <c r="B401" s="2" t="s">
        <v>427</v>
      </c>
      <c r="C401" s="2" t="s">
        <v>48</v>
      </c>
      <c r="D401" s="2"/>
      <c r="E401" s="7" t="s">
        <v>40</v>
      </c>
      <c r="F401" s="2" t="s">
        <v>835</v>
      </c>
      <c r="G401" s="2" t="s">
        <v>615</v>
      </c>
      <c r="H401" s="2">
        <f>0.53+0.6</f>
        <v>1.1299999999999999</v>
      </c>
      <c r="I401" s="2"/>
      <c r="J401" s="13">
        <f>(0.4*0.53+0.2*0.6)/$H401</f>
        <v>0.2938053097345133</v>
      </c>
      <c r="K401" s="13">
        <f>(9.2*0.53+30*0.6)/$H401</f>
        <v>20.244247787610618</v>
      </c>
      <c r="L401" s="13">
        <f>(3.4*0.53+3.3*0.6)/$H401</f>
        <v>3.3469026548672569</v>
      </c>
      <c r="M401" s="13">
        <f>(1.4*0.53+0.3*0.6)/$H401</f>
        <v>0.81592920353982301</v>
      </c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9">
        <f t="shared" si="25"/>
        <v>0</v>
      </c>
      <c r="AB401" s="9">
        <f t="shared" si="26"/>
        <v>3.32E-3</v>
      </c>
      <c r="AC401" s="10">
        <f t="shared" si="27"/>
        <v>22.875999999999998</v>
      </c>
      <c r="AD401" s="10">
        <f t="shared" si="28"/>
        <v>0.92199999999999993</v>
      </c>
      <c r="AE401" s="9">
        <f t="shared" si="29"/>
        <v>3.7819999999999999E-2</v>
      </c>
      <c r="AF401" s="9">
        <f t="shared" si="30"/>
        <v>4.1139999999999996E-2</v>
      </c>
      <c r="AG401" s="9">
        <f t="shared" si="31"/>
        <v>3.6407079646017704</v>
      </c>
      <c r="AH401" s="11">
        <f t="shared" si="40"/>
        <v>0</v>
      </c>
      <c r="AI401" s="11">
        <f t="shared" si="40"/>
        <v>0.33200000000000002</v>
      </c>
      <c r="AJ401" s="11">
        <f t="shared" si="40"/>
        <v>22.875999999999998</v>
      </c>
      <c r="AK401" s="11">
        <f t="shared" si="40"/>
        <v>3.782</v>
      </c>
      <c r="AL401" s="11">
        <f t="shared" si="40"/>
        <v>0.92199999999999993</v>
      </c>
      <c r="AM401" s="2"/>
      <c r="AN401" s="2"/>
      <c r="AO401" s="2"/>
    </row>
    <row r="402" spans="1:41" x14ac:dyDescent="0.2">
      <c r="A402" s="2" t="s">
        <v>836</v>
      </c>
      <c r="B402" s="2" t="s">
        <v>427</v>
      </c>
      <c r="C402" s="2" t="s">
        <v>48</v>
      </c>
      <c r="D402" s="2"/>
      <c r="E402" s="2" t="s">
        <v>50</v>
      </c>
      <c r="F402" s="2" t="s">
        <v>602</v>
      </c>
      <c r="G402" s="2" t="s">
        <v>603</v>
      </c>
      <c r="H402" s="2">
        <f>2.777+0.446</f>
        <v>3.2230000000000003</v>
      </c>
      <c r="I402" s="2"/>
      <c r="J402" s="9">
        <f>(0.3*2.777+0.43*0.446)/$H402</f>
        <v>0.3179894508222153</v>
      </c>
      <c r="K402" s="9">
        <f>(7.53*2.777+5.06*0.446)/$H402</f>
        <v>7.1882004343779089</v>
      </c>
      <c r="L402" s="9">
        <f>(1.94*2.777+1.12*0.446)/$H402</f>
        <v>1.8265280794291034</v>
      </c>
      <c r="M402" s="9">
        <f>(1.88*2.777+2.11*0.446)/$H402</f>
        <v>1.9118274899162271</v>
      </c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9">
        <f t="shared" si="25"/>
        <v>0</v>
      </c>
      <c r="AB402" s="9">
        <f t="shared" si="26"/>
        <v>1.0248800000000001E-2</v>
      </c>
      <c r="AC402" s="10">
        <f t="shared" si="27"/>
        <v>23.167570000000001</v>
      </c>
      <c r="AD402" s="10">
        <f t="shared" si="28"/>
        <v>6.1618200000000005</v>
      </c>
      <c r="AE402" s="9">
        <f t="shared" si="29"/>
        <v>5.8869000000000005E-2</v>
      </c>
      <c r="AF402" s="9">
        <f t="shared" si="30"/>
        <v>6.9117800000000007E-2</v>
      </c>
      <c r="AG402" s="9">
        <f t="shared" si="31"/>
        <v>2.1445175302513189</v>
      </c>
      <c r="AH402" s="11">
        <f t="shared" ref="AH402:AL417" si="41">$H402*I402</f>
        <v>0</v>
      </c>
      <c r="AI402" s="11">
        <f t="shared" si="41"/>
        <v>1.02488</v>
      </c>
      <c r="AJ402" s="11">
        <f t="shared" si="41"/>
        <v>23.167570000000001</v>
      </c>
      <c r="AK402" s="11">
        <f t="shared" si="41"/>
        <v>5.8869000000000007</v>
      </c>
      <c r="AL402" s="11">
        <f t="shared" si="41"/>
        <v>6.1618200000000005</v>
      </c>
      <c r="AM402" s="2"/>
      <c r="AN402" s="2"/>
      <c r="AO402" s="2"/>
    </row>
    <row r="403" spans="1:41" x14ac:dyDescent="0.2">
      <c r="A403" s="2" t="s">
        <v>837</v>
      </c>
      <c r="B403" s="2" t="s">
        <v>427</v>
      </c>
      <c r="C403" s="2" t="s">
        <v>48</v>
      </c>
      <c r="D403" s="2"/>
      <c r="E403" s="7" t="s">
        <v>40</v>
      </c>
      <c r="F403" s="2" t="s">
        <v>540</v>
      </c>
      <c r="G403" s="2" t="s">
        <v>500</v>
      </c>
      <c r="H403" s="2">
        <v>4.0999999999999996</v>
      </c>
      <c r="I403" s="2">
        <v>1.8</v>
      </c>
      <c r="J403" s="2">
        <v>6.2</v>
      </c>
      <c r="K403" s="2">
        <v>84</v>
      </c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9">
        <f t="shared" si="25"/>
        <v>7.3800000000000004E-2</v>
      </c>
      <c r="AB403" s="9">
        <f t="shared" si="26"/>
        <v>0.25419999999999998</v>
      </c>
      <c r="AC403" s="10">
        <f t="shared" si="27"/>
        <v>344.4</v>
      </c>
      <c r="AD403" s="10">
        <f t="shared" si="28"/>
        <v>0</v>
      </c>
      <c r="AE403" s="9">
        <f t="shared" si="29"/>
        <v>0</v>
      </c>
      <c r="AF403" s="9">
        <f t="shared" si="30"/>
        <v>0.32799999999999996</v>
      </c>
      <c r="AG403" s="9">
        <f t="shared" si="31"/>
        <v>8</v>
      </c>
      <c r="AH403" s="11">
        <f t="shared" si="41"/>
        <v>7.38</v>
      </c>
      <c r="AI403" s="11">
        <f t="shared" si="41"/>
        <v>25.419999999999998</v>
      </c>
      <c r="AJ403" s="11">
        <f t="shared" si="41"/>
        <v>344.4</v>
      </c>
      <c r="AK403" s="11">
        <f t="shared" si="41"/>
        <v>0</v>
      </c>
      <c r="AL403" s="11">
        <f t="shared" si="41"/>
        <v>0</v>
      </c>
      <c r="AM403" s="2"/>
      <c r="AN403" s="2"/>
      <c r="AO403" s="2"/>
    </row>
    <row r="404" spans="1:41" x14ac:dyDescent="0.2">
      <c r="A404" s="2" t="s">
        <v>838</v>
      </c>
      <c r="B404" s="2" t="s">
        <v>427</v>
      </c>
      <c r="C404" s="2" t="s">
        <v>48</v>
      </c>
      <c r="D404" s="2"/>
      <c r="E404" s="2" t="s">
        <v>50</v>
      </c>
      <c r="F404" s="2" t="s">
        <v>669</v>
      </c>
      <c r="G404" s="2" t="s">
        <v>839</v>
      </c>
      <c r="H404" s="2">
        <f>0.493+3.968+1.693</f>
        <v>6.1539999999999999</v>
      </c>
      <c r="I404" s="9">
        <f>(1.48*0.493+1.58*3.968+1.74*1.693)/$H404</f>
        <v>1.6160058498537537</v>
      </c>
      <c r="J404" s="9">
        <f>(12.44*0.493+12.1*3.968+12.16*1.693)/$H404</f>
        <v>12.143743906402339</v>
      </c>
      <c r="K404" s="13">
        <f>(298.8*0.493+361.8*3.968+385.4*1.693)/$H404</f>
        <v>363.24553136171596</v>
      </c>
      <c r="L404" s="9">
        <f>(1.18*0.493+1.16*3.968+1.23*1.693)/$H404</f>
        <v>1.1808596035099124</v>
      </c>
      <c r="M404" s="9">
        <f>(1.5*0.493+1.72*3.968+1.71*1.693)/$H404</f>
        <v>1.6996246343841406</v>
      </c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9">
        <f t="shared" si="25"/>
        <v>9.944900000000001E-2</v>
      </c>
      <c r="AB404" s="9">
        <f t="shared" si="26"/>
        <v>0.74732599999999993</v>
      </c>
      <c r="AC404" s="10">
        <f t="shared" si="27"/>
        <v>2235.413</v>
      </c>
      <c r="AD404" s="10">
        <f t="shared" si="28"/>
        <v>10.459490000000001</v>
      </c>
      <c r="AE404" s="9">
        <f t="shared" si="29"/>
        <v>7.2670100000000015E-2</v>
      </c>
      <c r="AF404" s="9">
        <f t="shared" si="30"/>
        <v>0.9194450999999999</v>
      </c>
      <c r="AG404" s="9">
        <f t="shared" si="31"/>
        <v>14.940609359766004</v>
      </c>
      <c r="AH404" s="11">
        <f t="shared" si="41"/>
        <v>9.9449000000000005</v>
      </c>
      <c r="AI404" s="11">
        <f t="shared" si="41"/>
        <v>74.732599999999991</v>
      </c>
      <c r="AJ404" s="11">
        <f t="shared" si="41"/>
        <v>2235.413</v>
      </c>
      <c r="AK404" s="11">
        <f t="shared" si="41"/>
        <v>7.2670100000000009</v>
      </c>
      <c r="AL404" s="11">
        <f t="shared" si="41"/>
        <v>10.459490000000001</v>
      </c>
      <c r="AM404" s="2"/>
      <c r="AN404" s="2"/>
      <c r="AO404" s="2"/>
    </row>
    <row r="405" spans="1:41" x14ac:dyDescent="0.2">
      <c r="A405" s="2" t="s">
        <v>840</v>
      </c>
      <c r="B405" s="2" t="s">
        <v>427</v>
      </c>
      <c r="C405" s="2" t="s">
        <v>38</v>
      </c>
      <c r="D405" s="2" t="s">
        <v>39</v>
      </c>
      <c r="E405" s="2" t="s">
        <v>50</v>
      </c>
      <c r="F405" s="2" t="s">
        <v>841</v>
      </c>
      <c r="G405" s="2" t="s">
        <v>731</v>
      </c>
      <c r="H405" s="2">
        <f>0.495+0.667+0.394+2.442+4.408+2.208+0.21</f>
        <v>10.824000000000002</v>
      </c>
      <c r="I405" s="9">
        <f>(1.24*0.495+1.26*0.667+1.2*0.394+1.32*2.442+1.14*4.408+1.07*2.208+0.36*0.21)/$H405</f>
        <v>1.1653492239467846</v>
      </c>
      <c r="J405" s="9">
        <f>(7.47*0.495+3.22*0.667+3.43*0.394+7.2*2.442+3.01*4.408+2.76*2.208+3.72*0.21)/$H405</f>
        <v>4.1502743902439017</v>
      </c>
      <c r="K405" s="13">
        <f>(8.2*0.495+9.81*0.667+4.63*0.394+8.07*2.442+9.04*4.408+4.16*2.208+2.89*0.21)/$H405</f>
        <v>7.554871581670362</v>
      </c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9">
        <f t="shared" si="25"/>
        <v>0.12613739999999998</v>
      </c>
      <c r="AB405" s="9">
        <f t="shared" si="26"/>
        <v>0.44922570000000001</v>
      </c>
      <c r="AC405" s="10">
        <f t="shared" si="27"/>
        <v>81.773930000000007</v>
      </c>
      <c r="AD405" s="10">
        <f t="shared" si="28"/>
        <v>0</v>
      </c>
      <c r="AE405" s="9">
        <f t="shared" si="29"/>
        <v>0</v>
      </c>
      <c r="AF405" s="9">
        <f t="shared" si="30"/>
        <v>0.57536310000000002</v>
      </c>
      <c r="AG405" s="9">
        <f t="shared" si="31"/>
        <v>5.3156236141906863</v>
      </c>
      <c r="AH405" s="11">
        <f t="shared" si="41"/>
        <v>12.613739999999998</v>
      </c>
      <c r="AI405" s="11">
        <f t="shared" si="41"/>
        <v>44.92257</v>
      </c>
      <c r="AJ405" s="11">
        <f t="shared" si="41"/>
        <v>81.773930000000007</v>
      </c>
      <c r="AK405" s="11">
        <f t="shared" si="41"/>
        <v>0</v>
      </c>
      <c r="AL405" s="11">
        <f t="shared" si="41"/>
        <v>0</v>
      </c>
      <c r="AM405" s="2"/>
      <c r="AN405" s="2"/>
      <c r="AO405" s="2"/>
    </row>
    <row r="406" spans="1:41" x14ac:dyDescent="0.2">
      <c r="A406" s="2" t="s">
        <v>842</v>
      </c>
      <c r="B406" s="2" t="s">
        <v>427</v>
      </c>
      <c r="C406" s="2" t="s">
        <v>618</v>
      </c>
      <c r="D406" s="2"/>
      <c r="E406" s="7" t="s">
        <v>40</v>
      </c>
      <c r="F406" s="2" t="s">
        <v>843</v>
      </c>
      <c r="G406" s="2" t="s">
        <v>735</v>
      </c>
      <c r="H406" s="2">
        <v>1.3</v>
      </c>
      <c r="I406" s="2">
        <v>1.6</v>
      </c>
      <c r="J406" s="2">
        <v>4.96</v>
      </c>
      <c r="K406" s="14">
        <f>3.42*31.1/0.9072</f>
        <v>117.24206349206351</v>
      </c>
      <c r="L406" s="2">
        <v>1.03</v>
      </c>
      <c r="M406" s="9">
        <f>0.008*31.1/0.9072</f>
        <v>0.2742504409171076</v>
      </c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9">
        <f t="shared" si="25"/>
        <v>2.0799999999999999E-2</v>
      </c>
      <c r="AB406" s="9">
        <f t="shared" si="26"/>
        <v>6.448000000000001E-2</v>
      </c>
      <c r="AC406" s="10">
        <f t="shared" si="27"/>
        <v>152.41468253968256</v>
      </c>
      <c r="AD406" s="10">
        <f t="shared" si="28"/>
        <v>0.35652557319223988</v>
      </c>
      <c r="AE406" s="9">
        <f t="shared" si="29"/>
        <v>1.3390000000000003E-2</v>
      </c>
      <c r="AF406" s="9">
        <f t="shared" si="30"/>
        <v>9.8670000000000008E-2</v>
      </c>
      <c r="AG406" s="9">
        <f t="shared" si="31"/>
        <v>7.5900000000000007</v>
      </c>
      <c r="AH406" s="11">
        <f t="shared" si="41"/>
        <v>2.08</v>
      </c>
      <c r="AI406" s="11">
        <f t="shared" si="41"/>
        <v>6.4480000000000004</v>
      </c>
      <c r="AJ406" s="11">
        <f t="shared" si="41"/>
        <v>152.41468253968256</v>
      </c>
      <c r="AK406" s="11">
        <f t="shared" si="41"/>
        <v>1.3390000000000002</v>
      </c>
      <c r="AL406" s="11">
        <f t="shared" si="41"/>
        <v>0.35652557319223988</v>
      </c>
      <c r="AM406" s="2"/>
      <c r="AN406" s="2"/>
      <c r="AO406" s="2"/>
    </row>
    <row r="407" spans="1:41" x14ac:dyDescent="0.2">
      <c r="A407" s="2" t="s">
        <v>844</v>
      </c>
      <c r="B407" s="2" t="s">
        <v>845</v>
      </c>
      <c r="C407" s="2" t="s">
        <v>54</v>
      </c>
      <c r="D407" s="2" t="s">
        <v>73</v>
      </c>
      <c r="E407" s="2" t="s">
        <v>50</v>
      </c>
      <c r="F407" s="2" t="s">
        <v>846</v>
      </c>
      <c r="G407" s="2" t="s">
        <v>847</v>
      </c>
      <c r="H407" s="2">
        <f>5.5+0.15+0.45+0.37</f>
        <v>6.4700000000000006</v>
      </c>
      <c r="I407" s="2"/>
      <c r="J407" s="9">
        <f>(0.21*5.5+0.51*0.15+0.13*0.45+0.34*0.37)/$H407</f>
        <v>0.21882534775888715</v>
      </c>
      <c r="K407" s="14">
        <f>(99*5.5+188*0.15+61*0.45+180*0.37)/$H407</f>
        <v>103.05255023183926</v>
      </c>
      <c r="L407" s="2"/>
      <c r="M407" s="9">
        <f>(0.13*5.5+0.21*0.15+0.07*0.45+0.19*0.37)/$H407</f>
        <v>0.131112828438949</v>
      </c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9">
        <f t="shared" si="25"/>
        <v>0</v>
      </c>
      <c r="AB407" s="9">
        <f t="shared" si="26"/>
        <v>1.4157999999999999E-2</v>
      </c>
      <c r="AC407" s="10">
        <f t="shared" si="27"/>
        <v>666.75000000000011</v>
      </c>
      <c r="AD407" s="10">
        <f t="shared" si="28"/>
        <v>0.84830000000000017</v>
      </c>
      <c r="AE407" s="9">
        <f t="shared" si="29"/>
        <v>0</v>
      </c>
      <c r="AF407" s="9">
        <f t="shared" si="30"/>
        <v>1.4157999999999999E-2</v>
      </c>
      <c r="AG407" s="9">
        <f t="shared" si="31"/>
        <v>0.21882534775888715</v>
      </c>
      <c r="AH407" s="11">
        <f t="shared" si="41"/>
        <v>0</v>
      </c>
      <c r="AI407" s="11">
        <f t="shared" si="41"/>
        <v>1.4157999999999999</v>
      </c>
      <c r="AJ407" s="11">
        <f t="shared" si="41"/>
        <v>666.75000000000011</v>
      </c>
      <c r="AK407" s="11">
        <f t="shared" si="41"/>
        <v>0</v>
      </c>
      <c r="AL407" s="11">
        <f t="shared" si="41"/>
        <v>0.84830000000000017</v>
      </c>
      <c r="AM407" s="2"/>
      <c r="AN407" s="2"/>
      <c r="AO407" s="2"/>
    </row>
    <row r="408" spans="1:41" x14ac:dyDescent="0.2">
      <c r="A408" s="2" t="s">
        <v>848</v>
      </c>
      <c r="B408" s="2" t="s">
        <v>845</v>
      </c>
      <c r="C408" s="2" t="s">
        <v>849</v>
      </c>
      <c r="D408" s="2" t="s">
        <v>850</v>
      </c>
      <c r="E408" s="2" t="s">
        <v>50</v>
      </c>
      <c r="F408" s="2" t="s">
        <v>657</v>
      </c>
      <c r="G408" s="2" t="s">
        <v>64</v>
      </c>
      <c r="H408" s="9">
        <f>1.99+5.52+3.69</f>
        <v>11.2</v>
      </c>
      <c r="I408" s="9">
        <f>(0.28*1.99+0.38*5.52+0.41*3.69)/$H408</f>
        <v>0.37211607142857145</v>
      </c>
      <c r="J408" s="9">
        <f>(6.64*1.99+5.51*5.52+4.26*3.69)/$H408</f>
        <v>5.2989464285714289</v>
      </c>
      <c r="K408" s="13">
        <f>(12.32*1.99+11.62*5.52+17.38*3.69)/$H408</f>
        <v>13.642089285714288</v>
      </c>
      <c r="L408" s="2"/>
      <c r="M408" s="9">
        <f>(2.45*1.99+0.98*5.52+0.74*3.69)/$H408</f>
        <v>1.1621160714285714</v>
      </c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9">
        <f t="shared" si="25"/>
        <v>4.1676999999999999E-2</v>
      </c>
      <c r="AB408" s="9">
        <f t="shared" si="26"/>
        <v>0.59348199999999995</v>
      </c>
      <c r="AC408" s="10">
        <f t="shared" si="27"/>
        <v>152.79140000000001</v>
      </c>
      <c r="AD408" s="10">
        <f t="shared" si="28"/>
        <v>13.015699999999999</v>
      </c>
      <c r="AE408" s="9">
        <f t="shared" si="29"/>
        <v>0</v>
      </c>
      <c r="AF408" s="9">
        <f t="shared" si="30"/>
        <v>0.63515899999999992</v>
      </c>
      <c r="AG408" s="9">
        <f t="shared" si="31"/>
        <v>5.6710625000000006</v>
      </c>
      <c r="AH408" s="11">
        <f t="shared" si="41"/>
        <v>4.1677</v>
      </c>
      <c r="AI408" s="11">
        <f t="shared" si="41"/>
        <v>59.348199999999999</v>
      </c>
      <c r="AJ408" s="11">
        <f t="shared" si="41"/>
        <v>152.79140000000001</v>
      </c>
      <c r="AK408" s="11">
        <f t="shared" si="41"/>
        <v>0</v>
      </c>
      <c r="AL408" s="11">
        <f t="shared" si="41"/>
        <v>13.015699999999999</v>
      </c>
      <c r="AM408" s="2"/>
      <c r="AN408" s="2"/>
      <c r="AO408" s="2"/>
    </row>
    <row r="409" spans="1:41" x14ac:dyDescent="0.2">
      <c r="A409" s="2" t="s">
        <v>851</v>
      </c>
      <c r="B409" s="2" t="s">
        <v>845</v>
      </c>
      <c r="C409" s="2" t="s">
        <v>54</v>
      </c>
      <c r="D409" s="2" t="s">
        <v>77</v>
      </c>
      <c r="E409" s="2" t="s">
        <v>50</v>
      </c>
      <c r="F409" s="2" t="s">
        <v>852</v>
      </c>
      <c r="G409" s="2" t="s">
        <v>106</v>
      </c>
      <c r="H409" s="2">
        <f>1.905+2.48+5.008</f>
        <v>9.3930000000000007</v>
      </c>
      <c r="I409" s="2"/>
      <c r="J409" s="9">
        <f>(1.63*1.905+1.74*2.48+1.62*5.008)/$H409</f>
        <v>1.6537112743532416</v>
      </c>
      <c r="K409" s="13">
        <f>(38.6*1.905+26.2*2.48+37.4*5.008)/$H409</f>
        <v>34.68627701479825</v>
      </c>
      <c r="L409" s="2"/>
      <c r="M409" s="9">
        <f>(5.97*1.905+4.92*2.48+5.63*5.008)/$H409</f>
        <v>5.5114968593633549</v>
      </c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9">
        <f t="shared" si="25"/>
        <v>0</v>
      </c>
      <c r="AB409" s="9">
        <f t="shared" si="26"/>
        <v>0.1553331</v>
      </c>
      <c r="AC409" s="10">
        <f t="shared" si="27"/>
        <v>325.8082</v>
      </c>
      <c r="AD409" s="10">
        <f t="shared" si="28"/>
        <v>51.769489999999998</v>
      </c>
      <c r="AE409" s="9">
        <f t="shared" si="29"/>
        <v>0</v>
      </c>
      <c r="AF409" s="9">
        <f t="shared" si="30"/>
        <v>0.1553331</v>
      </c>
      <c r="AG409" s="9">
        <f t="shared" si="31"/>
        <v>1.6537112743532416</v>
      </c>
      <c r="AH409" s="11">
        <f t="shared" si="41"/>
        <v>0</v>
      </c>
      <c r="AI409" s="11">
        <f t="shared" si="41"/>
        <v>15.53331</v>
      </c>
      <c r="AJ409" s="11">
        <f t="shared" si="41"/>
        <v>325.8082</v>
      </c>
      <c r="AK409" s="11">
        <f t="shared" si="41"/>
        <v>0</v>
      </c>
      <c r="AL409" s="11">
        <f t="shared" si="41"/>
        <v>51.769489999999998</v>
      </c>
      <c r="AM409" s="2"/>
      <c r="AN409" s="2"/>
      <c r="AO409" s="2"/>
    </row>
    <row r="410" spans="1:41" x14ac:dyDescent="0.2">
      <c r="A410" s="2" t="s">
        <v>853</v>
      </c>
      <c r="B410" s="2" t="s">
        <v>845</v>
      </c>
      <c r="C410" s="2" t="s">
        <v>54</v>
      </c>
      <c r="D410" s="2" t="s">
        <v>73</v>
      </c>
      <c r="E410" s="2" t="s">
        <v>50</v>
      </c>
      <c r="F410" s="2" t="s">
        <v>854</v>
      </c>
      <c r="G410" s="2" t="s">
        <v>615</v>
      </c>
      <c r="H410" s="9">
        <f>4.53+1.07</f>
        <v>5.6000000000000005</v>
      </c>
      <c r="I410" s="13">
        <f>(1.3*4.53+2.4*1.07)/$H410</f>
        <v>1.5101785714285714</v>
      </c>
      <c r="J410" s="13">
        <f>(3.7*4.53+7.2*1.07)/$H410</f>
        <v>4.3687500000000004</v>
      </c>
      <c r="K410" s="14">
        <f>(83*4.53+136*1.07)/$H410</f>
        <v>93.126785714285703</v>
      </c>
      <c r="L410" s="2"/>
      <c r="M410" s="13">
        <f>(0.2*4.53+0.3*1.07)/$H410</f>
        <v>0.21910714285714286</v>
      </c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9">
        <f t="shared" si="25"/>
        <v>8.4570000000000006E-2</v>
      </c>
      <c r="AB410" s="9">
        <f t="shared" si="26"/>
        <v>0.24465000000000003</v>
      </c>
      <c r="AC410" s="10">
        <f t="shared" si="27"/>
        <v>521.51</v>
      </c>
      <c r="AD410" s="10">
        <f t="shared" si="28"/>
        <v>1.2270000000000001</v>
      </c>
      <c r="AE410" s="9">
        <f t="shared" si="29"/>
        <v>0</v>
      </c>
      <c r="AF410" s="9">
        <f t="shared" si="30"/>
        <v>0.32922000000000007</v>
      </c>
      <c r="AG410" s="9">
        <f t="shared" si="31"/>
        <v>5.8789285714285722</v>
      </c>
      <c r="AH410" s="11">
        <f t="shared" si="41"/>
        <v>8.4570000000000007</v>
      </c>
      <c r="AI410" s="11">
        <f t="shared" si="41"/>
        <v>24.465000000000003</v>
      </c>
      <c r="AJ410" s="11">
        <f t="shared" si="41"/>
        <v>521.51</v>
      </c>
      <c r="AK410" s="11">
        <f t="shared" si="41"/>
        <v>0</v>
      </c>
      <c r="AL410" s="11">
        <f t="shared" si="41"/>
        <v>1.2270000000000001</v>
      </c>
      <c r="AM410" s="2"/>
      <c r="AN410" s="2"/>
      <c r="AO410" s="2"/>
    </row>
    <row r="411" spans="1:41" x14ac:dyDescent="0.2">
      <c r="A411" s="2" t="s">
        <v>855</v>
      </c>
      <c r="B411" s="2" t="s">
        <v>845</v>
      </c>
      <c r="C411" s="2" t="s">
        <v>66</v>
      </c>
      <c r="D411" s="2" t="s">
        <v>856</v>
      </c>
      <c r="E411" s="2" t="s">
        <v>50</v>
      </c>
      <c r="F411" s="2" t="s">
        <v>857</v>
      </c>
      <c r="G411" s="2" t="s">
        <v>858</v>
      </c>
      <c r="H411" s="12">
        <f>12.687399+15.203376</f>
        <v>27.890774999999998</v>
      </c>
      <c r="I411" s="9">
        <f>(0.25*12.687399+0.22*15.203376)/H411</f>
        <v>0.23364687678990637</v>
      </c>
      <c r="J411" s="9">
        <f>(0.85*12.687399+0.76*15.203376)/H411</f>
        <v>0.80094063036971919</v>
      </c>
      <c r="K411" s="9">
        <f>(8.34*12.687399+8.23*15.203376)/H411</f>
        <v>8.2800385482296566</v>
      </c>
      <c r="L411" s="9">
        <f>(0.07*12.687399+0.08*15.203376)/H411</f>
        <v>7.5451041070031227E-2</v>
      </c>
      <c r="M411" s="9">
        <f>(0.56*12.687399+0.51*15.203376)/H411</f>
        <v>0.53274479464984392</v>
      </c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9">
        <f t="shared" si="25"/>
        <v>6.5165924700000002E-2</v>
      </c>
      <c r="AB411" s="9">
        <f t="shared" si="26"/>
        <v>0.22338854910000003</v>
      </c>
      <c r="AC411" s="10">
        <f t="shared" si="27"/>
        <v>230.93669213999999</v>
      </c>
      <c r="AD411" s="10">
        <f t="shared" si="28"/>
        <v>14.858665199999999</v>
      </c>
      <c r="AE411" s="9">
        <f t="shared" si="29"/>
        <v>2.1043880100000002E-2</v>
      </c>
      <c r="AF411" s="9">
        <f t="shared" si="30"/>
        <v>0.30959835390000007</v>
      </c>
      <c r="AG411" s="9">
        <f t="shared" si="31"/>
        <v>1.1100385482296569</v>
      </c>
      <c r="AH411" s="11">
        <f t="shared" si="41"/>
        <v>6.51659247</v>
      </c>
      <c r="AI411" s="11">
        <f t="shared" si="41"/>
        <v>22.338854910000002</v>
      </c>
      <c r="AJ411" s="11">
        <f t="shared" si="41"/>
        <v>230.93669213999999</v>
      </c>
      <c r="AK411" s="11">
        <f t="shared" si="41"/>
        <v>2.1043880100000001</v>
      </c>
      <c r="AL411" s="11">
        <f t="shared" si="41"/>
        <v>14.858665199999999</v>
      </c>
      <c r="AM411" s="2"/>
      <c r="AN411" s="2"/>
      <c r="AO411" s="2"/>
    </row>
    <row r="412" spans="1:41" x14ac:dyDescent="0.2">
      <c r="A412" s="2" t="s">
        <v>859</v>
      </c>
      <c r="B412" s="2" t="s">
        <v>860</v>
      </c>
      <c r="C412" s="2" t="s">
        <v>54</v>
      </c>
      <c r="D412" s="2"/>
      <c r="E412" s="7" t="s">
        <v>40</v>
      </c>
      <c r="F412" s="2" t="s">
        <v>861</v>
      </c>
      <c r="G412" s="2" t="s">
        <v>862</v>
      </c>
      <c r="H412" s="2">
        <v>11.4</v>
      </c>
      <c r="I412" s="2">
        <v>2.2999999999999998</v>
      </c>
      <c r="J412" s="2">
        <v>3.3</v>
      </c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9">
        <f t="shared" si="25"/>
        <v>0.26219999999999999</v>
      </c>
      <c r="AB412" s="9">
        <f t="shared" si="26"/>
        <v>0.37619999999999998</v>
      </c>
      <c r="AC412" s="10">
        <f t="shared" si="27"/>
        <v>0</v>
      </c>
      <c r="AD412" s="10">
        <f t="shared" si="28"/>
        <v>0</v>
      </c>
      <c r="AE412" s="9">
        <f t="shared" si="29"/>
        <v>0</v>
      </c>
      <c r="AF412" s="9">
        <f t="shared" si="30"/>
        <v>0.63839999999999997</v>
      </c>
      <c r="AG412" s="9">
        <f t="shared" si="31"/>
        <v>5.6</v>
      </c>
      <c r="AH412" s="11">
        <f t="shared" si="41"/>
        <v>26.22</v>
      </c>
      <c r="AI412" s="11">
        <f t="shared" si="41"/>
        <v>37.619999999999997</v>
      </c>
      <c r="AJ412" s="11">
        <f t="shared" si="41"/>
        <v>0</v>
      </c>
      <c r="AK412" s="11">
        <f t="shared" si="41"/>
        <v>0</v>
      </c>
      <c r="AL412" s="11">
        <f t="shared" si="41"/>
        <v>0</v>
      </c>
      <c r="AM412" s="2"/>
      <c r="AN412" s="2"/>
      <c r="AO412" s="2"/>
    </row>
    <row r="413" spans="1:41" x14ac:dyDescent="0.2">
      <c r="A413" s="2" t="s">
        <v>863</v>
      </c>
      <c r="B413" s="2" t="s">
        <v>860</v>
      </c>
      <c r="C413" s="2" t="s">
        <v>157</v>
      </c>
      <c r="D413" s="2"/>
      <c r="E413" s="7" t="s">
        <v>40</v>
      </c>
      <c r="F413" s="2" t="s">
        <v>864</v>
      </c>
      <c r="G413" s="2" t="s">
        <v>865</v>
      </c>
      <c r="H413" s="2">
        <v>14.21</v>
      </c>
      <c r="I413" s="2">
        <v>1.97</v>
      </c>
      <c r="J413" s="2">
        <v>5.53</v>
      </c>
      <c r="K413" s="13">
        <f>464/14.21</f>
        <v>32.653061224489797</v>
      </c>
      <c r="L413" s="9"/>
      <c r="M413" s="9"/>
      <c r="N413" s="2"/>
      <c r="O413" s="2"/>
      <c r="P413" s="2"/>
      <c r="Q413" s="2"/>
      <c r="R413" s="2"/>
      <c r="S413" s="12"/>
      <c r="T413" s="2"/>
      <c r="U413" s="2"/>
      <c r="V413" s="2"/>
      <c r="W413" s="2"/>
      <c r="X413" s="2"/>
      <c r="Y413" s="12">
        <f>100*4122/14210000</f>
        <v>2.9007741027445463E-2</v>
      </c>
      <c r="Z413" s="2" t="s">
        <v>416</v>
      </c>
      <c r="AA413" s="9">
        <f t="shared" si="25"/>
        <v>0.27993699999999999</v>
      </c>
      <c r="AB413" s="9">
        <f t="shared" si="26"/>
        <v>0.78581300000000009</v>
      </c>
      <c r="AC413" s="10">
        <f t="shared" si="27"/>
        <v>464.00000000000006</v>
      </c>
      <c r="AD413" s="10">
        <f t="shared" si="28"/>
        <v>0</v>
      </c>
      <c r="AE413" s="9">
        <f t="shared" si="29"/>
        <v>0</v>
      </c>
      <c r="AF413" s="9">
        <f t="shared" si="30"/>
        <v>1.06575</v>
      </c>
      <c r="AG413" s="9">
        <f t="shared" si="31"/>
        <v>7.5</v>
      </c>
      <c r="AH413" s="11">
        <f t="shared" si="41"/>
        <v>27.9937</v>
      </c>
      <c r="AI413" s="11">
        <f t="shared" si="41"/>
        <v>78.581300000000013</v>
      </c>
      <c r="AJ413" s="11">
        <f t="shared" si="41"/>
        <v>464.00000000000006</v>
      </c>
      <c r="AK413" s="11">
        <f t="shared" si="41"/>
        <v>0</v>
      </c>
      <c r="AL413" s="11">
        <f t="shared" si="41"/>
        <v>0</v>
      </c>
      <c r="AM413" s="2"/>
      <c r="AN413" s="2"/>
      <c r="AO413" s="2"/>
    </row>
    <row r="414" spans="1:41" x14ac:dyDescent="0.2">
      <c r="A414" s="2" t="s">
        <v>866</v>
      </c>
      <c r="B414" s="2" t="s">
        <v>860</v>
      </c>
      <c r="C414" s="2" t="s">
        <v>157</v>
      </c>
      <c r="D414" s="2"/>
      <c r="E414" s="7" t="s">
        <v>40</v>
      </c>
      <c r="F414" s="2" t="s">
        <v>867</v>
      </c>
      <c r="G414" s="2" t="s">
        <v>868</v>
      </c>
      <c r="H414" s="2">
        <v>77.099999999999994</v>
      </c>
      <c r="I414" s="2">
        <v>2.0099999999999998</v>
      </c>
      <c r="J414" s="9">
        <f>(1.38*38.4)/H414</f>
        <v>0.68731517509727624</v>
      </c>
      <c r="K414" s="14">
        <f>(44.82*172.8)/H414</f>
        <v>100.45260700389106</v>
      </c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9">
        <f t="shared" si="25"/>
        <v>1.5497099999999997</v>
      </c>
      <c r="AB414" s="9">
        <f t="shared" si="26"/>
        <v>0.52991999999999995</v>
      </c>
      <c r="AC414" s="10">
        <f t="shared" si="27"/>
        <v>7744.8959999999997</v>
      </c>
      <c r="AD414" s="10">
        <f t="shared" si="28"/>
        <v>0</v>
      </c>
      <c r="AE414" s="9">
        <f t="shared" si="29"/>
        <v>0</v>
      </c>
      <c r="AF414" s="9">
        <f t="shared" si="30"/>
        <v>2.0796299999999999</v>
      </c>
      <c r="AG414" s="9">
        <f t="shared" si="31"/>
        <v>2.6973151750972759</v>
      </c>
      <c r="AH414" s="11">
        <f t="shared" si="41"/>
        <v>154.97099999999998</v>
      </c>
      <c r="AI414" s="11">
        <f t="shared" si="41"/>
        <v>52.991999999999997</v>
      </c>
      <c r="AJ414" s="11">
        <f t="shared" si="41"/>
        <v>7744.8959999999997</v>
      </c>
      <c r="AK414" s="11">
        <f t="shared" si="41"/>
        <v>0</v>
      </c>
      <c r="AL414" s="11">
        <f t="shared" si="41"/>
        <v>0</v>
      </c>
      <c r="AM414" s="2"/>
      <c r="AN414" s="2"/>
      <c r="AO414" s="2"/>
    </row>
    <row r="415" spans="1:41" x14ac:dyDescent="0.2">
      <c r="A415" s="2" t="s">
        <v>869</v>
      </c>
      <c r="B415" s="2" t="s">
        <v>860</v>
      </c>
      <c r="C415" s="2" t="s">
        <v>38</v>
      </c>
      <c r="D415" s="2" t="s">
        <v>39</v>
      </c>
      <c r="E415" s="2" t="s">
        <v>50</v>
      </c>
      <c r="F415" s="2" t="s">
        <v>870</v>
      </c>
      <c r="G415" s="2" t="s">
        <v>731</v>
      </c>
      <c r="H415" s="2">
        <f>19.85+12.27</f>
        <v>32.120000000000005</v>
      </c>
      <c r="I415" s="9">
        <f>(0.69*19.85+0.65*12.27)/$H415</f>
        <v>0.67471980074719795</v>
      </c>
      <c r="J415" s="9">
        <f>(1.56*19.85+2.18*12.27)/$H415</f>
        <v>1.7968430884184308</v>
      </c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9">
        <f t="shared" si="25"/>
        <v>0.21672</v>
      </c>
      <c r="AB415" s="9">
        <f t="shared" si="26"/>
        <v>0.57714600000000005</v>
      </c>
      <c r="AC415" s="10">
        <f t="shared" si="27"/>
        <v>0</v>
      </c>
      <c r="AD415" s="10">
        <f t="shared" si="28"/>
        <v>0</v>
      </c>
      <c r="AE415" s="9">
        <f t="shared" si="29"/>
        <v>0</v>
      </c>
      <c r="AF415" s="9">
        <f t="shared" si="30"/>
        <v>0.79386600000000007</v>
      </c>
      <c r="AG415" s="9">
        <f t="shared" si="31"/>
        <v>2.4715628891656287</v>
      </c>
      <c r="AH415" s="11">
        <f t="shared" si="41"/>
        <v>21.672000000000001</v>
      </c>
      <c r="AI415" s="11">
        <f t="shared" si="41"/>
        <v>57.714600000000004</v>
      </c>
      <c r="AJ415" s="11">
        <f t="shared" si="41"/>
        <v>0</v>
      </c>
      <c r="AK415" s="11">
        <f t="shared" si="41"/>
        <v>0</v>
      </c>
      <c r="AL415" s="11">
        <f t="shared" si="41"/>
        <v>0</v>
      </c>
      <c r="AM415" s="2"/>
      <c r="AN415" s="2"/>
      <c r="AO415" s="2"/>
    </row>
    <row r="416" spans="1:41" x14ac:dyDescent="0.2">
      <c r="A416" s="2" t="s">
        <v>871</v>
      </c>
      <c r="B416" s="2" t="s">
        <v>860</v>
      </c>
      <c r="C416" s="2" t="s">
        <v>157</v>
      </c>
      <c r="D416" s="2"/>
      <c r="E416" s="2" t="s">
        <v>50</v>
      </c>
      <c r="F416" s="2" t="s">
        <v>872</v>
      </c>
      <c r="G416" s="2" t="s">
        <v>106</v>
      </c>
      <c r="H416" s="2">
        <v>49.4</v>
      </c>
      <c r="I416" s="2">
        <v>0.4</v>
      </c>
      <c r="J416" s="2">
        <v>4.0999999999999996</v>
      </c>
      <c r="K416" s="2">
        <v>23.9</v>
      </c>
      <c r="L416" s="2"/>
      <c r="M416" s="2">
        <v>0.5</v>
      </c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9">
        <f t="shared" si="25"/>
        <v>0.19760000000000003</v>
      </c>
      <c r="AB416" s="9">
        <f t="shared" si="26"/>
        <v>2.0253999999999994</v>
      </c>
      <c r="AC416" s="10">
        <f t="shared" si="27"/>
        <v>1180.6599999999999</v>
      </c>
      <c r="AD416" s="10">
        <f t="shared" si="28"/>
        <v>24.7</v>
      </c>
      <c r="AE416" s="9">
        <f t="shared" si="29"/>
        <v>0</v>
      </c>
      <c r="AF416" s="9">
        <f t="shared" si="30"/>
        <v>2.2229999999999994</v>
      </c>
      <c r="AG416" s="9">
        <f t="shared" si="31"/>
        <v>4.5</v>
      </c>
      <c r="AH416" s="11">
        <f t="shared" si="41"/>
        <v>19.760000000000002</v>
      </c>
      <c r="AI416" s="11">
        <f t="shared" si="41"/>
        <v>202.53999999999996</v>
      </c>
      <c r="AJ416" s="11">
        <f t="shared" si="41"/>
        <v>1180.6599999999999</v>
      </c>
      <c r="AK416" s="11">
        <f t="shared" si="41"/>
        <v>0</v>
      </c>
      <c r="AL416" s="11">
        <f t="shared" si="41"/>
        <v>24.7</v>
      </c>
      <c r="AM416" s="2"/>
      <c r="AN416" s="2"/>
      <c r="AO416" s="2"/>
    </row>
    <row r="417" spans="1:41" x14ac:dyDescent="0.2">
      <c r="A417" s="2" t="s">
        <v>873</v>
      </c>
      <c r="B417" s="2" t="s">
        <v>860</v>
      </c>
      <c r="C417" s="2" t="s">
        <v>38</v>
      </c>
      <c r="D417" s="2" t="s">
        <v>62</v>
      </c>
      <c r="E417" s="7" t="s">
        <v>40</v>
      </c>
      <c r="F417" s="2" t="s">
        <v>874</v>
      </c>
      <c r="G417" s="2" t="s">
        <v>875</v>
      </c>
      <c r="H417" s="2">
        <v>13.5</v>
      </c>
      <c r="I417" s="2">
        <v>2</v>
      </c>
      <c r="J417" s="2">
        <v>11</v>
      </c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9">
        <f t="shared" si="25"/>
        <v>0.27</v>
      </c>
      <c r="AB417" s="9">
        <f t="shared" si="26"/>
        <v>1.4850000000000001</v>
      </c>
      <c r="AC417" s="10">
        <f t="shared" si="27"/>
        <v>0</v>
      </c>
      <c r="AD417" s="10">
        <f t="shared" si="28"/>
        <v>0</v>
      </c>
      <c r="AE417" s="9">
        <f t="shared" si="29"/>
        <v>0</v>
      </c>
      <c r="AF417" s="9">
        <f t="shared" si="30"/>
        <v>1.7550000000000001</v>
      </c>
      <c r="AG417" s="9">
        <f t="shared" si="31"/>
        <v>13</v>
      </c>
      <c r="AH417" s="11">
        <f t="shared" si="41"/>
        <v>27</v>
      </c>
      <c r="AI417" s="11">
        <f t="shared" si="41"/>
        <v>148.5</v>
      </c>
      <c r="AJ417" s="11">
        <f t="shared" si="41"/>
        <v>0</v>
      </c>
      <c r="AK417" s="11">
        <f t="shared" si="41"/>
        <v>0</v>
      </c>
      <c r="AL417" s="11">
        <f t="shared" si="41"/>
        <v>0</v>
      </c>
      <c r="AM417" s="2"/>
      <c r="AN417" s="2"/>
      <c r="AO417" s="2"/>
    </row>
    <row r="418" spans="1:41" x14ac:dyDescent="0.2">
      <c r="A418" s="2" t="s">
        <v>876</v>
      </c>
      <c r="B418" s="2" t="s">
        <v>860</v>
      </c>
      <c r="C418" s="2" t="s">
        <v>157</v>
      </c>
      <c r="D418" s="2"/>
      <c r="E418" s="2" t="s">
        <v>50</v>
      </c>
      <c r="F418" s="2" t="s">
        <v>877</v>
      </c>
      <c r="G418" s="2" t="s">
        <v>106</v>
      </c>
      <c r="H418" s="12">
        <f>226700/0.052/1000000</f>
        <v>4.3596153846153847</v>
      </c>
      <c r="I418" s="2">
        <v>2.69</v>
      </c>
      <c r="J418" s="9">
        <v>5.2</v>
      </c>
      <c r="K418" s="2">
        <v>54.16</v>
      </c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9">
        <f t="shared" si="25"/>
        <v>0.11727365384615383</v>
      </c>
      <c r="AB418" s="9">
        <f t="shared" si="26"/>
        <v>0.22670000000000001</v>
      </c>
      <c r="AC418" s="10">
        <f t="shared" si="27"/>
        <v>236.11676923076922</v>
      </c>
      <c r="AD418" s="10">
        <f t="shared" si="28"/>
        <v>0</v>
      </c>
      <c r="AE418" s="9">
        <f t="shared" si="29"/>
        <v>0</v>
      </c>
      <c r="AF418" s="9">
        <f t="shared" si="30"/>
        <v>0.34397365384615386</v>
      </c>
      <c r="AG418" s="9">
        <f t="shared" si="31"/>
        <v>7.8900000000000006</v>
      </c>
      <c r="AH418" s="11">
        <f t="shared" ref="AH418:AL433" si="42">$H418*I418</f>
        <v>11.727365384615384</v>
      </c>
      <c r="AI418" s="11">
        <f t="shared" si="42"/>
        <v>22.67</v>
      </c>
      <c r="AJ418" s="11">
        <f t="shared" si="42"/>
        <v>236.11676923076922</v>
      </c>
      <c r="AK418" s="11">
        <f t="shared" si="42"/>
        <v>0</v>
      </c>
      <c r="AL418" s="11">
        <f t="shared" si="42"/>
        <v>0</v>
      </c>
      <c r="AM418" s="2"/>
      <c r="AN418" s="2"/>
      <c r="AO418" s="2"/>
    </row>
    <row r="419" spans="1:41" x14ac:dyDescent="0.2">
      <c r="A419" s="2" t="s">
        <v>878</v>
      </c>
      <c r="B419" s="2" t="s">
        <v>860</v>
      </c>
      <c r="C419" s="2" t="s">
        <v>54</v>
      </c>
      <c r="D419" s="2" t="s">
        <v>77</v>
      </c>
      <c r="E419" s="2" t="s">
        <v>50</v>
      </c>
      <c r="F419" s="2" t="s">
        <v>673</v>
      </c>
      <c r="G419" s="2" t="s">
        <v>71</v>
      </c>
      <c r="H419" s="12">
        <f>13.948+2.027+10.241+1.049</f>
        <v>27.265000000000001</v>
      </c>
      <c r="I419" s="9">
        <f>(0.2*13.948+0.2*2.027+0.26*10.241+0.37*1.049)/H419</f>
        <v>0.22907720520814231</v>
      </c>
      <c r="J419" s="9">
        <f>(0.56*13.948+0.61*2.027+0.72*10.241+0.86*1.049)/H419</f>
        <v>0.63535705116449659</v>
      </c>
      <c r="K419" s="14">
        <f>(188*13.948+142*2.027+171*10.241+212*1.049)/H419</f>
        <v>179.1181734824867</v>
      </c>
      <c r="L419" s="2"/>
      <c r="M419" s="9">
        <f>(0.17*13.948+0.4*2.027+0.26*10.241+0.29*1.049)/H419</f>
        <v>0.2255209976159912</v>
      </c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9">
        <f t="shared" si="25"/>
        <v>6.2457900000000004E-2</v>
      </c>
      <c r="AB419" s="9">
        <f t="shared" si="26"/>
        <v>0.1732301</v>
      </c>
      <c r="AC419" s="10">
        <f t="shared" si="27"/>
        <v>4883.6570000000002</v>
      </c>
      <c r="AD419" s="10">
        <f t="shared" si="28"/>
        <v>6.1488300000000002</v>
      </c>
      <c r="AE419" s="9">
        <f t="shared" si="29"/>
        <v>0</v>
      </c>
      <c r="AF419" s="9">
        <f t="shared" si="30"/>
        <v>0.23568800000000001</v>
      </c>
      <c r="AG419" s="9">
        <f t="shared" si="31"/>
        <v>0.86443425637263893</v>
      </c>
      <c r="AH419" s="11">
        <f t="shared" si="42"/>
        <v>6.2457900000000004</v>
      </c>
      <c r="AI419" s="11">
        <f t="shared" si="42"/>
        <v>17.32301</v>
      </c>
      <c r="AJ419" s="11">
        <f t="shared" si="42"/>
        <v>4883.6570000000002</v>
      </c>
      <c r="AK419" s="11">
        <f t="shared" si="42"/>
        <v>0</v>
      </c>
      <c r="AL419" s="11">
        <f t="shared" si="42"/>
        <v>6.1488300000000002</v>
      </c>
      <c r="AM419" s="2"/>
      <c r="AN419" s="2"/>
      <c r="AO419" s="2"/>
    </row>
    <row r="420" spans="1:41" x14ac:dyDescent="0.2">
      <c r="A420" s="2" t="s">
        <v>879</v>
      </c>
      <c r="B420" s="2" t="s">
        <v>860</v>
      </c>
      <c r="C420" s="2" t="s">
        <v>157</v>
      </c>
      <c r="D420" s="2"/>
      <c r="E420" s="7" t="s">
        <v>40</v>
      </c>
      <c r="F420" s="2" t="s">
        <v>41</v>
      </c>
      <c r="G420" s="2" t="s">
        <v>880</v>
      </c>
      <c r="H420" s="2">
        <v>22.43</v>
      </c>
      <c r="I420" s="2">
        <v>3.6</v>
      </c>
      <c r="J420" s="9">
        <v>8</v>
      </c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9">
        <f t="shared" si="25"/>
        <v>0.80748000000000009</v>
      </c>
      <c r="AB420" s="9">
        <f t="shared" si="26"/>
        <v>1.7944</v>
      </c>
      <c r="AC420" s="10">
        <f t="shared" si="27"/>
        <v>0</v>
      </c>
      <c r="AD420" s="10">
        <f t="shared" si="28"/>
        <v>0</v>
      </c>
      <c r="AE420" s="9">
        <f t="shared" si="29"/>
        <v>0</v>
      </c>
      <c r="AF420" s="9">
        <f t="shared" si="30"/>
        <v>2.60188</v>
      </c>
      <c r="AG420" s="9">
        <f t="shared" si="31"/>
        <v>11.6</v>
      </c>
      <c r="AH420" s="11">
        <f t="shared" si="42"/>
        <v>80.748000000000005</v>
      </c>
      <c r="AI420" s="11">
        <f t="shared" si="42"/>
        <v>179.44</v>
      </c>
      <c r="AJ420" s="11">
        <f t="shared" si="42"/>
        <v>0</v>
      </c>
      <c r="AK420" s="11">
        <f t="shared" si="42"/>
        <v>0</v>
      </c>
      <c r="AL420" s="11">
        <f t="shared" si="42"/>
        <v>0</v>
      </c>
      <c r="AM420" s="2"/>
      <c r="AN420" s="2"/>
      <c r="AO420" s="2"/>
    </row>
    <row r="421" spans="1:41" x14ac:dyDescent="0.2">
      <c r="A421" s="2" t="s">
        <v>881</v>
      </c>
      <c r="B421" s="2" t="s">
        <v>860</v>
      </c>
      <c r="C421" s="21" t="s">
        <v>38</v>
      </c>
      <c r="D421" s="21" t="s">
        <v>39</v>
      </c>
      <c r="E421" s="7" t="s">
        <v>40</v>
      </c>
      <c r="F421" s="2" t="s">
        <v>41</v>
      </c>
      <c r="G421" s="8" t="s">
        <v>44</v>
      </c>
      <c r="H421" s="2">
        <v>50</v>
      </c>
      <c r="I421" s="2"/>
      <c r="J421" s="2">
        <v>3.4</v>
      </c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9">
        <f t="shared" si="25"/>
        <v>0</v>
      </c>
      <c r="AB421" s="9">
        <f t="shared" si="26"/>
        <v>1.7</v>
      </c>
      <c r="AC421" s="10">
        <f t="shared" si="27"/>
        <v>0</v>
      </c>
      <c r="AD421" s="10">
        <f t="shared" si="28"/>
        <v>0</v>
      </c>
      <c r="AE421" s="9">
        <f t="shared" si="29"/>
        <v>0</v>
      </c>
      <c r="AF421" s="9">
        <f t="shared" si="30"/>
        <v>1.7</v>
      </c>
      <c r="AG421" s="9">
        <f t="shared" si="31"/>
        <v>3.4</v>
      </c>
      <c r="AH421" s="11">
        <f t="shared" si="42"/>
        <v>0</v>
      </c>
      <c r="AI421" s="11">
        <f t="shared" si="42"/>
        <v>170</v>
      </c>
      <c r="AJ421" s="11">
        <f t="shared" si="42"/>
        <v>0</v>
      </c>
      <c r="AK421" s="11">
        <f t="shared" si="42"/>
        <v>0</v>
      </c>
      <c r="AL421" s="11">
        <f t="shared" si="42"/>
        <v>0</v>
      </c>
      <c r="AM421" s="2"/>
      <c r="AN421" s="2"/>
      <c r="AO421" s="2"/>
    </row>
    <row r="422" spans="1:41" x14ac:dyDescent="0.2">
      <c r="A422" s="2" t="s">
        <v>882</v>
      </c>
      <c r="B422" s="2" t="s">
        <v>860</v>
      </c>
      <c r="C422" s="2" t="s">
        <v>38</v>
      </c>
      <c r="D422" s="2" t="s">
        <v>62</v>
      </c>
      <c r="E422" s="2" t="s">
        <v>50</v>
      </c>
      <c r="F422" s="2" t="s">
        <v>883</v>
      </c>
      <c r="G422" s="2" t="s">
        <v>106</v>
      </c>
      <c r="H422" s="2">
        <v>133</v>
      </c>
      <c r="I422" s="2">
        <v>0.5</v>
      </c>
      <c r="J422" s="2">
        <v>2.25</v>
      </c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9">
        <f t="shared" si="25"/>
        <v>0.66500000000000004</v>
      </c>
      <c r="AB422" s="9">
        <f t="shared" si="26"/>
        <v>2.9925000000000002</v>
      </c>
      <c r="AC422" s="10">
        <f t="shared" si="27"/>
        <v>0</v>
      </c>
      <c r="AD422" s="10">
        <f t="shared" si="28"/>
        <v>0</v>
      </c>
      <c r="AE422" s="9">
        <f t="shared" si="29"/>
        <v>0</v>
      </c>
      <c r="AF422" s="9">
        <f t="shared" si="30"/>
        <v>3.6575000000000002</v>
      </c>
      <c r="AG422" s="9">
        <f t="shared" si="31"/>
        <v>2.75</v>
      </c>
      <c r="AH422" s="11">
        <f t="shared" si="42"/>
        <v>66.5</v>
      </c>
      <c r="AI422" s="11">
        <f t="shared" si="42"/>
        <v>299.25</v>
      </c>
      <c r="AJ422" s="11">
        <f t="shared" si="42"/>
        <v>0</v>
      </c>
      <c r="AK422" s="11">
        <f t="shared" si="42"/>
        <v>0</v>
      </c>
      <c r="AL422" s="11">
        <f t="shared" si="42"/>
        <v>0</v>
      </c>
      <c r="AM422" s="2"/>
      <c r="AN422" s="2"/>
      <c r="AO422" s="2"/>
    </row>
    <row r="423" spans="1:41" x14ac:dyDescent="0.2">
      <c r="A423" s="2" t="s">
        <v>884</v>
      </c>
      <c r="B423" s="2" t="s">
        <v>860</v>
      </c>
      <c r="C423" s="2" t="s">
        <v>66</v>
      </c>
      <c r="D423" s="2" t="s">
        <v>885</v>
      </c>
      <c r="E423" s="2" t="s">
        <v>50</v>
      </c>
      <c r="F423" s="2" t="s">
        <v>886</v>
      </c>
      <c r="G423" s="2" t="s">
        <v>615</v>
      </c>
      <c r="H423" s="10">
        <f>76+977.1+395.9</f>
        <v>1449</v>
      </c>
      <c r="I423" s="9">
        <f>(0.07*76+0.03*977.1+0.09*395.9)/$H423</f>
        <v>4.8491373360938568E-2</v>
      </c>
      <c r="J423" s="9">
        <f>(0.04*76+0.02*977.1+0.05*395.9)/$H423</f>
        <v>2.9245686680469292E-2</v>
      </c>
      <c r="K423" s="13">
        <f>(10.97*450.8+12.26*186.2)/$H423</f>
        <v>4.9883285024154596</v>
      </c>
      <c r="L423" s="9">
        <f>(0.48*76+0.44*977.1+0.42*395.9)/$H423</f>
        <v>0.43663354037267083</v>
      </c>
      <c r="M423" s="9">
        <f>(0.21*450.8+0.28*186.2)/$H423</f>
        <v>0.10131400966183575</v>
      </c>
      <c r="N423" s="2"/>
      <c r="O423" s="2"/>
      <c r="P423" s="2"/>
      <c r="Q423" s="2"/>
      <c r="R423" s="2"/>
      <c r="S423" s="12">
        <f>(0.042*76+0.036*977.1+0.039*395.9)/$H423</f>
        <v>3.7134368530020702E-2</v>
      </c>
      <c r="T423" s="2"/>
      <c r="U423" s="2"/>
      <c r="V423" s="2"/>
      <c r="W423" s="2"/>
      <c r="X423" s="2"/>
      <c r="Y423" s="2"/>
      <c r="Z423" s="2"/>
      <c r="AA423" s="9">
        <f t="shared" si="25"/>
        <v>0.70263999999999982</v>
      </c>
      <c r="AB423" s="9">
        <f t="shared" si="26"/>
        <v>0.42377000000000004</v>
      </c>
      <c r="AC423" s="10">
        <f t="shared" si="27"/>
        <v>7228.0880000000006</v>
      </c>
      <c r="AD423" s="10">
        <f t="shared" si="28"/>
        <v>146.804</v>
      </c>
      <c r="AE423" s="9">
        <f t="shared" si="29"/>
        <v>6.3268200000000006</v>
      </c>
      <c r="AF423" s="9">
        <f t="shared" si="30"/>
        <v>7.4532300000000005</v>
      </c>
      <c r="AG423" s="9">
        <f t="shared" si="31"/>
        <v>0.51437060041407867</v>
      </c>
      <c r="AH423" s="11">
        <f t="shared" si="42"/>
        <v>70.263999999999982</v>
      </c>
      <c r="AI423" s="11">
        <f t="shared" si="42"/>
        <v>42.377000000000002</v>
      </c>
      <c r="AJ423" s="11">
        <f t="shared" si="42"/>
        <v>7228.0880000000006</v>
      </c>
      <c r="AK423" s="11">
        <f t="shared" si="42"/>
        <v>632.68200000000002</v>
      </c>
      <c r="AL423" s="11">
        <f t="shared" si="42"/>
        <v>146.804</v>
      </c>
      <c r="AM423" s="2"/>
      <c r="AN423" s="2"/>
      <c r="AO423" s="2"/>
    </row>
    <row r="424" spans="1:41" x14ac:dyDescent="0.2">
      <c r="A424" s="2" t="s">
        <v>887</v>
      </c>
      <c r="B424" s="2" t="s">
        <v>860</v>
      </c>
      <c r="C424" s="2" t="s">
        <v>54</v>
      </c>
      <c r="D424" s="2"/>
      <c r="E424" s="7" t="s">
        <v>40</v>
      </c>
      <c r="F424" s="2" t="s">
        <v>888</v>
      </c>
      <c r="G424" s="2" t="s">
        <v>875</v>
      </c>
      <c r="H424" s="10">
        <v>5</v>
      </c>
      <c r="I424" s="2">
        <v>3.3</v>
      </c>
      <c r="J424" s="2">
        <v>5.2</v>
      </c>
      <c r="K424" s="2">
        <v>125</v>
      </c>
      <c r="L424" s="2"/>
      <c r="M424" s="2">
        <v>0.4</v>
      </c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9">
        <f t="shared" si="25"/>
        <v>0.16500000000000001</v>
      </c>
      <c r="AB424" s="9">
        <f t="shared" si="26"/>
        <v>0.26</v>
      </c>
      <c r="AC424" s="10">
        <f t="shared" si="27"/>
        <v>625</v>
      </c>
      <c r="AD424" s="10">
        <f t="shared" si="28"/>
        <v>2</v>
      </c>
      <c r="AE424" s="9">
        <f t="shared" si="29"/>
        <v>0</v>
      </c>
      <c r="AF424" s="9">
        <f t="shared" si="30"/>
        <v>0.42500000000000004</v>
      </c>
      <c r="AG424" s="9">
        <f t="shared" si="31"/>
        <v>8.5</v>
      </c>
      <c r="AH424" s="11">
        <f t="shared" si="42"/>
        <v>16.5</v>
      </c>
      <c r="AI424" s="11">
        <f t="shared" si="42"/>
        <v>26</v>
      </c>
      <c r="AJ424" s="11">
        <f t="shared" si="42"/>
        <v>625</v>
      </c>
      <c r="AK424" s="11">
        <f t="shared" si="42"/>
        <v>0</v>
      </c>
      <c r="AL424" s="11">
        <f t="shared" si="42"/>
        <v>2</v>
      </c>
      <c r="AM424" s="2"/>
      <c r="AN424" s="2"/>
      <c r="AO424" s="2"/>
    </row>
    <row r="425" spans="1:41" x14ac:dyDescent="0.2">
      <c r="A425" s="2" t="s">
        <v>889</v>
      </c>
      <c r="B425" s="2" t="s">
        <v>860</v>
      </c>
      <c r="C425" s="2" t="s">
        <v>38</v>
      </c>
      <c r="D425" s="2" t="s">
        <v>167</v>
      </c>
      <c r="E425" s="2" t="s">
        <v>50</v>
      </c>
      <c r="F425" s="2" t="s">
        <v>877</v>
      </c>
      <c r="G425" s="2" t="s">
        <v>106</v>
      </c>
      <c r="H425" s="9">
        <f>0.6063+0.5904</f>
        <v>1.1966999999999999</v>
      </c>
      <c r="I425" s="9">
        <f>(3.81*0.6063+12.45*0.5904)/$H425</f>
        <v>8.0726021559288039</v>
      </c>
      <c r="J425" s="9">
        <f>(4.83*0.6063+2.9*0.5904)/$H425</f>
        <v>3.8778215091501638</v>
      </c>
      <c r="K425" s="14">
        <f>(123.4*0.6063+278.78*0.5904)/$H425</f>
        <v>200.05776886437707</v>
      </c>
      <c r="L425" s="9">
        <f>(0.99*0.6063+0.78*0.5904)/$H425</f>
        <v>0.8863950864878416</v>
      </c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9">
        <f t="shared" si="25"/>
        <v>9.6604829999999989E-2</v>
      </c>
      <c r="AB425" s="9">
        <f t="shared" si="26"/>
        <v>4.6405890000000005E-2</v>
      </c>
      <c r="AC425" s="10">
        <f t="shared" si="27"/>
        <v>239.409132</v>
      </c>
      <c r="AD425" s="10">
        <f t="shared" si="28"/>
        <v>0</v>
      </c>
      <c r="AE425" s="9">
        <f t="shared" si="29"/>
        <v>1.0607489999999999E-2</v>
      </c>
      <c r="AF425" s="9">
        <f t="shared" si="30"/>
        <v>0.15361820999999998</v>
      </c>
      <c r="AG425" s="9">
        <f t="shared" si="31"/>
        <v>12.83681875156681</v>
      </c>
      <c r="AH425" s="11">
        <f t="shared" si="42"/>
        <v>9.6604829999999993</v>
      </c>
      <c r="AI425" s="11">
        <f t="shared" si="42"/>
        <v>4.6405890000000003</v>
      </c>
      <c r="AJ425" s="11">
        <f t="shared" si="42"/>
        <v>239.409132</v>
      </c>
      <c r="AK425" s="11">
        <f t="shared" si="42"/>
        <v>1.0607489999999999</v>
      </c>
      <c r="AL425" s="11">
        <f t="shared" si="42"/>
        <v>0</v>
      </c>
      <c r="AM425" s="2"/>
      <c r="AN425" s="2"/>
      <c r="AO425" s="2"/>
    </row>
    <row r="426" spans="1:41" x14ac:dyDescent="0.2">
      <c r="A426" s="2" t="s">
        <v>890</v>
      </c>
      <c r="B426" s="2" t="s">
        <v>860</v>
      </c>
      <c r="C426" s="2" t="s">
        <v>38</v>
      </c>
      <c r="D426" s="2" t="s">
        <v>167</v>
      </c>
      <c r="E426" s="2" t="s">
        <v>50</v>
      </c>
      <c r="F426" s="2" t="s">
        <v>877</v>
      </c>
      <c r="G426" s="2" t="s">
        <v>106</v>
      </c>
      <c r="H426" s="12">
        <f>32200/0.138/1000000</f>
        <v>0.23333333333333331</v>
      </c>
      <c r="I426" s="2">
        <v>13.8</v>
      </c>
      <c r="J426" s="2">
        <v>7.8</v>
      </c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9">
        <f t="shared" si="25"/>
        <v>3.2199999999999999E-2</v>
      </c>
      <c r="AB426" s="9">
        <f t="shared" si="26"/>
        <v>1.8199999999999997E-2</v>
      </c>
      <c r="AC426" s="10">
        <f t="shared" si="27"/>
        <v>0</v>
      </c>
      <c r="AD426" s="10">
        <f t="shared" si="28"/>
        <v>0</v>
      </c>
      <c r="AE426" s="9">
        <f t="shared" si="29"/>
        <v>0</v>
      </c>
      <c r="AF426" s="9">
        <f t="shared" si="30"/>
        <v>5.04E-2</v>
      </c>
      <c r="AG426" s="9">
        <f t="shared" si="31"/>
        <v>21.6</v>
      </c>
      <c r="AH426" s="11">
        <f t="shared" si="42"/>
        <v>3.2199999999999998</v>
      </c>
      <c r="AI426" s="11">
        <f t="shared" si="42"/>
        <v>1.8199999999999998</v>
      </c>
      <c r="AJ426" s="11">
        <f t="shared" si="42"/>
        <v>0</v>
      </c>
      <c r="AK426" s="11">
        <f t="shared" si="42"/>
        <v>0</v>
      </c>
      <c r="AL426" s="11">
        <f t="shared" si="42"/>
        <v>0</v>
      </c>
      <c r="AM426" s="2"/>
      <c r="AN426" s="2"/>
      <c r="AO426" s="2"/>
    </row>
    <row r="427" spans="1:41" x14ac:dyDescent="0.2">
      <c r="A427" s="2" t="s">
        <v>891</v>
      </c>
      <c r="B427" s="2" t="s">
        <v>860</v>
      </c>
      <c r="C427" s="2" t="s">
        <v>157</v>
      </c>
      <c r="D427" s="2"/>
      <c r="E427" s="7" t="s">
        <v>40</v>
      </c>
      <c r="F427" s="2" t="s">
        <v>892</v>
      </c>
      <c r="G427" s="2" t="s">
        <v>875</v>
      </c>
      <c r="H427" s="13">
        <v>2</v>
      </c>
      <c r="I427" s="2">
        <v>10</v>
      </c>
      <c r="J427" s="2">
        <v>10</v>
      </c>
      <c r="K427" s="2"/>
      <c r="L427" s="2">
        <v>0.5</v>
      </c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9">
        <f t="shared" si="25"/>
        <v>0.2</v>
      </c>
      <c r="AB427" s="9">
        <f t="shared" si="26"/>
        <v>0.2</v>
      </c>
      <c r="AC427" s="10">
        <f t="shared" si="27"/>
        <v>0</v>
      </c>
      <c r="AD427" s="10">
        <f t="shared" si="28"/>
        <v>0</v>
      </c>
      <c r="AE427" s="9">
        <f t="shared" si="29"/>
        <v>0.01</v>
      </c>
      <c r="AF427" s="9">
        <f t="shared" si="30"/>
        <v>0.41000000000000003</v>
      </c>
      <c r="AG427" s="9">
        <f t="shared" si="31"/>
        <v>20.5</v>
      </c>
      <c r="AH427" s="11">
        <f t="shared" si="42"/>
        <v>20</v>
      </c>
      <c r="AI427" s="11">
        <f t="shared" si="42"/>
        <v>20</v>
      </c>
      <c r="AJ427" s="11">
        <f t="shared" si="42"/>
        <v>0</v>
      </c>
      <c r="AK427" s="11">
        <f t="shared" si="42"/>
        <v>1</v>
      </c>
      <c r="AL427" s="11">
        <f t="shared" si="42"/>
        <v>0</v>
      </c>
      <c r="AM427" s="2"/>
      <c r="AN427" s="2"/>
      <c r="AO427" s="2"/>
    </row>
    <row r="428" spans="1:41" x14ac:dyDescent="0.2">
      <c r="A428" s="2" t="s">
        <v>893</v>
      </c>
      <c r="B428" s="2" t="s">
        <v>860</v>
      </c>
      <c r="C428" s="2" t="s">
        <v>608</v>
      </c>
      <c r="D428" s="2"/>
      <c r="E428" s="2" t="s">
        <v>50</v>
      </c>
      <c r="F428" s="2" t="s">
        <v>894</v>
      </c>
      <c r="G428" s="2" t="s">
        <v>895</v>
      </c>
      <c r="H428" s="2">
        <v>20.416</v>
      </c>
      <c r="I428" s="2">
        <v>1.8</v>
      </c>
      <c r="J428" s="2">
        <v>1.4</v>
      </c>
      <c r="K428" s="2">
        <v>16.600000000000001</v>
      </c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9">
        <f t="shared" si="25"/>
        <v>0.36748800000000004</v>
      </c>
      <c r="AB428" s="9">
        <f t="shared" si="26"/>
        <v>0.28582400000000002</v>
      </c>
      <c r="AC428" s="10">
        <f t="shared" si="27"/>
        <v>338.90560000000005</v>
      </c>
      <c r="AD428" s="10">
        <f t="shared" si="28"/>
        <v>0</v>
      </c>
      <c r="AE428" s="9">
        <f t="shared" si="29"/>
        <v>0</v>
      </c>
      <c r="AF428" s="9">
        <f t="shared" si="30"/>
        <v>0.65331200000000011</v>
      </c>
      <c r="AG428" s="9">
        <f t="shared" si="31"/>
        <v>3.2</v>
      </c>
      <c r="AH428" s="11">
        <f t="shared" si="42"/>
        <v>36.748800000000003</v>
      </c>
      <c r="AI428" s="11">
        <f t="shared" si="42"/>
        <v>28.5824</v>
      </c>
      <c r="AJ428" s="11">
        <f t="shared" si="42"/>
        <v>338.90560000000005</v>
      </c>
      <c r="AK428" s="11">
        <f t="shared" si="42"/>
        <v>0</v>
      </c>
      <c r="AL428" s="11">
        <f t="shared" si="42"/>
        <v>0</v>
      </c>
      <c r="AM428" s="2"/>
      <c r="AN428" s="2"/>
      <c r="AO428" s="2"/>
    </row>
    <row r="429" spans="1:41" x14ac:dyDescent="0.2">
      <c r="A429" s="2" t="s">
        <v>896</v>
      </c>
      <c r="B429" s="2" t="s">
        <v>860</v>
      </c>
      <c r="C429" s="2" t="s">
        <v>38</v>
      </c>
      <c r="D429" s="2" t="s">
        <v>39</v>
      </c>
      <c r="E429" s="7" t="s">
        <v>40</v>
      </c>
      <c r="F429" s="2" t="s">
        <v>897</v>
      </c>
      <c r="G429" s="2" t="s">
        <v>875</v>
      </c>
      <c r="H429" s="13">
        <v>25</v>
      </c>
      <c r="I429" s="2">
        <v>1.8</v>
      </c>
      <c r="J429" s="2">
        <v>7.7</v>
      </c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9">
        <f t="shared" si="25"/>
        <v>0.45</v>
      </c>
      <c r="AB429" s="9">
        <f t="shared" si="26"/>
        <v>1.925</v>
      </c>
      <c r="AC429" s="10">
        <f t="shared" si="27"/>
        <v>0</v>
      </c>
      <c r="AD429" s="10">
        <f t="shared" si="28"/>
        <v>0</v>
      </c>
      <c r="AE429" s="9">
        <f t="shared" si="29"/>
        <v>0</v>
      </c>
      <c r="AF429" s="18">
        <f t="shared" si="30"/>
        <v>2.375</v>
      </c>
      <c r="AG429" s="9">
        <f t="shared" si="31"/>
        <v>9.5</v>
      </c>
      <c r="AH429" s="11">
        <f t="shared" si="42"/>
        <v>45</v>
      </c>
      <c r="AI429" s="11">
        <f t="shared" si="42"/>
        <v>192.5</v>
      </c>
      <c r="AJ429" s="11">
        <f t="shared" si="42"/>
        <v>0</v>
      </c>
      <c r="AK429" s="11">
        <f t="shared" si="42"/>
        <v>0</v>
      </c>
      <c r="AL429" s="11">
        <f t="shared" si="42"/>
        <v>0</v>
      </c>
      <c r="AM429" s="2"/>
      <c r="AN429" s="2"/>
      <c r="AO429" s="2"/>
    </row>
    <row r="430" spans="1:41" x14ac:dyDescent="0.2">
      <c r="A430" s="2" t="s">
        <v>898</v>
      </c>
      <c r="B430" s="2" t="s">
        <v>860</v>
      </c>
      <c r="C430" s="2" t="s">
        <v>48</v>
      </c>
      <c r="D430" s="2"/>
      <c r="E430" s="2" t="s">
        <v>50</v>
      </c>
      <c r="F430" s="2" t="s">
        <v>883</v>
      </c>
      <c r="G430" s="2" t="s">
        <v>106</v>
      </c>
      <c r="H430" s="2">
        <v>20.6</v>
      </c>
      <c r="I430" s="2"/>
      <c r="J430" s="2">
        <v>0.4</v>
      </c>
      <c r="K430" s="2"/>
      <c r="L430" s="2">
        <v>1.1599999999999999</v>
      </c>
      <c r="M430" s="2"/>
      <c r="N430" s="2"/>
      <c r="O430" s="2"/>
      <c r="P430" s="2">
        <v>7.0000000000000007E-2</v>
      </c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9">
        <f t="shared" si="25"/>
        <v>0</v>
      </c>
      <c r="AB430" s="9">
        <f t="shared" si="26"/>
        <v>8.2400000000000001E-2</v>
      </c>
      <c r="AC430" s="10">
        <f t="shared" si="27"/>
        <v>0</v>
      </c>
      <c r="AD430" s="10">
        <f t="shared" si="28"/>
        <v>0</v>
      </c>
      <c r="AE430" s="9">
        <f t="shared" si="29"/>
        <v>0.23896000000000001</v>
      </c>
      <c r="AF430" s="9">
        <f t="shared" si="30"/>
        <v>0.32135999999999998</v>
      </c>
      <c r="AG430" s="9">
        <f t="shared" si="31"/>
        <v>1.56</v>
      </c>
      <c r="AH430" s="11">
        <f t="shared" si="42"/>
        <v>0</v>
      </c>
      <c r="AI430" s="11">
        <f t="shared" si="42"/>
        <v>8.24</v>
      </c>
      <c r="AJ430" s="11">
        <f t="shared" si="42"/>
        <v>0</v>
      </c>
      <c r="AK430" s="11">
        <f t="shared" si="42"/>
        <v>23.896000000000001</v>
      </c>
      <c r="AL430" s="11">
        <f t="shared" si="42"/>
        <v>0</v>
      </c>
      <c r="AM430" s="2"/>
      <c r="AN430" s="2"/>
      <c r="AO430" s="2"/>
    </row>
    <row r="431" spans="1:41" x14ac:dyDescent="0.2">
      <c r="A431" s="2" t="s">
        <v>899</v>
      </c>
      <c r="B431" s="2" t="s">
        <v>860</v>
      </c>
      <c r="C431" s="2" t="s">
        <v>157</v>
      </c>
      <c r="D431" s="2"/>
      <c r="E431" s="2" t="s">
        <v>50</v>
      </c>
      <c r="F431" s="2" t="s">
        <v>877</v>
      </c>
      <c r="G431" s="2" t="s">
        <v>106</v>
      </c>
      <c r="H431" s="12">
        <v>8.5017879999999995</v>
      </c>
      <c r="I431" s="2">
        <v>9.4</v>
      </c>
      <c r="J431" s="13">
        <v>6</v>
      </c>
      <c r="K431" s="13">
        <v>256</v>
      </c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9">
        <f t="shared" si="25"/>
        <v>0.79916807199999995</v>
      </c>
      <c r="AB431" s="9">
        <f t="shared" si="26"/>
        <v>0.51010728000000005</v>
      </c>
      <c r="AC431" s="10">
        <f t="shared" si="27"/>
        <v>2176.4577279999999</v>
      </c>
      <c r="AD431" s="10">
        <f t="shared" si="28"/>
        <v>0</v>
      </c>
      <c r="AE431" s="9">
        <f t="shared" si="29"/>
        <v>0</v>
      </c>
      <c r="AF431" s="9">
        <f t="shared" si="30"/>
        <v>1.309275352</v>
      </c>
      <c r="AG431" s="9">
        <f t="shared" si="31"/>
        <v>15.4</v>
      </c>
      <c r="AH431" s="11">
        <f t="shared" si="42"/>
        <v>79.916807199999994</v>
      </c>
      <c r="AI431" s="11">
        <f t="shared" si="42"/>
        <v>51.010728</v>
      </c>
      <c r="AJ431" s="11">
        <f t="shared" si="42"/>
        <v>2176.4577279999999</v>
      </c>
      <c r="AK431" s="11">
        <f t="shared" si="42"/>
        <v>0</v>
      </c>
      <c r="AL431" s="11">
        <f t="shared" si="42"/>
        <v>0</v>
      </c>
      <c r="AM431" s="2"/>
      <c r="AN431" s="2"/>
      <c r="AO431" s="2"/>
    </row>
    <row r="432" spans="1:41" x14ac:dyDescent="0.2">
      <c r="A432" s="2" t="s">
        <v>900</v>
      </c>
      <c r="B432" s="2" t="s">
        <v>860</v>
      </c>
      <c r="C432" s="2" t="s">
        <v>157</v>
      </c>
      <c r="D432" s="2"/>
      <c r="E432" s="2" t="s">
        <v>50</v>
      </c>
      <c r="F432" s="2" t="s">
        <v>901</v>
      </c>
      <c r="G432" s="2" t="s">
        <v>512</v>
      </c>
      <c r="H432" s="2">
        <v>219.8</v>
      </c>
      <c r="I432" s="2"/>
      <c r="J432" s="2">
        <v>0.08</v>
      </c>
      <c r="K432" s="2">
        <v>3.81</v>
      </c>
      <c r="L432" s="2">
        <v>0.43</v>
      </c>
      <c r="M432" s="2">
        <v>0.61</v>
      </c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9">
        <f t="shared" si="25"/>
        <v>0</v>
      </c>
      <c r="AB432" s="9">
        <f t="shared" si="26"/>
        <v>0.17584</v>
      </c>
      <c r="AC432" s="10">
        <f t="shared" si="27"/>
        <v>837.4380000000001</v>
      </c>
      <c r="AD432" s="10">
        <f t="shared" si="28"/>
        <v>134.078</v>
      </c>
      <c r="AE432" s="9">
        <f t="shared" si="29"/>
        <v>0.94514000000000009</v>
      </c>
      <c r="AF432" s="9">
        <f t="shared" si="30"/>
        <v>1.1209800000000001</v>
      </c>
      <c r="AG432" s="9">
        <f t="shared" si="31"/>
        <v>0.51</v>
      </c>
      <c r="AH432" s="11">
        <f t="shared" si="42"/>
        <v>0</v>
      </c>
      <c r="AI432" s="11">
        <f t="shared" si="42"/>
        <v>17.584</v>
      </c>
      <c r="AJ432" s="11">
        <f t="shared" si="42"/>
        <v>837.4380000000001</v>
      </c>
      <c r="AK432" s="11">
        <f t="shared" si="42"/>
        <v>94.51400000000001</v>
      </c>
      <c r="AL432" s="11">
        <f t="shared" si="42"/>
        <v>134.078</v>
      </c>
      <c r="AM432" s="2"/>
      <c r="AN432" s="2"/>
      <c r="AO432" s="2"/>
    </row>
    <row r="433" spans="1:41" x14ac:dyDescent="0.2">
      <c r="A433" s="2" t="s">
        <v>902</v>
      </c>
      <c r="B433" s="2" t="s">
        <v>860</v>
      </c>
      <c r="C433" s="2" t="s">
        <v>48</v>
      </c>
      <c r="D433" s="2"/>
      <c r="E433" s="2" t="s">
        <v>50</v>
      </c>
      <c r="F433" s="2" t="s">
        <v>883</v>
      </c>
      <c r="G433" s="2" t="s">
        <v>106</v>
      </c>
      <c r="H433" s="2">
        <f>23.99+11.21</f>
        <v>35.200000000000003</v>
      </c>
      <c r="I433" s="2"/>
      <c r="J433" s="9">
        <f>(0.95*23.99+0.64*11.21)/$H433</f>
        <v>0.85127556818181815</v>
      </c>
      <c r="K433" s="2"/>
      <c r="L433" s="9">
        <f>(2.03*23.99+2.04*11.21)/$H433</f>
        <v>2.0331846590909084</v>
      </c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9">
        <f t="shared" si="25"/>
        <v>0</v>
      </c>
      <c r="AB433" s="9">
        <f t="shared" si="26"/>
        <v>0.299649</v>
      </c>
      <c r="AC433" s="10">
        <f t="shared" si="27"/>
        <v>0</v>
      </c>
      <c r="AD433" s="10">
        <f t="shared" si="28"/>
        <v>0</v>
      </c>
      <c r="AE433" s="9">
        <f t="shared" si="29"/>
        <v>0.7156809999999999</v>
      </c>
      <c r="AF433" s="9">
        <f t="shared" si="30"/>
        <v>1.0153299999999998</v>
      </c>
      <c r="AG433" s="9">
        <f t="shared" si="31"/>
        <v>2.8844602272727267</v>
      </c>
      <c r="AH433" s="11">
        <f t="shared" si="42"/>
        <v>0</v>
      </c>
      <c r="AI433" s="11">
        <f t="shared" si="42"/>
        <v>29.9649</v>
      </c>
      <c r="AJ433" s="11">
        <f t="shared" si="42"/>
        <v>0</v>
      </c>
      <c r="AK433" s="11">
        <f t="shared" si="42"/>
        <v>71.568099999999987</v>
      </c>
      <c r="AL433" s="11">
        <f t="shared" si="42"/>
        <v>0</v>
      </c>
      <c r="AM433" s="2"/>
      <c r="AN433" s="2"/>
      <c r="AO433" s="2"/>
    </row>
    <row r="434" spans="1:41" x14ac:dyDescent="0.2">
      <c r="A434" s="2" t="s">
        <v>903</v>
      </c>
      <c r="B434" s="2" t="s">
        <v>860</v>
      </c>
      <c r="C434" s="2" t="s">
        <v>608</v>
      </c>
      <c r="D434" s="2"/>
      <c r="E434" s="2" t="s">
        <v>50</v>
      </c>
      <c r="F434" s="2" t="s">
        <v>883</v>
      </c>
      <c r="G434" s="2" t="s">
        <v>106</v>
      </c>
      <c r="H434" s="2">
        <v>136.4</v>
      </c>
      <c r="I434" s="2">
        <v>0.48</v>
      </c>
      <c r="J434" s="2">
        <v>2.46</v>
      </c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9">
        <f t="shared" si="25"/>
        <v>0.65471999999999997</v>
      </c>
      <c r="AB434" s="9">
        <f t="shared" si="26"/>
        <v>3.3554399999999998</v>
      </c>
      <c r="AC434" s="10">
        <f t="shared" si="27"/>
        <v>0</v>
      </c>
      <c r="AD434" s="10">
        <f t="shared" si="28"/>
        <v>0</v>
      </c>
      <c r="AE434" s="9">
        <f t="shared" si="29"/>
        <v>0</v>
      </c>
      <c r="AF434" s="9">
        <f t="shared" si="30"/>
        <v>4.0101599999999999</v>
      </c>
      <c r="AG434" s="9">
        <f t="shared" si="31"/>
        <v>2.94</v>
      </c>
      <c r="AH434" s="11">
        <f t="shared" ref="AH434:AL449" si="43">$H434*I434</f>
        <v>65.471999999999994</v>
      </c>
      <c r="AI434" s="11">
        <f t="shared" si="43"/>
        <v>335.54399999999998</v>
      </c>
      <c r="AJ434" s="11">
        <f t="shared" si="43"/>
        <v>0</v>
      </c>
      <c r="AK434" s="11">
        <f t="shared" si="43"/>
        <v>0</v>
      </c>
      <c r="AL434" s="11">
        <f t="shared" si="43"/>
        <v>0</v>
      </c>
      <c r="AM434" s="2"/>
      <c r="AN434" s="2"/>
      <c r="AO434" s="2"/>
    </row>
    <row r="435" spans="1:41" x14ac:dyDescent="0.2">
      <c r="A435" s="2" t="s">
        <v>904</v>
      </c>
      <c r="B435" s="2" t="s">
        <v>860</v>
      </c>
      <c r="C435" s="2" t="s">
        <v>440</v>
      </c>
      <c r="D435" s="2" t="s">
        <v>905</v>
      </c>
      <c r="E435" s="2" t="s">
        <v>50</v>
      </c>
      <c r="F435" s="2" t="s">
        <v>870</v>
      </c>
      <c r="G435" s="2" t="s">
        <v>906</v>
      </c>
      <c r="H435" s="2">
        <f>2.74+2.33+2.8+0.29+0.38+0.17+0.66+0.5+0.43+0.28+0.87+0.6+0.3+1.79+1.44+1.3+2.57+2.09</f>
        <v>21.54</v>
      </c>
      <c r="I435" s="9">
        <f>(5.81*2.74+4.42*2.33+4.55*2.8+1.56*0.29+1.46*0.38+1.01*0.17+5.45*0.66+3.72*0.5+3.88*0.43+1.63*0.28+1.39*0.87+1.46*0.6+2.49*0.3+2.59*1.79+2.15*1.44+3.23*1.3+2.84*2.57+2.87*2.09)/$H435</f>
        <v>3.5180687093779013</v>
      </c>
      <c r="J435" s="9">
        <f>(3.01*2.74+2.36*2.33+2.01*2.8+0.25*0.29+0.17*0.38+0.19*0.17+1.09*0.66+1.43*0.5+1.55*0.43+0.29*0.28+0.37*0.87+0.45*0.6+0.21*0.3+0.28*1.79+0.31*1.44+0.22*1.3+0.27*2.57+0.22*2.09)/$H435</f>
        <v>1.1498560817084496</v>
      </c>
      <c r="K435" s="14">
        <f>(304*2.74+244*2.33+282*2.8+417*0.29+336*0.38+374*0.17+118*0.66+93*0.5+77*0.43+343*0.28+322*0.87+294*0.6+321*0.3+244*1.79+313*1.44+157*1.3+175*2.57+176*2.09)/$H435</f>
        <v>242.2845868152275</v>
      </c>
      <c r="L435" s="2"/>
      <c r="M435" s="9">
        <f>(0*2.74+0*2.33+0*2.8+0*0.29+0*0.38+0*0.17+1.12*0.66+1.25*0.5+1.07*0.43+0*0.28+0*0.87+0*0.6+0*0.3+0*1.79+0*1.44+0*1.3+0*2.57+0*2.09)/$H435</f>
        <v>8.4693593314763241E-2</v>
      </c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9">
        <f t="shared" si="25"/>
        <v>0.75779199999999991</v>
      </c>
      <c r="AB435" s="9">
        <f t="shared" si="26"/>
        <v>0.24767900000000001</v>
      </c>
      <c r="AC435" s="10">
        <f t="shared" si="27"/>
        <v>5218.8100000000004</v>
      </c>
      <c r="AD435" s="10">
        <f t="shared" si="28"/>
        <v>1.8243</v>
      </c>
      <c r="AE435" s="9">
        <f t="shared" si="29"/>
        <v>0</v>
      </c>
      <c r="AF435" s="9">
        <f t="shared" si="30"/>
        <v>1.005471</v>
      </c>
      <c r="AG435" s="9">
        <f t="shared" si="31"/>
        <v>4.6679247910863513</v>
      </c>
      <c r="AH435" s="11">
        <f t="shared" si="43"/>
        <v>75.779199999999989</v>
      </c>
      <c r="AI435" s="11">
        <f t="shared" si="43"/>
        <v>24.767900000000001</v>
      </c>
      <c r="AJ435" s="11">
        <f t="shared" si="43"/>
        <v>5218.8100000000004</v>
      </c>
      <c r="AK435" s="11">
        <f t="shared" si="43"/>
        <v>0</v>
      </c>
      <c r="AL435" s="11">
        <f t="shared" si="43"/>
        <v>1.8243</v>
      </c>
      <c r="AM435" s="2"/>
      <c r="AN435" s="2"/>
      <c r="AO435" s="2"/>
    </row>
    <row r="436" spans="1:41" x14ac:dyDescent="0.2">
      <c r="A436" s="2" t="s">
        <v>907</v>
      </c>
      <c r="B436" s="2" t="s">
        <v>908</v>
      </c>
      <c r="C436" s="2" t="s">
        <v>909</v>
      </c>
      <c r="D436" s="2"/>
      <c r="E436" s="2" t="s">
        <v>50</v>
      </c>
      <c r="F436" s="2" t="s">
        <v>910</v>
      </c>
      <c r="G436" s="2" t="s">
        <v>911</v>
      </c>
      <c r="H436" s="2">
        <f>0.6+8.1</f>
        <v>8.6999999999999993</v>
      </c>
      <c r="I436" s="9"/>
      <c r="J436" s="13">
        <f>(0.3*0.6+3*8.1)/$H436</f>
        <v>2.8137931034482757</v>
      </c>
      <c r="K436" s="13">
        <f>(2.8*0.6+3.4*8.1)/$H436</f>
        <v>3.3586206896551727</v>
      </c>
      <c r="L436" s="2"/>
      <c r="M436" s="9"/>
      <c r="N436" s="2"/>
      <c r="O436" s="13">
        <f>(0.2*0.6+0.2*8.1)/$H436</f>
        <v>0.20000000000000004</v>
      </c>
      <c r="P436" s="2"/>
      <c r="Q436" s="2"/>
      <c r="R436" s="2"/>
      <c r="S436" s="14">
        <f>(570*0.6+620*8.1)/$H436</f>
        <v>616.55172413793105</v>
      </c>
      <c r="T436" s="2"/>
      <c r="U436" s="2"/>
      <c r="V436" s="9">
        <f>(0.11*0.6+0.11*8.1)/$H436</f>
        <v>0.11000000000000001</v>
      </c>
      <c r="W436" s="2"/>
      <c r="X436" s="13">
        <f>(0.4*0.6+0.5*8.1)/$H436</f>
        <v>0.49310344827586211</v>
      </c>
      <c r="Y436" s="9">
        <f>(8.4*0.6+9.4*8.1)/$H436</f>
        <v>9.3310344827586214</v>
      </c>
      <c r="Z436" s="2" t="s">
        <v>912</v>
      </c>
      <c r="AA436" s="9">
        <f t="shared" si="25"/>
        <v>0</v>
      </c>
      <c r="AB436" s="9">
        <f t="shared" si="26"/>
        <v>0.24479999999999996</v>
      </c>
      <c r="AC436" s="10">
        <f t="shared" si="27"/>
        <v>29.22</v>
      </c>
      <c r="AD436" s="10">
        <f t="shared" si="28"/>
        <v>0</v>
      </c>
      <c r="AE436" s="9">
        <f t="shared" si="29"/>
        <v>0</v>
      </c>
      <c r="AF436" s="9">
        <f t="shared" si="30"/>
        <v>0.24479999999999996</v>
      </c>
      <c r="AG436" s="9">
        <f t="shared" si="31"/>
        <v>2.8137931034482757</v>
      </c>
      <c r="AH436" s="11">
        <f t="shared" si="43"/>
        <v>0</v>
      </c>
      <c r="AI436" s="11">
        <f t="shared" si="43"/>
        <v>24.479999999999997</v>
      </c>
      <c r="AJ436" s="11">
        <f t="shared" si="43"/>
        <v>29.22</v>
      </c>
      <c r="AK436" s="11">
        <f t="shared" si="43"/>
        <v>0</v>
      </c>
      <c r="AL436" s="11">
        <f t="shared" si="43"/>
        <v>0</v>
      </c>
      <c r="AM436" s="2"/>
      <c r="AN436" s="2"/>
      <c r="AO436" s="2"/>
    </row>
    <row r="437" spans="1:41" x14ac:dyDescent="0.2">
      <c r="A437" s="2" t="s">
        <v>913</v>
      </c>
      <c r="B437" s="2" t="s">
        <v>914</v>
      </c>
      <c r="C437" s="2" t="s">
        <v>38</v>
      </c>
      <c r="D437" s="2" t="s">
        <v>62</v>
      </c>
      <c r="E437" s="7" t="s">
        <v>40</v>
      </c>
      <c r="F437" s="2" t="s">
        <v>41</v>
      </c>
      <c r="G437" s="8" t="s">
        <v>44</v>
      </c>
      <c r="H437" s="2">
        <v>14.8</v>
      </c>
      <c r="I437" s="2">
        <v>0.24</v>
      </c>
      <c r="J437" s="2">
        <v>0.51</v>
      </c>
      <c r="K437" s="2"/>
      <c r="L437" s="2">
        <v>4.3899999999999997</v>
      </c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9">
        <f t="shared" si="25"/>
        <v>3.5520000000000003E-2</v>
      </c>
      <c r="AB437" s="9">
        <f t="shared" si="26"/>
        <v>7.5480000000000005E-2</v>
      </c>
      <c r="AC437" s="10">
        <f t="shared" si="27"/>
        <v>0</v>
      </c>
      <c r="AD437" s="10">
        <f t="shared" si="28"/>
        <v>0</v>
      </c>
      <c r="AE437" s="9">
        <f t="shared" si="29"/>
        <v>0.64971999999999996</v>
      </c>
      <c r="AF437" s="9">
        <f t="shared" si="30"/>
        <v>0.76071999999999995</v>
      </c>
      <c r="AG437" s="9">
        <f t="shared" si="31"/>
        <v>5.14</v>
      </c>
      <c r="AH437" s="11">
        <f t="shared" si="43"/>
        <v>3.552</v>
      </c>
      <c r="AI437" s="11">
        <f t="shared" si="43"/>
        <v>7.5480000000000009</v>
      </c>
      <c r="AJ437" s="11">
        <f t="shared" si="43"/>
        <v>0</v>
      </c>
      <c r="AK437" s="11">
        <f t="shared" si="43"/>
        <v>64.971999999999994</v>
      </c>
      <c r="AL437" s="11">
        <f t="shared" si="43"/>
        <v>0</v>
      </c>
      <c r="AM437" s="2"/>
      <c r="AN437" s="2"/>
      <c r="AO437" s="2"/>
    </row>
    <row r="438" spans="1:41" x14ac:dyDescent="0.2">
      <c r="A438" s="2" t="s">
        <v>915</v>
      </c>
      <c r="B438" s="2" t="s">
        <v>914</v>
      </c>
      <c r="C438" s="2" t="s">
        <v>48</v>
      </c>
      <c r="D438" s="2"/>
      <c r="E438" s="7" t="s">
        <v>40</v>
      </c>
      <c r="F438" s="2" t="s">
        <v>41</v>
      </c>
      <c r="G438" s="8" t="s">
        <v>916</v>
      </c>
      <c r="H438" s="2">
        <v>0.54</v>
      </c>
      <c r="I438" s="9">
        <f>0.39/3</f>
        <v>0.13</v>
      </c>
      <c r="J438" s="9">
        <f>0.39*(2/3)</f>
        <v>0.26</v>
      </c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9">
        <f t="shared" si="25"/>
        <v>7.0200000000000015E-4</v>
      </c>
      <c r="AB438" s="9">
        <f t="shared" si="26"/>
        <v>1.4040000000000003E-3</v>
      </c>
      <c r="AC438" s="10">
        <f t="shared" si="27"/>
        <v>0</v>
      </c>
      <c r="AD438" s="10">
        <f t="shared" si="28"/>
        <v>0</v>
      </c>
      <c r="AE438" s="9">
        <f t="shared" si="29"/>
        <v>0</v>
      </c>
      <c r="AF438" s="9">
        <f t="shared" si="30"/>
        <v>2.1060000000000002E-3</v>
      </c>
      <c r="AG438" s="9">
        <f t="shared" si="31"/>
        <v>0.39</v>
      </c>
      <c r="AH438" s="11">
        <f t="shared" si="43"/>
        <v>7.0200000000000012E-2</v>
      </c>
      <c r="AI438" s="11">
        <f t="shared" si="43"/>
        <v>0.14040000000000002</v>
      </c>
      <c r="AJ438" s="11">
        <f t="shared" si="43"/>
        <v>0</v>
      </c>
      <c r="AK438" s="11">
        <f t="shared" si="43"/>
        <v>0</v>
      </c>
      <c r="AL438" s="11">
        <f t="shared" si="43"/>
        <v>0</v>
      </c>
      <c r="AM438" s="2"/>
      <c r="AN438" s="2"/>
      <c r="AO438" s="2"/>
    </row>
    <row r="439" spans="1:41" x14ac:dyDescent="0.2">
      <c r="A439" s="2" t="s">
        <v>917</v>
      </c>
      <c r="B439" s="2" t="s">
        <v>914</v>
      </c>
      <c r="C439" s="2" t="s">
        <v>38</v>
      </c>
      <c r="D439" s="2" t="s">
        <v>62</v>
      </c>
      <c r="E439" s="7" t="s">
        <v>40</v>
      </c>
      <c r="F439" s="2" t="s">
        <v>918</v>
      </c>
      <c r="G439" s="2" t="s">
        <v>875</v>
      </c>
      <c r="H439" s="2">
        <v>12</v>
      </c>
      <c r="I439" s="9">
        <v>3.2</v>
      </c>
      <c r="J439" s="9">
        <v>2.4</v>
      </c>
      <c r="K439" s="2">
        <v>43</v>
      </c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9">
        <f t="shared" si="25"/>
        <v>0.38400000000000006</v>
      </c>
      <c r="AB439" s="9">
        <f t="shared" si="26"/>
        <v>0.28799999999999998</v>
      </c>
      <c r="AC439" s="10">
        <f t="shared" si="27"/>
        <v>516</v>
      </c>
      <c r="AD439" s="10">
        <f t="shared" si="28"/>
        <v>0</v>
      </c>
      <c r="AE439" s="9">
        <f t="shared" si="29"/>
        <v>0</v>
      </c>
      <c r="AF439" s="18">
        <f t="shared" si="30"/>
        <v>0.67200000000000004</v>
      </c>
      <c r="AG439" s="9">
        <f t="shared" si="31"/>
        <v>5.6</v>
      </c>
      <c r="AH439" s="11">
        <f t="shared" si="43"/>
        <v>38.400000000000006</v>
      </c>
      <c r="AI439" s="11">
        <f t="shared" si="43"/>
        <v>28.799999999999997</v>
      </c>
      <c r="AJ439" s="11">
        <f t="shared" si="43"/>
        <v>516</v>
      </c>
      <c r="AK439" s="11">
        <f t="shared" si="43"/>
        <v>0</v>
      </c>
      <c r="AL439" s="11">
        <f t="shared" si="43"/>
        <v>0</v>
      </c>
      <c r="AM439" s="2"/>
      <c r="AN439" s="2"/>
      <c r="AO439" s="2"/>
    </row>
    <row r="440" spans="1:41" x14ac:dyDescent="0.2">
      <c r="A440" s="2" t="s">
        <v>919</v>
      </c>
      <c r="B440" s="2" t="s">
        <v>920</v>
      </c>
      <c r="C440" s="2" t="s">
        <v>38</v>
      </c>
      <c r="D440" s="2" t="s">
        <v>361</v>
      </c>
      <c r="E440" s="7" t="s">
        <v>40</v>
      </c>
      <c r="F440" s="2" t="s">
        <v>921</v>
      </c>
      <c r="G440" s="8" t="s">
        <v>922</v>
      </c>
      <c r="H440" s="12">
        <f>16.929106+9.046352</f>
        <v>25.975458000000003</v>
      </c>
      <c r="I440" s="2"/>
      <c r="J440" s="9">
        <f>(16.76*16.929106+23.32*9.046352)/$H440</f>
        <v>19.044620703126775</v>
      </c>
      <c r="K440" s="2"/>
      <c r="L440" s="9">
        <f>(2.32*16.929106+1.93*9.046352)/$H440</f>
        <v>2.1841765130763044</v>
      </c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9">
        <f t="shared" si="25"/>
        <v>0</v>
      </c>
      <c r="AB440" s="9">
        <f t="shared" si="26"/>
        <v>4.9469274520000006</v>
      </c>
      <c r="AC440" s="10">
        <f t="shared" si="27"/>
        <v>0</v>
      </c>
      <c r="AD440" s="10">
        <f t="shared" si="28"/>
        <v>0</v>
      </c>
      <c r="AE440" s="9">
        <f t="shared" si="29"/>
        <v>0.56734985280000005</v>
      </c>
      <c r="AF440" s="9">
        <f t="shared" si="30"/>
        <v>5.5142773048000002</v>
      </c>
      <c r="AG440" s="9">
        <f t="shared" si="31"/>
        <v>21.22879721620308</v>
      </c>
      <c r="AH440" s="11">
        <f t="shared" si="43"/>
        <v>0</v>
      </c>
      <c r="AI440" s="11">
        <f t="shared" si="43"/>
        <v>494.69274520000005</v>
      </c>
      <c r="AJ440" s="11">
        <f t="shared" si="43"/>
        <v>0</v>
      </c>
      <c r="AK440" s="11">
        <f t="shared" si="43"/>
        <v>56.734985280000004</v>
      </c>
      <c r="AL440" s="11">
        <f t="shared" si="43"/>
        <v>0</v>
      </c>
      <c r="AM440" s="2"/>
      <c r="AN440" s="2"/>
      <c r="AO440" s="2"/>
    </row>
    <row r="441" spans="1:41" x14ac:dyDescent="0.2">
      <c r="A441" s="2" t="s">
        <v>923</v>
      </c>
      <c r="B441" s="2" t="s">
        <v>920</v>
      </c>
      <c r="C441" s="2" t="s">
        <v>924</v>
      </c>
      <c r="D441" s="2" t="s">
        <v>361</v>
      </c>
      <c r="E441" s="16" t="s">
        <v>196</v>
      </c>
      <c r="F441" s="2" t="s">
        <v>925</v>
      </c>
      <c r="G441" s="2" t="s">
        <v>926</v>
      </c>
      <c r="H441" s="2">
        <v>5.3</v>
      </c>
      <c r="I441" s="9"/>
      <c r="J441" s="9">
        <v>4.9000000000000004</v>
      </c>
      <c r="K441" s="2"/>
      <c r="L441" s="9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9">
        <f t="shared" si="25"/>
        <v>0</v>
      </c>
      <c r="AB441" s="9">
        <f t="shared" si="26"/>
        <v>0.25970000000000004</v>
      </c>
      <c r="AC441" s="10">
        <f t="shared" si="27"/>
        <v>0</v>
      </c>
      <c r="AD441" s="10">
        <f t="shared" si="28"/>
        <v>0</v>
      </c>
      <c r="AE441" s="9">
        <f t="shared" si="29"/>
        <v>0</v>
      </c>
      <c r="AF441" s="9">
        <f t="shared" si="30"/>
        <v>0.25970000000000004</v>
      </c>
      <c r="AG441" s="9">
        <f t="shared" si="31"/>
        <v>4.9000000000000004</v>
      </c>
      <c r="AH441" s="11">
        <f t="shared" si="43"/>
        <v>0</v>
      </c>
      <c r="AI441" s="11">
        <f t="shared" si="43"/>
        <v>25.970000000000002</v>
      </c>
      <c r="AJ441" s="11">
        <f t="shared" si="43"/>
        <v>0</v>
      </c>
      <c r="AK441" s="11">
        <f t="shared" si="43"/>
        <v>0</v>
      </c>
      <c r="AL441" s="11">
        <f t="shared" si="43"/>
        <v>0</v>
      </c>
      <c r="AM441" s="2"/>
      <c r="AN441" s="2"/>
      <c r="AO441" s="2"/>
    </row>
    <row r="442" spans="1:41" x14ac:dyDescent="0.2">
      <c r="A442" s="2" t="s">
        <v>927</v>
      </c>
      <c r="B442" s="2" t="s">
        <v>928</v>
      </c>
      <c r="C442" s="2" t="s">
        <v>54</v>
      </c>
      <c r="D442" s="2" t="s">
        <v>289</v>
      </c>
      <c r="E442" s="7" t="s">
        <v>40</v>
      </c>
      <c r="F442" s="2" t="s">
        <v>929</v>
      </c>
      <c r="G442" s="2" t="s">
        <v>930</v>
      </c>
      <c r="H442" s="12">
        <f>1.087645+0.272667+0.330095+0.29+0.514832</f>
        <v>2.4952389999999998</v>
      </c>
      <c r="I442" s="2"/>
      <c r="J442" s="9">
        <f>(0.77*1.087645+1.67*0.272667+1.45*0.330095+1.49*0.29+0.0289*0.514832)/$H442</f>
        <v>0.88907593012132324</v>
      </c>
      <c r="K442" s="9">
        <f>(4.36*1.087645+0*0.272667+0*0.330095+0*0.29+3.09*0.514832)/$H442</f>
        <v>2.5380186346878997</v>
      </c>
      <c r="L442" s="9">
        <f>(2.22*1.087645+2*0.272667+1.9*0.330095+1.55*0.29+0.17*0.514832)/$H442</f>
        <v>1.6527907106293225</v>
      </c>
      <c r="M442" s="9">
        <f>(0.16*1.087645+0*0.272667+0*0.330095+1.34*0.29+1.32*0.514832)/$H442</f>
        <v>0.49782864086366085</v>
      </c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9">
        <f t="shared" si="25"/>
        <v>0</v>
      </c>
      <c r="AB442" s="9">
        <f t="shared" si="26"/>
        <v>2.2184569348000002E-2</v>
      </c>
      <c r="AC442" s="10">
        <f t="shared" si="27"/>
        <v>6.3329630799999999</v>
      </c>
      <c r="AD442" s="10">
        <f t="shared" si="28"/>
        <v>1.2422014400000001</v>
      </c>
      <c r="AE442" s="9">
        <f t="shared" si="29"/>
        <v>4.1241078399999999E-2</v>
      </c>
      <c r="AF442" s="9">
        <f t="shared" si="30"/>
        <v>6.3425647747999997E-2</v>
      </c>
      <c r="AG442" s="9">
        <f t="shared" si="31"/>
        <v>2.5418666407506456</v>
      </c>
      <c r="AH442" s="11">
        <f t="shared" si="43"/>
        <v>0</v>
      </c>
      <c r="AI442" s="11">
        <f t="shared" si="43"/>
        <v>2.2184569348000003</v>
      </c>
      <c r="AJ442" s="11">
        <f t="shared" si="43"/>
        <v>6.3329630799999999</v>
      </c>
      <c r="AK442" s="11">
        <f t="shared" si="43"/>
        <v>4.1241078399999997</v>
      </c>
      <c r="AL442" s="11">
        <f t="shared" si="43"/>
        <v>1.2422014400000001</v>
      </c>
      <c r="AM442" s="2"/>
      <c r="AN442" s="2"/>
      <c r="AO442" s="2"/>
    </row>
    <row r="443" spans="1:41" x14ac:dyDescent="0.2">
      <c r="A443" s="2" t="s">
        <v>931</v>
      </c>
      <c r="B443" s="2" t="s">
        <v>928</v>
      </c>
      <c r="C443" s="2" t="s">
        <v>48</v>
      </c>
      <c r="D443" s="2"/>
      <c r="E443" s="2" t="s">
        <v>50</v>
      </c>
      <c r="F443" s="2" t="s">
        <v>929</v>
      </c>
      <c r="G443" s="2" t="s">
        <v>454</v>
      </c>
      <c r="H443" s="12">
        <f>5.628632+1.739214+0.142283</f>
        <v>7.5101290000000001</v>
      </c>
      <c r="I443" s="2"/>
      <c r="J443" s="9">
        <f>(1.46*5.628632+1.31*1.739214+1.12*0.142283)/$H443</f>
        <v>1.4188211707149105</v>
      </c>
      <c r="K443" s="13">
        <f>(33.3*5.628632+28.7*1.739214+34.6*0.142283)/$H443</f>
        <v>32.259349899315971</v>
      </c>
      <c r="L443" s="9">
        <f>(2.3*5.628632+1.25*1.739214+1.2*0.142283)/$H443</f>
        <v>2.0359984096145349</v>
      </c>
      <c r="M443" s="9">
        <f>(0.91*5.628632+0.73*1.739214+0.71*0.142283)/$H443</f>
        <v>0.86452606473204385</v>
      </c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9">
        <f t="shared" si="25"/>
        <v>0</v>
      </c>
      <c r="AB443" s="9">
        <f t="shared" si="26"/>
        <v>0.10655530020000001</v>
      </c>
      <c r="AC443" s="10">
        <f t="shared" si="27"/>
        <v>242.27187919999994</v>
      </c>
      <c r="AD443" s="10">
        <f t="shared" si="28"/>
        <v>6.4927022699999997</v>
      </c>
      <c r="AE443" s="9">
        <f t="shared" si="29"/>
        <v>0.15290610699999999</v>
      </c>
      <c r="AF443" s="9">
        <f t="shared" si="30"/>
        <v>0.25946140719999999</v>
      </c>
      <c r="AG443" s="9">
        <f t="shared" si="31"/>
        <v>3.4548195803294455</v>
      </c>
      <c r="AH443" s="11">
        <f t="shared" si="43"/>
        <v>0</v>
      </c>
      <c r="AI443" s="11">
        <f t="shared" si="43"/>
        <v>10.65553002</v>
      </c>
      <c r="AJ443" s="11">
        <f t="shared" si="43"/>
        <v>242.27187919999994</v>
      </c>
      <c r="AK443" s="11">
        <f t="shared" si="43"/>
        <v>15.290610699999998</v>
      </c>
      <c r="AL443" s="11">
        <f t="shared" si="43"/>
        <v>6.4927022699999997</v>
      </c>
      <c r="AM443" s="2"/>
      <c r="AN443" s="2"/>
      <c r="AO443" s="2"/>
    </row>
    <row r="444" spans="1:41" x14ac:dyDescent="0.2">
      <c r="A444" s="2" t="s">
        <v>932</v>
      </c>
      <c r="B444" s="2" t="s">
        <v>928</v>
      </c>
      <c r="C444" s="2" t="s">
        <v>48</v>
      </c>
      <c r="D444" s="2"/>
      <c r="E444" s="2" t="s">
        <v>50</v>
      </c>
      <c r="F444" s="2" t="s">
        <v>933</v>
      </c>
      <c r="G444" s="2" t="s">
        <v>774</v>
      </c>
      <c r="H444" s="2">
        <f>1.011+0.439</f>
        <v>1.45</v>
      </c>
      <c r="I444" s="2"/>
      <c r="J444" s="9">
        <f>(2.57*1.011+4.67*0.439)/$H444</f>
        <v>3.2057931034482752</v>
      </c>
      <c r="K444" s="13">
        <f>(49.58*1.011+36.907*0.439)/$H444</f>
        <v>45.743139999999997</v>
      </c>
      <c r="L444" s="9">
        <f>(2.4*1.011+2.558*0.439)/$H444</f>
        <v>2.4478358620689651</v>
      </c>
      <c r="M444" s="9">
        <f>(2.81*1.011+1.68*0.439)/$H444</f>
        <v>2.4678827586206893</v>
      </c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9">
        <f t="shared" si="25"/>
        <v>0</v>
      </c>
      <c r="AB444" s="9">
        <f t="shared" si="26"/>
        <v>4.6483999999999991E-2</v>
      </c>
      <c r="AC444" s="10">
        <f t="shared" si="27"/>
        <v>66.327552999999995</v>
      </c>
      <c r="AD444" s="10">
        <f t="shared" si="28"/>
        <v>3.5784299999999996</v>
      </c>
      <c r="AE444" s="9">
        <f t="shared" si="29"/>
        <v>3.5493619999999997E-2</v>
      </c>
      <c r="AF444" s="9">
        <f t="shared" si="30"/>
        <v>8.1977619999999987E-2</v>
      </c>
      <c r="AG444" s="9">
        <f t="shared" si="31"/>
        <v>5.6536289655172407</v>
      </c>
      <c r="AH444" s="11">
        <f t="shared" si="43"/>
        <v>0</v>
      </c>
      <c r="AI444" s="11">
        <f t="shared" si="43"/>
        <v>4.6483999999999988</v>
      </c>
      <c r="AJ444" s="11">
        <f t="shared" si="43"/>
        <v>66.327552999999995</v>
      </c>
      <c r="AK444" s="11">
        <f t="shared" si="43"/>
        <v>3.5493619999999995</v>
      </c>
      <c r="AL444" s="11">
        <f t="shared" si="43"/>
        <v>3.5784299999999996</v>
      </c>
      <c r="AM444" s="2"/>
      <c r="AN444" s="2"/>
      <c r="AO444" s="2"/>
    </row>
    <row r="445" spans="1:41" x14ac:dyDescent="0.2">
      <c r="A445" s="2" t="s">
        <v>934</v>
      </c>
      <c r="B445" s="2" t="s">
        <v>928</v>
      </c>
      <c r="C445" s="2" t="s">
        <v>54</v>
      </c>
      <c r="D445" s="2" t="s">
        <v>935</v>
      </c>
      <c r="E445" s="2" t="s">
        <v>50</v>
      </c>
      <c r="F445" s="2" t="s">
        <v>933</v>
      </c>
      <c r="G445" s="2" t="s">
        <v>631</v>
      </c>
      <c r="H445" s="2">
        <f>27.49+24.42+2.55+3.09</f>
        <v>57.55</v>
      </c>
      <c r="I445" s="2"/>
      <c r="J445" s="9">
        <f>(0.28*27.49+0.41*24.42+0.16*2.55+0.18*3.09)/$H445</f>
        <v>0.3244761077324067</v>
      </c>
      <c r="K445" s="13">
        <f>(3.7*27.49+3.6*24.42+1.5*2.55+2.5*3.09)/$H445</f>
        <v>3.495655951346655</v>
      </c>
      <c r="L445" s="9">
        <f>(0.51*27.49+0.23*24.42+0.21*2.55+0.15*3.09)/$H445</f>
        <v>0.35856646394439617</v>
      </c>
      <c r="M445" s="9">
        <f>(1.78*27.49+0.87*24.42+2.87*2.55+1.21*3.09)/$H445</f>
        <v>1.4115551694178976</v>
      </c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9">
        <f t="shared" si="25"/>
        <v>0</v>
      </c>
      <c r="AB445" s="9">
        <f t="shared" si="26"/>
        <v>0.18673600000000004</v>
      </c>
      <c r="AC445" s="10">
        <f t="shared" si="27"/>
        <v>201.17499999999998</v>
      </c>
      <c r="AD445" s="10">
        <f t="shared" si="28"/>
        <v>81.234999999999999</v>
      </c>
      <c r="AE445" s="9">
        <f t="shared" si="29"/>
        <v>0.20635500000000001</v>
      </c>
      <c r="AF445" s="9">
        <f t="shared" si="30"/>
        <v>0.39309100000000008</v>
      </c>
      <c r="AG445" s="9">
        <f t="shared" si="31"/>
        <v>0.68304257167680293</v>
      </c>
      <c r="AH445" s="11">
        <f t="shared" si="43"/>
        <v>0</v>
      </c>
      <c r="AI445" s="11">
        <f t="shared" si="43"/>
        <v>18.673600000000004</v>
      </c>
      <c r="AJ445" s="11">
        <f t="shared" si="43"/>
        <v>201.17499999999998</v>
      </c>
      <c r="AK445" s="11">
        <f t="shared" si="43"/>
        <v>20.6355</v>
      </c>
      <c r="AL445" s="11">
        <f t="shared" si="43"/>
        <v>81.234999999999999</v>
      </c>
      <c r="AM445" s="2"/>
      <c r="AN445" s="2"/>
      <c r="AO445" s="2"/>
    </row>
    <row r="446" spans="1:41" x14ac:dyDescent="0.2">
      <c r="A446" s="2" t="s">
        <v>936</v>
      </c>
      <c r="B446" s="2" t="s">
        <v>937</v>
      </c>
      <c r="C446" s="2" t="s">
        <v>48</v>
      </c>
      <c r="D446" s="2"/>
      <c r="E446" s="2" t="s">
        <v>50</v>
      </c>
      <c r="F446" s="2" t="s">
        <v>938</v>
      </c>
      <c r="G446" s="2" t="s">
        <v>429</v>
      </c>
      <c r="H446" s="2">
        <f>6.08+3.882</f>
        <v>9.9619999999999997</v>
      </c>
      <c r="I446" s="9">
        <f>(0.28*6.08+0.16*3.882)/$H446</f>
        <v>0.23323830556113234</v>
      </c>
      <c r="J446" s="9">
        <f>(3.06*6.08+2.19*3.882)/$H446</f>
        <v>2.7209777153182095</v>
      </c>
      <c r="K446" s="13">
        <f>(55.81*6.08+42.92*3.882)/$H446</f>
        <v>50.787014655691628</v>
      </c>
      <c r="L446" s="9">
        <f>(2.33*6.08+1.56*3.882)/$H446</f>
        <v>2.0299457940172658</v>
      </c>
      <c r="M446" s="9">
        <f>(2.99*6.08+2.03*3.882)/$H446</f>
        <v>2.6159064444890587</v>
      </c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9">
        <f t="shared" si="25"/>
        <v>2.3235200000000001E-2</v>
      </c>
      <c r="AB446" s="9">
        <f t="shared" si="26"/>
        <v>0.27106380000000002</v>
      </c>
      <c r="AC446" s="10">
        <f t="shared" si="27"/>
        <v>505.94023999999996</v>
      </c>
      <c r="AD446" s="10">
        <f t="shared" si="28"/>
        <v>26.059660000000001</v>
      </c>
      <c r="AE446" s="9">
        <f t="shared" si="29"/>
        <v>0.20222320000000005</v>
      </c>
      <c r="AF446" s="9">
        <f t="shared" si="30"/>
        <v>0.49652220000000008</v>
      </c>
      <c r="AG446" s="9">
        <f t="shared" si="31"/>
        <v>4.9841618148966074</v>
      </c>
      <c r="AH446" s="11">
        <f t="shared" si="43"/>
        <v>2.3235200000000003</v>
      </c>
      <c r="AI446" s="11">
        <f t="shared" si="43"/>
        <v>27.106380000000001</v>
      </c>
      <c r="AJ446" s="11">
        <f t="shared" si="43"/>
        <v>505.94023999999996</v>
      </c>
      <c r="AK446" s="11">
        <f t="shared" si="43"/>
        <v>20.222320000000003</v>
      </c>
      <c r="AL446" s="11">
        <f t="shared" si="43"/>
        <v>26.059660000000001</v>
      </c>
      <c r="AM446" s="2"/>
      <c r="AN446" s="2"/>
      <c r="AO446" s="2"/>
    </row>
    <row r="447" spans="1:41" x14ac:dyDescent="0.2">
      <c r="A447" s="2" t="s">
        <v>939</v>
      </c>
      <c r="B447" s="2" t="s">
        <v>940</v>
      </c>
      <c r="C447" s="2" t="s">
        <v>132</v>
      </c>
      <c r="D447" s="2"/>
      <c r="E447" s="2" t="s">
        <v>50</v>
      </c>
      <c r="F447" s="2" t="s">
        <v>941</v>
      </c>
      <c r="G447" s="2" t="s">
        <v>615</v>
      </c>
      <c r="H447" s="2">
        <v>2.9</v>
      </c>
      <c r="I447" s="9"/>
      <c r="J447" s="9">
        <v>1.1499999999999999</v>
      </c>
      <c r="K447" s="13">
        <v>29.3</v>
      </c>
      <c r="L447" s="9">
        <v>0.77</v>
      </c>
      <c r="M447" s="9">
        <v>1.75</v>
      </c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9">
        <f t="shared" si="25"/>
        <v>0</v>
      </c>
      <c r="AB447" s="9">
        <f t="shared" si="26"/>
        <v>3.3349999999999998E-2</v>
      </c>
      <c r="AC447" s="10">
        <f t="shared" si="27"/>
        <v>84.97</v>
      </c>
      <c r="AD447" s="10">
        <f t="shared" si="28"/>
        <v>5.0750000000000002</v>
      </c>
      <c r="AE447" s="9">
        <f t="shared" si="29"/>
        <v>2.2330000000000003E-2</v>
      </c>
      <c r="AF447" s="9">
        <f t="shared" si="30"/>
        <v>5.568E-2</v>
      </c>
      <c r="AG447" s="9">
        <f t="shared" si="31"/>
        <v>1.92</v>
      </c>
      <c r="AH447" s="11">
        <f t="shared" si="43"/>
        <v>0</v>
      </c>
      <c r="AI447" s="11">
        <f t="shared" si="43"/>
        <v>3.3349999999999995</v>
      </c>
      <c r="AJ447" s="11">
        <f t="shared" si="43"/>
        <v>84.97</v>
      </c>
      <c r="AK447" s="11">
        <f t="shared" si="43"/>
        <v>2.2330000000000001</v>
      </c>
      <c r="AL447" s="11">
        <f t="shared" si="43"/>
        <v>5.0750000000000002</v>
      </c>
      <c r="AM447" s="2"/>
      <c r="AN447" s="2"/>
      <c r="AO447" s="2"/>
    </row>
    <row r="448" spans="1:41" x14ac:dyDescent="0.2">
      <c r="A448" s="2" t="s">
        <v>942</v>
      </c>
      <c r="B448" s="2" t="s">
        <v>940</v>
      </c>
      <c r="C448" s="2" t="s">
        <v>38</v>
      </c>
      <c r="D448" s="2" t="s">
        <v>39</v>
      </c>
      <c r="E448" s="7" t="s">
        <v>40</v>
      </c>
      <c r="F448" s="2" t="s">
        <v>41</v>
      </c>
      <c r="G448" s="8" t="s">
        <v>44</v>
      </c>
      <c r="H448" s="2">
        <v>1.5</v>
      </c>
      <c r="I448" s="2">
        <v>1.3</v>
      </c>
      <c r="J448" s="2">
        <v>11</v>
      </c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9">
        <f t="shared" si="25"/>
        <v>1.9500000000000003E-2</v>
      </c>
      <c r="AB448" s="9">
        <f t="shared" si="26"/>
        <v>0.16500000000000001</v>
      </c>
      <c r="AC448" s="10">
        <f t="shared" si="27"/>
        <v>0</v>
      </c>
      <c r="AD448" s="10">
        <f t="shared" si="28"/>
        <v>0</v>
      </c>
      <c r="AE448" s="9">
        <f t="shared" si="29"/>
        <v>0</v>
      </c>
      <c r="AF448" s="9">
        <f t="shared" si="30"/>
        <v>0.1845</v>
      </c>
      <c r="AG448" s="9">
        <f t="shared" si="31"/>
        <v>12.3</v>
      </c>
      <c r="AH448" s="11">
        <f t="shared" si="43"/>
        <v>1.9500000000000002</v>
      </c>
      <c r="AI448" s="11">
        <f t="shared" si="43"/>
        <v>16.5</v>
      </c>
      <c r="AJ448" s="11">
        <f t="shared" si="43"/>
        <v>0</v>
      </c>
      <c r="AK448" s="11">
        <f t="shared" si="43"/>
        <v>0</v>
      </c>
      <c r="AL448" s="11">
        <f t="shared" si="43"/>
        <v>0</v>
      </c>
      <c r="AM448" s="2"/>
      <c r="AN448" s="2"/>
      <c r="AO448" s="2"/>
    </row>
    <row r="449" spans="1:41" x14ac:dyDescent="0.2">
      <c r="A449" s="2" t="s">
        <v>943</v>
      </c>
      <c r="B449" s="2" t="s">
        <v>944</v>
      </c>
      <c r="C449" s="2" t="s">
        <v>48</v>
      </c>
      <c r="D449" s="2"/>
      <c r="E449" s="2" t="s">
        <v>50</v>
      </c>
      <c r="F449" s="2" t="s">
        <v>945</v>
      </c>
      <c r="G449" s="2" t="s">
        <v>774</v>
      </c>
      <c r="H449" s="2">
        <v>1.841</v>
      </c>
      <c r="I449" s="2"/>
      <c r="J449" s="2">
        <v>10.050000000000001</v>
      </c>
      <c r="K449" s="2">
        <v>115</v>
      </c>
      <c r="L449" s="2">
        <v>1.78</v>
      </c>
      <c r="M449" s="2">
        <v>3.31</v>
      </c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9">
        <f t="shared" si="25"/>
        <v>0</v>
      </c>
      <c r="AB449" s="9">
        <f t="shared" si="26"/>
        <v>0.1850205</v>
      </c>
      <c r="AC449" s="10">
        <f t="shared" si="27"/>
        <v>211.715</v>
      </c>
      <c r="AD449" s="10">
        <f t="shared" si="28"/>
        <v>6.0937099999999997</v>
      </c>
      <c r="AE449" s="9">
        <f t="shared" si="29"/>
        <v>3.2769800000000002E-2</v>
      </c>
      <c r="AF449" s="9">
        <f t="shared" si="30"/>
        <v>0.21779029999999999</v>
      </c>
      <c r="AG449" s="9">
        <f t="shared" si="31"/>
        <v>11.83</v>
      </c>
      <c r="AH449" s="11">
        <f t="shared" si="43"/>
        <v>0</v>
      </c>
      <c r="AI449" s="11">
        <f t="shared" si="43"/>
        <v>18.502050000000001</v>
      </c>
      <c r="AJ449" s="11">
        <f t="shared" si="43"/>
        <v>211.715</v>
      </c>
      <c r="AK449" s="11">
        <f t="shared" si="43"/>
        <v>3.27698</v>
      </c>
      <c r="AL449" s="11">
        <f t="shared" si="43"/>
        <v>6.0937099999999997</v>
      </c>
      <c r="AM449" s="2"/>
      <c r="AN449" s="2"/>
      <c r="AO449" s="2"/>
    </row>
    <row r="450" spans="1:41" x14ac:dyDescent="0.2">
      <c r="A450" s="2" t="s">
        <v>946</v>
      </c>
      <c r="B450" s="2" t="s">
        <v>944</v>
      </c>
      <c r="C450" s="2" t="s">
        <v>48</v>
      </c>
      <c r="D450" s="2"/>
      <c r="E450" s="2" t="s">
        <v>50</v>
      </c>
      <c r="F450" s="2" t="s">
        <v>945</v>
      </c>
      <c r="G450" s="2" t="s">
        <v>774</v>
      </c>
      <c r="H450" s="2">
        <f>0.371+0.72+1.389+0.774+0.058+0.239+0.138+0.144+0.154+0.006</f>
        <v>3.9929999999999994</v>
      </c>
      <c r="I450" s="2"/>
      <c r="J450" s="9">
        <f>(0.04*0.371+0.05*0.72+0.07*1.389+3.92*0.774+3.05*0.058+0.1*0.239+0*0.138+0.1*0.144+3.6*0.154+3.3*0.006)/$H450</f>
        <v>0.99462809917355377</v>
      </c>
      <c r="K450" s="14">
        <f>(6*0.371+27*0.72+33*1.389+29*0.774+22*0.058+5*0.239+22*0.138+31*0.144+41*0.154+21*0.006)/$H450</f>
        <v>26.636614074630604</v>
      </c>
      <c r="L450" s="9">
        <f>(0.06*0.371+0.08*0.72+5.15*1.389+2.34*0.774+0.36*0.058+0.1*0.239+0.1*0.138+2.7*0.144+1.2*0.154+0.4*0.006)/$H450</f>
        <v>2.4239794640621088</v>
      </c>
      <c r="M450" s="9">
        <f>(1.47*0.371+2.85*0.72+1.4*1.389+1.3*0.774+1.24*0.058+1.1*0.239+1.4*0.138+0.6*0.144+2.6*0.154+1.1*0.006)/$H450</f>
        <v>1.6452767342849992</v>
      </c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9">
        <f t="shared" si="25"/>
        <v>0</v>
      </c>
      <c r="AB450" s="9">
        <f t="shared" si="26"/>
        <v>3.9715499999999994E-2</v>
      </c>
      <c r="AC450" s="10">
        <f t="shared" si="27"/>
        <v>106.35999999999999</v>
      </c>
      <c r="AD450" s="10">
        <f t="shared" si="28"/>
        <v>6.5695900000000007</v>
      </c>
      <c r="AE450" s="9">
        <f t="shared" si="29"/>
        <v>9.6789499999999987E-2</v>
      </c>
      <c r="AF450" s="9">
        <f t="shared" si="30"/>
        <v>0.13650499999999999</v>
      </c>
      <c r="AG450" s="9">
        <f t="shared" si="31"/>
        <v>3.4186075632356627</v>
      </c>
      <c r="AH450" s="11">
        <f t="shared" ref="AH450:AL465" si="44">$H450*I450</f>
        <v>0</v>
      </c>
      <c r="AI450" s="11">
        <f t="shared" si="44"/>
        <v>3.9715499999999997</v>
      </c>
      <c r="AJ450" s="11">
        <f t="shared" si="44"/>
        <v>106.35999999999999</v>
      </c>
      <c r="AK450" s="11">
        <f t="shared" si="44"/>
        <v>9.6789499999999986</v>
      </c>
      <c r="AL450" s="11">
        <f t="shared" si="44"/>
        <v>6.5695900000000007</v>
      </c>
      <c r="AM450" s="2"/>
      <c r="AN450" s="2"/>
      <c r="AO450" s="2"/>
    </row>
    <row r="451" spans="1:41" x14ac:dyDescent="0.2">
      <c r="A451" s="2" t="s">
        <v>947</v>
      </c>
      <c r="B451" s="2" t="s">
        <v>944</v>
      </c>
      <c r="C451" s="2" t="s">
        <v>48</v>
      </c>
      <c r="D451" s="2"/>
      <c r="E451" s="2" t="s">
        <v>50</v>
      </c>
      <c r="F451" s="2" t="s">
        <v>945</v>
      </c>
      <c r="G451" s="2" t="s">
        <v>774</v>
      </c>
      <c r="H451" s="2">
        <f>1.74+1.64+49.8+16.8+13.28+1.77</f>
        <v>85.03</v>
      </c>
      <c r="I451" s="2"/>
      <c r="J451" s="9">
        <f>(0.04*1.74+0.38*1.64+0.93*49.8+2.8*16.8+0.89*13.28+1.94*1.77)/$H451</f>
        <v>1.2854263201223097</v>
      </c>
      <c r="K451" s="13">
        <f>(4.3*1.74+12.2*1.64+7.7*49.8+9.9*16.8+10*13.28+11*1.77)/$H451</f>
        <v>8.5797953663412905</v>
      </c>
      <c r="L451" s="9">
        <f>(0.07*1.74+0.94*1.64+0.83*49.8+0.14*16.8+0.87*13.28+0.2*1.77)/$H451</f>
        <v>0.67337410325767377</v>
      </c>
      <c r="M451" s="9">
        <f>(1.06*1.74+0.17*1.64+0.17*49.8+0.31*16.8+0.25*13.28+0.39*1.77)/$H451</f>
        <v>0.23294719510760908</v>
      </c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9">
        <f t="shared" si="25"/>
        <v>0</v>
      </c>
      <c r="AB451" s="9">
        <f t="shared" si="26"/>
        <v>1.0929980000000001</v>
      </c>
      <c r="AC451" s="10">
        <f t="shared" si="27"/>
        <v>729.54</v>
      </c>
      <c r="AD451" s="10">
        <f t="shared" si="28"/>
        <v>19.807500000000001</v>
      </c>
      <c r="AE451" s="9">
        <f t="shared" si="29"/>
        <v>0.57257000000000002</v>
      </c>
      <c r="AF451" s="9">
        <f t="shared" si="30"/>
        <v>1.6655680000000002</v>
      </c>
      <c r="AG451" s="9">
        <f t="shared" si="31"/>
        <v>1.9588004233799836</v>
      </c>
      <c r="AH451" s="11">
        <f t="shared" si="44"/>
        <v>0</v>
      </c>
      <c r="AI451" s="11">
        <f t="shared" si="44"/>
        <v>109.2998</v>
      </c>
      <c r="AJ451" s="11">
        <f t="shared" si="44"/>
        <v>729.54</v>
      </c>
      <c r="AK451" s="11">
        <f t="shared" si="44"/>
        <v>57.257000000000005</v>
      </c>
      <c r="AL451" s="11">
        <f t="shared" si="44"/>
        <v>19.807500000000001</v>
      </c>
      <c r="AM451" s="2"/>
      <c r="AN451" s="2"/>
      <c r="AO451" s="2"/>
    </row>
    <row r="452" spans="1:41" x14ac:dyDescent="0.2">
      <c r="A452" s="2" t="s">
        <v>948</v>
      </c>
      <c r="B452" s="2" t="s">
        <v>944</v>
      </c>
      <c r="C452" s="2" t="s">
        <v>48</v>
      </c>
      <c r="D452" s="2"/>
      <c r="E452" s="2" t="s">
        <v>50</v>
      </c>
      <c r="F452" s="2" t="s">
        <v>949</v>
      </c>
      <c r="G452" s="2" t="s">
        <v>71</v>
      </c>
      <c r="H452" s="2">
        <f>0.41+7.46+21.07+0.03+0.01+1.3</f>
        <v>30.280000000000005</v>
      </c>
      <c r="I452" s="2"/>
      <c r="J452" s="9">
        <f>(0*0.41+0*7.46+5.87*21.07+0*0.03+0*0.01+4.5*1.3)/$H452</f>
        <v>4.2777708058124171</v>
      </c>
      <c r="K452" s="14">
        <f>(21*0.41+27*7.46+47*21.07+39*0.03+10*0.01+36*1.3)/$H452</f>
        <v>41.228203434610293</v>
      </c>
      <c r="L452" s="9">
        <f>(0*0.41+3.68*7.46+1.05*21.07+0*0.03+7.23*0.01+0.8*1.3)/$H452</f>
        <v>1.6739960369881108</v>
      </c>
      <c r="M452" s="13">
        <f>(6.8*0.41+0.6*7.46+0.7*21.07+7.3*0.03+0.1*0.01+0.5*1.3)/$H452</f>
        <v>0.75571334214002628</v>
      </c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9">
        <f t="shared" si="25"/>
        <v>0</v>
      </c>
      <c r="AB452" s="9">
        <f t="shared" si="26"/>
        <v>1.295309</v>
      </c>
      <c r="AC452" s="10">
        <f t="shared" si="27"/>
        <v>1248.3899999999999</v>
      </c>
      <c r="AD452" s="10">
        <f t="shared" si="28"/>
        <v>22.882999999999999</v>
      </c>
      <c r="AE452" s="9">
        <f t="shared" si="29"/>
        <v>0.50688600000000006</v>
      </c>
      <c r="AF452" s="9">
        <f t="shared" si="30"/>
        <v>1.8021950000000002</v>
      </c>
      <c r="AG452" s="9">
        <f t="shared" si="31"/>
        <v>5.9517668428005281</v>
      </c>
      <c r="AH452" s="11">
        <f t="shared" si="44"/>
        <v>0</v>
      </c>
      <c r="AI452" s="11">
        <f t="shared" si="44"/>
        <v>129.5309</v>
      </c>
      <c r="AJ452" s="11">
        <f t="shared" si="44"/>
        <v>1248.3899999999999</v>
      </c>
      <c r="AK452" s="11">
        <f t="shared" si="44"/>
        <v>50.688600000000001</v>
      </c>
      <c r="AL452" s="11">
        <f t="shared" si="44"/>
        <v>22.882999999999999</v>
      </c>
      <c r="AM452" s="2"/>
      <c r="AN452" s="2"/>
      <c r="AO452" s="2"/>
    </row>
    <row r="453" spans="1:41" x14ac:dyDescent="0.2">
      <c r="A453" s="2" t="s">
        <v>950</v>
      </c>
      <c r="B453" s="2" t="s">
        <v>944</v>
      </c>
      <c r="C453" s="2" t="s">
        <v>48</v>
      </c>
      <c r="D453" s="2"/>
      <c r="E453" s="2" t="s">
        <v>50</v>
      </c>
      <c r="F453" s="2" t="s">
        <v>949</v>
      </c>
      <c r="G453" s="2" t="s">
        <v>71</v>
      </c>
      <c r="H453" s="2">
        <f>6.86+0.02+0.002</f>
        <v>6.8819999999999997</v>
      </c>
      <c r="I453" s="2"/>
      <c r="J453" s="9">
        <f>(1.86*6.86+0*0.02+0.2*0.002)/$H453</f>
        <v>1.8541121766928221</v>
      </c>
      <c r="K453" s="14">
        <f>(10*6.86+17*0.02+8*0.002)/$H453</f>
        <v>10.019761697181055</v>
      </c>
      <c r="L453" s="9">
        <f>(1.14*6.86+0*0.02+0.9*0.002)/$H453</f>
        <v>1.1366172624237141</v>
      </c>
      <c r="M453" s="13">
        <f>(0.2*6.86+1.5*0.02+0.2*0.002)/$H453</f>
        <v>0.20377797151990704</v>
      </c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9">
        <f t="shared" si="25"/>
        <v>0</v>
      </c>
      <c r="AB453" s="9">
        <f t="shared" si="26"/>
        <v>0.12760000000000002</v>
      </c>
      <c r="AC453" s="10">
        <f t="shared" si="27"/>
        <v>68.956000000000017</v>
      </c>
      <c r="AD453" s="10">
        <f t="shared" si="28"/>
        <v>1.4024000000000001</v>
      </c>
      <c r="AE453" s="9">
        <f t="shared" si="29"/>
        <v>7.8222E-2</v>
      </c>
      <c r="AF453" s="9">
        <f t="shared" si="30"/>
        <v>0.205822</v>
      </c>
      <c r="AG453" s="9">
        <f t="shared" si="31"/>
        <v>2.990729439116536</v>
      </c>
      <c r="AH453" s="11">
        <f t="shared" si="44"/>
        <v>0</v>
      </c>
      <c r="AI453" s="11">
        <f t="shared" si="44"/>
        <v>12.760000000000002</v>
      </c>
      <c r="AJ453" s="11">
        <f t="shared" si="44"/>
        <v>68.956000000000017</v>
      </c>
      <c r="AK453" s="11">
        <f t="shared" si="44"/>
        <v>7.8221999999999996</v>
      </c>
      <c r="AL453" s="11">
        <f t="shared" si="44"/>
        <v>1.4024000000000001</v>
      </c>
      <c r="AM453" s="2"/>
      <c r="AN453" s="2"/>
      <c r="AO453" s="2"/>
    </row>
    <row r="454" spans="1:41" x14ac:dyDescent="0.2">
      <c r="A454" s="2" t="s">
        <v>951</v>
      </c>
      <c r="B454" s="2" t="s">
        <v>944</v>
      </c>
      <c r="C454" s="2" t="s">
        <v>48</v>
      </c>
      <c r="D454" s="2"/>
      <c r="E454" s="2" t="s">
        <v>50</v>
      </c>
      <c r="F454" s="2" t="s">
        <v>949</v>
      </c>
      <c r="G454" s="2" t="s">
        <v>71</v>
      </c>
      <c r="H454" s="2">
        <f>0.07+1.8+0.02+0.35</f>
        <v>2.2400000000000002</v>
      </c>
      <c r="I454" s="2"/>
      <c r="J454" s="9">
        <f>(0*0.07+3.91*1.8+0*0.02+4.1*0.35)/$H454</f>
        <v>3.7825892857142858</v>
      </c>
      <c r="K454" s="14">
        <f>(14*0.07+23*1.8+8*0.02+32*0.35)/$H454</f>
        <v>23.991071428571423</v>
      </c>
      <c r="L454" s="9">
        <f>(0*0.07+0.65*1.8+0*0.02+0.75*0.35)/$H454</f>
        <v>0.6395089285714286</v>
      </c>
      <c r="M454" s="13">
        <f>(5.5*0.07+0.6*1.8+5.9*0.02+0.8*0.35)/$H454</f>
        <v>0.83169642857142856</v>
      </c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9">
        <f t="shared" si="25"/>
        <v>0</v>
      </c>
      <c r="AB454" s="9">
        <f t="shared" si="26"/>
        <v>8.4730000000000014E-2</v>
      </c>
      <c r="AC454" s="10">
        <f t="shared" si="27"/>
        <v>53.739999999999995</v>
      </c>
      <c r="AD454" s="10">
        <f t="shared" si="28"/>
        <v>1.8630000000000002</v>
      </c>
      <c r="AE454" s="9">
        <f t="shared" si="29"/>
        <v>1.4325000000000001E-2</v>
      </c>
      <c r="AF454" s="9">
        <f t="shared" si="30"/>
        <v>9.9055000000000018E-2</v>
      </c>
      <c r="AG454" s="9">
        <f t="shared" si="31"/>
        <v>4.4220982142857146</v>
      </c>
      <c r="AH454" s="11">
        <f t="shared" si="44"/>
        <v>0</v>
      </c>
      <c r="AI454" s="11">
        <f t="shared" si="44"/>
        <v>8.4730000000000008</v>
      </c>
      <c r="AJ454" s="11">
        <f t="shared" si="44"/>
        <v>53.739999999999995</v>
      </c>
      <c r="AK454" s="11">
        <f t="shared" si="44"/>
        <v>1.4325000000000001</v>
      </c>
      <c r="AL454" s="11">
        <f t="shared" si="44"/>
        <v>1.8630000000000002</v>
      </c>
      <c r="AM454" s="2"/>
      <c r="AN454" s="2"/>
      <c r="AO454" s="2"/>
    </row>
    <row r="455" spans="1:41" x14ac:dyDescent="0.2">
      <c r="A455" s="2" t="s">
        <v>952</v>
      </c>
      <c r="B455" s="2" t="s">
        <v>944</v>
      </c>
      <c r="C455" s="2" t="s">
        <v>48</v>
      </c>
      <c r="D455" s="2"/>
      <c r="E455" s="2" t="s">
        <v>50</v>
      </c>
      <c r="F455" s="2" t="s">
        <v>949</v>
      </c>
      <c r="G455" s="2" t="s">
        <v>71</v>
      </c>
      <c r="H455" s="2">
        <f>1.02+2.53+0.5+0.1+0.1</f>
        <v>4.2499999999999991</v>
      </c>
      <c r="I455" s="2"/>
      <c r="J455" s="9">
        <f>(0*1.02+1.08*2.53+0*0.5+0*0.1+0.9*0.1)/$H455</f>
        <v>0.66409411764705895</v>
      </c>
      <c r="K455" s="14">
        <f>(10*1.02+13*2.53+18*0.5+19*0.1+15*0.1)/$H455</f>
        <v>13.056470588235298</v>
      </c>
      <c r="L455" s="9">
        <f>(1.47*1.02+1.04*2.53+0*0.5+0.8*0.1+0.9*0.1)/$H455</f>
        <v>1.0119058823529412</v>
      </c>
      <c r="M455" s="9">
        <f>(0.2*1.02+0.3*2.53+3.7*0.5+3.7*0.1+2.9*0.1)/$H455</f>
        <v>0.81717647058823539</v>
      </c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9">
        <f t="shared" si="25"/>
        <v>0</v>
      </c>
      <c r="AB455" s="9">
        <f t="shared" si="26"/>
        <v>2.8223999999999999E-2</v>
      </c>
      <c r="AC455" s="10">
        <f t="shared" si="27"/>
        <v>55.49</v>
      </c>
      <c r="AD455" s="10">
        <f t="shared" si="28"/>
        <v>3.4729999999999999</v>
      </c>
      <c r="AE455" s="9">
        <f t="shared" si="29"/>
        <v>4.3005999999999996E-2</v>
      </c>
      <c r="AF455" s="9">
        <f t="shared" si="30"/>
        <v>7.1229999999999988E-2</v>
      </c>
      <c r="AG455" s="9">
        <f t="shared" si="31"/>
        <v>1.6760000000000002</v>
      </c>
      <c r="AH455" s="11">
        <f t="shared" si="44"/>
        <v>0</v>
      </c>
      <c r="AI455" s="11">
        <f t="shared" si="44"/>
        <v>2.8224</v>
      </c>
      <c r="AJ455" s="11">
        <f t="shared" si="44"/>
        <v>55.49</v>
      </c>
      <c r="AK455" s="11">
        <f t="shared" si="44"/>
        <v>4.3005999999999993</v>
      </c>
      <c r="AL455" s="11">
        <f t="shared" si="44"/>
        <v>3.4729999999999999</v>
      </c>
      <c r="AM455" s="2"/>
      <c r="AN455" s="2"/>
      <c r="AO455" s="2"/>
    </row>
    <row r="456" spans="1:41" x14ac:dyDescent="0.2">
      <c r="A456" s="2" t="s">
        <v>953</v>
      </c>
      <c r="B456" s="2" t="s">
        <v>954</v>
      </c>
      <c r="C456" s="2" t="s">
        <v>48</v>
      </c>
      <c r="D456" s="2"/>
      <c r="E456" s="2" t="s">
        <v>50</v>
      </c>
      <c r="F456" s="2" t="s">
        <v>955</v>
      </c>
      <c r="G456" s="2" t="s">
        <v>106</v>
      </c>
      <c r="H456" s="2">
        <f>1.03+1.23+0.9</f>
        <v>3.1599999999999997</v>
      </c>
      <c r="I456" s="2"/>
      <c r="J456" s="9">
        <f>(0.06*1.03+0.07*1.23+0.1*0.9)/$H456</f>
        <v>7.528481012658228E-2</v>
      </c>
      <c r="K456" s="2"/>
      <c r="L456" s="9">
        <f>(0.47*1.03+0.3*1.23+0.3*0.9)/$H456</f>
        <v>0.35541139240506331</v>
      </c>
      <c r="M456" s="2"/>
      <c r="N456" s="2"/>
      <c r="O456" s="9">
        <f>(0.13*1.03+0.11*1.23+0.1*0.9)/$H456</f>
        <v>0.11367088607594938</v>
      </c>
      <c r="P456" s="9">
        <f>(0.47*1.03+0.42*1.23+0.4*0.9)/$H456</f>
        <v>0.43060126582278485</v>
      </c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9">
        <f t="shared" si="25"/>
        <v>0</v>
      </c>
      <c r="AB456" s="9">
        <f t="shared" si="26"/>
        <v>2.3789999999999996E-3</v>
      </c>
      <c r="AC456" s="10">
        <f t="shared" si="27"/>
        <v>0</v>
      </c>
      <c r="AD456" s="10">
        <f t="shared" si="28"/>
        <v>0</v>
      </c>
      <c r="AE456" s="9">
        <f t="shared" si="29"/>
        <v>1.1231E-2</v>
      </c>
      <c r="AF456" s="9">
        <f t="shared" si="30"/>
        <v>1.3609999999999999E-2</v>
      </c>
      <c r="AG456" s="9">
        <f t="shared" si="31"/>
        <v>0.43069620253164559</v>
      </c>
      <c r="AH456" s="11">
        <f t="shared" si="44"/>
        <v>0</v>
      </c>
      <c r="AI456" s="11">
        <f t="shared" si="44"/>
        <v>0.23789999999999997</v>
      </c>
      <c r="AJ456" s="11">
        <f t="shared" si="44"/>
        <v>0</v>
      </c>
      <c r="AK456" s="11">
        <f t="shared" si="44"/>
        <v>1.1231</v>
      </c>
      <c r="AL456" s="11">
        <f t="shared" si="44"/>
        <v>0</v>
      </c>
      <c r="AM456" s="2"/>
      <c r="AN456" s="2"/>
      <c r="AO456" s="2"/>
    </row>
    <row r="457" spans="1:41" x14ac:dyDescent="0.2">
      <c r="A457" s="2" t="s">
        <v>956</v>
      </c>
      <c r="B457" s="2" t="s">
        <v>954</v>
      </c>
      <c r="C457" s="2" t="s">
        <v>368</v>
      </c>
      <c r="D457" s="2" t="s">
        <v>366</v>
      </c>
      <c r="E457" s="2" t="s">
        <v>50</v>
      </c>
      <c r="F457" s="2" t="s">
        <v>957</v>
      </c>
      <c r="G457" s="2" t="s">
        <v>615</v>
      </c>
      <c r="H457" s="2">
        <v>34.4</v>
      </c>
      <c r="I457" s="2"/>
      <c r="J457" s="2">
        <v>0.38</v>
      </c>
      <c r="K457" s="2"/>
      <c r="L457" s="9">
        <v>0.1</v>
      </c>
      <c r="M457" s="2"/>
      <c r="N457" s="2"/>
      <c r="O457" s="2">
        <v>0.19</v>
      </c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9">
        <f t="shared" si="25"/>
        <v>0</v>
      </c>
      <c r="AB457" s="9">
        <f t="shared" si="26"/>
        <v>0.13072</v>
      </c>
      <c r="AC457" s="10">
        <f t="shared" si="27"/>
        <v>0</v>
      </c>
      <c r="AD457" s="10">
        <f t="shared" si="28"/>
        <v>0</v>
      </c>
      <c r="AE457" s="9">
        <f t="shared" si="29"/>
        <v>3.44E-2</v>
      </c>
      <c r="AF457" s="9">
        <f t="shared" si="30"/>
        <v>0.16511999999999999</v>
      </c>
      <c r="AG457" s="9">
        <f t="shared" si="31"/>
        <v>0.48</v>
      </c>
      <c r="AH457" s="11">
        <f t="shared" si="44"/>
        <v>0</v>
      </c>
      <c r="AI457" s="11">
        <f t="shared" si="44"/>
        <v>13.071999999999999</v>
      </c>
      <c r="AJ457" s="11">
        <f t="shared" si="44"/>
        <v>0</v>
      </c>
      <c r="AK457" s="11">
        <f t="shared" si="44"/>
        <v>3.44</v>
      </c>
      <c r="AL457" s="11">
        <f t="shared" si="44"/>
        <v>0</v>
      </c>
      <c r="AM457" s="2"/>
      <c r="AN457" s="2"/>
      <c r="AO457" s="2"/>
    </row>
    <row r="458" spans="1:41" x14ac:dyDescent="0.2">
      <c r="A458" s="2" t="s">
        <v>958</v>
      </c>
      <c r="B458" s="2" t="s">
        <v>954</v>
      </c>
      <c r="C458" s="2" t="s">
        <v>48</v>
      </c>
      <c r="D458" s="2"/>
      <c r="E458" s="7" t="s">
        <v>40</v>
      </c>
      <c r="F458" s="2" t="s">
        <v>41</v>
      </c>
      <c r="G458" s="2" t="s">
        <v>959</v>
      </c>
      <c r="H458" s="2">
        <v>0.4</v>
      </c>
      <c r="I458" s="2"/>
      <c r="J458" s="2">
        <v>0.1</v>
      </c>
      <c r="K458" s="2"/>
      <c r="L458" s="9">
        <v>0.44</v>
      </c>
      <c r="M458" s="2"/>
      <c r="N458" s="2"/>
      <c r="O458" s="2">
        <v>0.18</v>
      </c>
      <c r="P458" s="2">
        <v>7.0000000000000007E-2</v>
      </c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9">
        <f t="shared" si="25"/>
        <v>0</v>
      </c>
      <c r="AB458" s="9">
        <f t="shared" si="26"/>
        <v>4.0000000000000007E-4</v>
      </c>
      <c r="AC458" s="10">
        <f t="shared" si="27"/>
        <v>0</v>
      </c>
      <c r="AD458" s="10">
        <f t="shared" si="28"/>
        <v>0</v>
      </c>
      <c r="AE458" s="9">
        <f t="shared" si="29"/>
        <v>1.7600000000000003E-3</v>
      </c>
      <c r="AF458" s="9">
        <f t="shared" si="30"/>
        <v>2.1600000000000005E-3</v>
      </c>
      <c r="AG458" s="9">
        <f t="shared" si="31"/>
        <v>0.54</v>
      </c>
      <c r="AH458" s="11">
        <f t="shared" si="44"/>
        <v>0</v>
      </c>
      <c r="AI458" s="11">
        <f t="shared" si="44"/>
        <v>4.0000000000000008E-2</v>
      </c>
      <c r="AJ458" s="11">
        <f t="shared" si="44"/>
        <v>0</v>
      </c>
      <c r="AK458" s="11">
        <f t="shared" si="44"/>
        <v>0.17600000000000002</v>
      </c>
      <c r="AL458" s="11">
        <f t="shared" si="44"/>
        <v>0</v>
      </c>
      <c r="AM458" s="2"/>
      <c r="AN458" s="2"/>
      <c r="AO458" s="2"/>
    </row>
    <row r="459" spans="1:41" x14ac:dyDescent="0.2">
      <c r="A459" s="2" t="s">
        <v>960</v>
      </c>
      <c r="B459" s="2" t="s">
        <v>954</v>
      </c>
      <c r="C459" s="2" t="s">
        <v>48</v>
      </c>
      <c r="D459" s="2"/>
      <c r="E459" s="2" t="s">
        <v>50</v>
      </c>
      <c r="F459" s="2" t="s">
        <v>955</v>
      </c>
      <c r="G459" s="2" t="s">
        <v>106</v>
      </c>
      <c r="H459" s="9">
        <v>7.7</v>
      </c>
      <c r="I459" s="2"/>
      <c r="J459" s="2">
        <v>0.52</v>
      </c>
      <c r="K459" s="2"/>
      <c r="L459" s="2">
        <v>1.31</v>
      </c>
      <c r="M459" s="2">
        <v>0.68</v>
      </c>
      <c r="N459" s="2"/>
      <c r="O459" s="2">
        <v>0.21</v>
      </c>
      <c r="P459" s="2">
        <v>0.23</v>
      </c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9">
        <f t="shared" si="25"/>
        <v>0</v>
      </c>
      <c r="AB459" s="9">
        <f t="shared" si="26"/>
        <v>4.0040000000000006E-2</v>
      </c>
      <c r="AC459" s="10">
        <f t="shared" si="27"/>
        <v>0</v>
      </c>
      <c r="AD459" s="10">
        <f t="shared" si="28"/>
        <v>5.2360000000000007</v>
      </c>
      <c r="AE459" s="9">
        <f t="shared" si="29"/>
        <v>0.10087000000000002</v>
      </c>
      <c r="AF459" s="9">
        <f t="shared" si="30"/>
        <v>0.14091000000000004</v>
      </c>
      <c r="AG459" s="9">
        <f t="shared" si="31"/>
        <v>1.83</v>
      </c>
      <c r="AH459" s="11">
        <f t="shared" si="44"/>
        <v>0</v>
      </c>
      <c r="AI459" s="11">
        <f t="shared" si="44"/>
        <v>4.0040000000000004</v>
      </c>
      <c r="AJ459" s="11">
        <f t="shared" si="44"/>
        <v>0</v>
      </c>
      <c r="AK459" s="11">
        <f t="shared" si="44"/>
        <v>10.087000000000002</v>
      </c>
      <c r="AL459" s="11">
        <f t="shared" si="44"/>
        <v>5.2360000000000007</v>
      </c>
      <c r="AM459" s="2"/>
      <c r="AN459" s="2"/>
      <c r="AO459" s="2"/>
    </row>
    <row r="460" spans="1:41" x14ac:dyDescent="0.2">
      <c r="A460" s="2" t="s">
        <v>961</v>
      </c>
      <c r="B460" s="2" t="s">
        <v>954</v>
      </c>
      <c r="C460" s="2" t="s">
        <v>48</v>
      </c>
      <c r="D460" s="2"/>
      <c r="E460" s="7" t="s">
        <v>40</v>
      </c>
      <c r="F460" s="2" t="s">
        <v>41</v>
      </c>
      <c r="G460" s="2" t="s">
        <v>959</v>
      </c>
      <c r="H460" s="2">
        <v>1.32</v>
      </c>
      <c r="I460" s="2"/>
      <c r="J460" s="2">
        <v>1.89</v>
      </c>
      <c r="K460" s="2"/>
      <c r="L460" s="9">
        <v>2.15</v>
      </c>
      <c r="M460" s="2"/>
      <c r="N460" s="2"/>
      <c r="O460" s="2">
        <v>0.15</v>
      </c>
      <c r="P460" s="2">
        <v>0.16</v>
      </c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9">
        <f t="shared" si="25"/>
        <v>0</v>
      </c>
      <c r="AB460" s="9">
        <f t="shared" si="26"/>
        <v>2.4948000000000001E-2</v>
      </c>
      <c r="AC460" s="10">
        <f t="shared" si="27"/>
        <v>0</v>
      </c>
      <c r="AD460" s="10">
        <f t="shared" si="28"/>
        <v>0</v>
      </c>
      <c r="AE460" s="9">
        <f t="shared" si="29"/>
        <v>2.8380000000000002E-2</v>
      </c>
      <c r="AF460" s="9">
        <f t="shared" si="30"/>
        <v>5.3328E-2</v>
      </c>
      <c r="AG460" s="9">
        <f t="shared" si="31"/>
        <v>4.04</v>
      </c>
      <c r="AH460" s="11">
        <f t="shared" si="44"/>
        <v>0</v>
      </c>
      <c r="AI460" s="11">
        <f t="shared" si="44"/>
        <v>2.4948000000000001</v>
      </c>
      <c r="AJ460" s="11">
        <f t="shared" si="44"/>
        <v>0</v>
      </c>
      <c r="AK460" s="11">
        <f t="shared" si="44"/>
        <v>2.8380000000000001</v>
      </c>
      <c r="AL460" s="11">
        <f t="shared" si="44"/>
        <v>0</v>
      </c>
      <c r="AM460" s="2"/>
      <c r="AN460" s="2"/>
      <c r="AO460" s="2"/>
    </row>
    <row r="461" spans="1:41" x14ac:dyDescent="0.2">
      <c r="A461" s="2" t="s">
        <v>962</v>
      </c>
      <c r="B461" s="2" t="s">
        <v>954</v>
      </c>
      <c r="C461" s="2" t="s">
        <v>48</v>
      </c>
      <c r="D461" s="2"/>
      <c r="E461" s="2" t="s">
        <v>50</v>
      </c>
      <c r="F461" s="2" t="s">
        <v>963</v>
      </c>
      <c r="G461" s="2" t="s">
        <v>71</v>
      </c>
      <c r="H461" s="2">
        <f>7.22+7.393</f>
        <v>14.613</v>
      </c>
      <c r="I461" s="2"/>
      <c r="J461" s="9">
        <f>(0.45*7.22+1.79*7.393)/$H461</f>
        <v>1.1279319783754191</v>
      </c>
      <c r="K461" s="13">
        <f>(14*7.22+14*7.393)/$H461</f>
        <v>14</v>
      </c>
      <c r="L461" s="9">
        <f>(0.6*7.22+1.05*7.393)/$H461</f>
        <v>0.82766372408129751</v>
      </c>
      <c r="M461" s="9">
        <f>(0.4*7.22+0.4*7.393)/$H461</f>
        <v>0.4</v>
      </c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9">
        <f t="shared" si="25"/>
        <v>0</v>
      </c>
      <c r="AB461" s="9">
        <f t="shared" si="26"/>
        <v>0.16482469999999999</v>
      </c>
      <c r="AC461" s="10">
        <f t="shared" si="27"/>
        <v>204.58199999999999</v>
      </c>
      <c r="AD461" s="10">
        <f t="shared" si="28"/>
        <v>5.8452000000000002</v>
      </c>
      <c r="AE461" s="9">
        <f t="shared" si="29"/>
        <v>0.1209465</v>
      </c>
      <c r="AF461" s="9">
        <f t="shared" si="30"/>
        <v>0.2857712</v>
      </c>
      <c r="AG461" s="9">
        <f t="shared" si="31"/>
        <v>1.9555957024567165</v>
      </c>
      <c r="AH461" s="11">
        <f t="shared" si="44"/>
        <v>0</v>
      </c>
      <c r="AI461" s="11">
        <f t="shared" si="44"/>
        <v>16.482469999999999</v>
      </c>
      <c r="AJ461" s="11">
        <f t="shared" si="44"/>
        <v>204.58199999999999</v>
      </c>
      <c r="AK461" s="11">
        <f t="shared" si="44"/>
        <v>12.09465</v>
      </c>
      <c r="AL461" s="11">
        <f t="shared" si="44"/>
        <v>5.8452000000000002</v>
      </c>
      <c r="AM461" s="2"/>
      <c r="AN461" s="2"/>
      <c r="AO461" s="2"/>
    </row>
    <row r="462" spans="1:41" x14ac:dyDescent="0.2">
      <c r="A462" s="2" t="s">
        <v>964</v>
      </c>
      <c r="B462" s="2" t="s">
        <v>954</v>
      </c>
      <c r="C462" s="2" t="s">
        <v>38</v>
      </c>
      <c r="D462" s="2" t="s">
        <v>62</v>
      </c>
      <c r="E462" s="7" t="s">
        <v>40</v>
      </c>
      <c r="F462" s="2" t="s">
        <v>41</v>
      </c>
      <c r="G462" s="8" t="s">
        <v>44</v>
      </c>
      <c r="H462" s="2">
        <v>1.7</v>
      </c>
      <c r="I462" s="2">
        <v>0.96</v>
      </c>
      <c r="J462" s="2">
        <v>4.97</v>
      </c>
      <c r="K462" s="2">
        <v>53</v>
      </c>
      <c r="L462" s="2">
        <v>1.33</v>
      </c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9">
        <f t="shared" si="25"/>
        <v>1.6319999999999998E-2</v>
      </c>
      <c r="AB462" s="9">
        <f t="shared" si="26"/>
        <v>8.4489999999999996E-2</v>
      </c>
      <c r="AC462" s="10">
        <f t="shared" si="27"/>
        <v>90.1</v>
      </c>
      <c r="AD462" s="10">
        <f t="shared" si="28"/>
        <v>0</v>
      </c>
      <c r="AE462" s="9">
        <f t="shared" si="29"/>
        <v>2.2610000000000002E-2</v>
      </c>
      <c r="AF462" s="9">
        <f t="shared" si="30"/>
        <v>0.12342</v>
      </c>
      <c r="AG462" s="9">
        <f t="shared" si="31"/>
        <v>7.26</v>
      </c>
      <c r="AH462" s="11">
        <f t="shared" si="44"/>
        <v>1.6319999999999999</v>
      </c>
      <c r="AI462" s="11">
        <f t="shared" si="44"/>
        <v>8.4489999999999998</v>
      </c>
      <c r="AJ462" s="11">
        <f t="shared" si="44"/>
        <v>90.1</v>
      </c>
      <c r="AK462" s="11">
        <f t="shared" si="44"/>
        <v>2.2610000000000001</v>
      </c>
      <c r="AL462" s="11">
        <f t="shared" si="44"/>
        <v>0</v>
      </c>
      <c r="AM462" s="2"/>
      <c r="AN462" s="2"/>
      <c r="AO462" s="2"/>
    </row>
    <row r="463" spans="1:41" x14ac:dyDescent="0.2">
      <c r="A463" s="2" t="s">
        <v>965</v>
      </c>
      <c r="B463" s="2" t="s">
        <v>954</v>
      </c>
      <c r="C463" s="2" t="s">
        <v>247</v>
      </c>
      <c r="D463" s="2"/>
      <c r="E463" s="2" t="s">
        <v>50</v>
      </c>
      <c r="F463" s="2" t="s">
        <v>966</v>
      </c>
      <c r="G463" s="2" t="s">
        <v>967</v>
      </c>
      <c r="H463" s="2">
        <v>34.4</v>
      </c>
      <c r="I463" s="2"/>
      <c r="J463" s="2">
        <v>0.38</v>
      </c>
      <c r="K463" s="2"/>
      <c r="L463" s="9">
        <v>0.1</v>
      </c>
      <c r="M463" s="2"/>
      <c r="N463" s="2"/>
      <c r="O463" s="2">
        <v>0.19</v>
      </c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9">
        <f t="shared" si="25"/>
        <v>0</v>
      </c>
      <c r="AB463" s="9">
        <f t="shared" si="26"/>
        <v>0.13072</v>
      </c>
      <c r="AC463" s="10">
        <f t="shared" si="27"/>
        <v>0</v>
      </c>
      <c r="AD463" s="10">
        <f t="shared" si="28"/>
        <v>0</v>
      </c>
      <c r="AE463" s="9">
        <f t="shared" si="29"/>
        <v>3.44E-2</v>
      </c>
      <c r="AF463" s="9">
        <f t="shared" si="30"/>
        <v>0.16511999999999999</v>
      </c>
      <c r="AG463" s="9">
        <f t="shared" si="31"/>
        <v>0.48</v>
      </c>
      <c r="AH463" s="11">
        <f t="shared" si="44"/>
        <v>0</v>
      </c>
      <c r="AI463" s="11">
        <f t="shared" si="44"/>
        <v>13.071999999999999</v>
      </c>
      <c r="AJ463" s="11">
        <f t="shared" si="44"/>
        <v>0</v>
      </c>
      <c r="AK463" s="11">
        <f t="shared" si="44"/>
        <v>3.44</v>
      </c>
      <c r="AL463" s="11">
        <f t="shared" si="44"/>
        <v>0</v>
      </c>
      <c r="AM463" s="2"/>
      <c r="AN463" s="2"/>
      <c r="AO463" s="2"/>
    </row>
    <row r="464" spans="1:41" x14ac:dyDescent="0.2">
      <c r="A464" s="2" t="s">
        <v>968</v>
      </c>
      <c r="B464" s="2" t="s">
        <v>954</v>
      </c>
      <c r="C464" s="2" t="s">
        <v>48</v>
      </c>
      <c r="D464" s="2"/>
      <c r="E464" s="7" t="s">
        <v>40</v>
      </c>
      <c r="F464" s="2" t="s">
        <v>41</v>
      </c>
      <c r="G464" s="2" t="s">
        <v>959</v>
      </c>
      <c r="H464" s="2">
        <v>0.7</v>
      </c>
      <c r="I464" s="2"/>
      <c r="J464" s="2">
        <v>0.09</v>
      </c>
      <c r="K464" s="2"/>
      <c r="L464" s="2">
        <v>0.72</v>
      </c>
      <c r="M464" s="2">
        <v>0.3</v>
      </c>
      <c r="N464" s="2"/>
      <c r="O464" s="2">
        <v>0.03</v>
      </c>
      <c r="P464" s="2">
        <v>0.09</v>
      </c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9">
        <f t="shared" si="25"/>
        <v>0</v>
      </c>
      <c r="AB464" s="9">
        <f t="shared" si="26"/>
        <v>6.3000000000000003E-4</v>
      </c>
      <c r="AC464" s="10">
        <f t="shared" si="27"/>
        <v>0</v>
      </c>
      <c r="AD464" s="10">
        <f t="shared" si="28"/>
        <v>0.21</v>
      </c>
      <c r="AE464" s="9">
        <f t="shared" si="29"/>
        <v>5.0400000000000002E-3</v>
      </c>
      <c r="AF464" s="9">
        <f t="shared" si="30"/>
        <v>5.6700000000000006E-3</v>
      </c>
      <c r="AG464" s="9">
        <f t="shared" si="31"/>
        <v>0.80999999999999994</v>
      </c>
      <c r="AH464" s="11">
        <f t="shared" si="44"/>
        <v>0</v>
      </c>
      <c r="AI464" s="11">
        <f t="shared" si="44"/>
        <v>6.3E-2</v>
      </c>
      <c r="AJ464" s="11">
        <f t="shared" si="44"/>
        <v>0</v>
      </c>
      <c r="AK464" s="11">
        <f t="shared" si="44"/>
        <v>0.504</v>
      </c>
      <c r="AL464" s="11">
        <f t="shared" si="44"/>
        <v>0.21</v>
      </c>
      <c r="AM464" s="2"/>
      <c r="AN464" s="2"/>
      <c r="AO464" s="2"/>
    </row>
    <row r="465" spans="1:41" x14ac:dyDescent="0.2">
      <c r="A465" s="2" t="s">
        <v>969</v>
      </c>
      <c r="B465" s="2" t="s">
        <v>954</v>
      </c>
      <c r="C465" s="2" t="s">
        <v>48</v>
      </c>
      <c r="D465" s="2"/>
      <c r="E465" s="2" t="s">
        <v>50</v>
      </c>
      <c r="F465" s="2" t="s">
        <v>955</v>
      </c>
      <c r="G465" s="2" t="s">
        <v>106</v>
      </c>
      <c r="H465" s="9">
        <v>3.4</v>
      </c>
      <c r="I465" s="2"/>
      <c r="J465" s="2">
        <v>0.63</v>
      </c>
      <c r="K465" s="2"/>
      <c r="L465" s="2">
        <v>0.71</v>
      </c>
      <c r="M465" s="2"/>
      <c r="N465" s="2"/>
      <c r="O465" s="2">
        <v>0.05</v>
      </c>
      <c r="P465" s="2">
        <v>0.09</v>
      </c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9">
        <f t="shared" si="25"/>
        <v>0</v>
      </c>
      <c r="AB465" s="9">
        <f t="shared" si="26"/>
        <v>2.1419999999999998E-2</v>
      </c>
      <c r="AC465" s="10">
        <f t="shared" si="27"/>
        <v>0</v>
      </c>
      <c r="AD465" s="10">
        <f t="shared" si="28"/>
        <v>0</v>
      </c>
      <c r="AE465" s="9">
        <f t="shared" si="29"/>
        <v>2.4139999999999998E-2</v>
      </c>
      <c r="AF465" s="9">
        <f t="shared" si="30"/>
        <v>4.5559999999999996E-2</v>
      </c>
      <c r="AG465" s="9">
        <f t="shared" si="31"/>
        <v>1.3399999999999999</v>
      </c>
      <c r="AH465" s="11">
        <f t="shared" si="44"/>
        <v>0</v>
      </c>
      <c r="AI465" s="11">
        <f t="shared" si="44"/>
        <v>2.1419999999999999</v>
      </c>
      <c r="AJ465" s="11">
        <f t="shared" si="44"/>
        <v>0</v>
      </c>
      <c r="AK465" s="11">
        <f t="shared" si="44"/>
        <v>2.4139999999999997</v>
      </c>
      <c r="AL465" s="11">
        <f t="shared" si="44"/>
        <v>0</v>
      </c>
      <c r="AM465" s="2"/>
      <c r="AN465" s="2"/>
      <c r="AO465" s="2"/>
    </row>
    <row r="466" spans="1:41" x14ac:dyDescent="0.2">
      <c r="A466" s="2" t="s">
        <v>970</v>
      </c>
      <c r="B466" s="2" t="s">
        <v>954</v>
      </c>
      <c r="C466" s="2" t="s">
        <v>618</v>
      </c>
      <c r="D466" s="2"/>
      <c r="E466" s="7" t="s">
        <v>40</v>
      </c>
      <c r="F466" s="2" t="s">
        <v>41</v>
      </c>
      <c r="G466" s="2" t="s">
        <v>959</v>
      </c>
      <c r="H466" s="2">
        <v>0.2</v>
      </c>
      <c r="I466" s="2"/>
      <c r="J466" s="2">
        <v>0.25</v>
      </c>
      <c r="K466" s="2">
        <v>52</v>
      </c>
      <c r="L466" s="9">
        <v>1.95</v>
      </c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9">
        <f t="shared" si="25"/>
        <v>0</v>
      </c>
      <c r="AB466" s="9">
        <f t="shared" si="26"/>
        <v>5.0000000000000001E-4</v>
      </c>
      <c r="AC466" s="10">
        <f t="shared" si="27"/>
        <v>10.4</v>
      </c>
      <c r="AD466" s="10">
        <f t="shared" si="28"/>
        <v>0</v>
      </c>
      <c r="AE466" s="9">
        <f t="shared" si="29"/>
        <v>3.9000000000000003E-3</v>
      </c>
      <c r="AF466" s="9">
        <f t="shared" si="30"/>
        <v>4.4000000000000003E-3</v>
      </c>
      <c r="AG466" s="9">
        <f t="shared" si="31"/>
        <v>2.2000000000000002</v>
      </c>
      <c r="AH466" s="11">
        <f t="shared" ref="AH466:AL481" si="45">$H466*I466</f>
        <v>0</v>
      </c>
      <c r="AI466" s="11">
        <f t="shared" si="45"/>
        <v>0.05</v>
      </c>
      <c r="AJ466" s="11">
        <f t="shared" si="45"/>
        <v>10.4</v>
      </c>
      <c r="AK466" s="11">
        <f t="shared" si="45"/>
        <v>0.39</v>
      </c>
      <c r="AL466" s="11">
        <f t="shared" si="45"/>
        <v>0</v>
      </c>
      <c r="AM466" s="2"/>
      <c r="AN466" s="2"/>
      <c r="AO466" s="2"/>
    </row>
    <row r="467" spans="1:41" x14ac:dyDescent="0.2">
      <c r="A467" s="2" t="s">
        <v>971</v>
      </c>
      <c r="B467" s="2" t="s">
        <v>954</v>
      </c>
      <c r="C467" s="2" t="s">
        <v>368</v>
      </c>
      <c r="D467" s="2" t="s">
        <v>366</v>
      </c>
      <c r="E467" s="2" t="s">
        <v>50</v>
      </c>
      <c r="F467" s="2" t="s">
        <v>972</v>
      </c>
      <c r="G467" s="2" t="s">
        <v>101</v>
      </c>
      <c r="H467" s="10">
        <f>504+800.5+748.3</f>
        <v>2052.8000000000002</v>
      </c>
      <c r="I467" s="2"/>
      <c r="J467" s="9">
        <f>(0.5*504+0.51*800.5+0.49*748.3)/$H467</f>
        <v>0.50025428682774742</v>
      </c>
      <c r="K467" s="2"/>
      <c r="L467" s="9">
        <f>(0.13*504+0.13*800.5+0.13*748.3)/$H467</f>
        <v>0.12999999999999998</v>
      </c>
      <c r="M467" s="2"/>
      <c r="N467" s="2"/>
      <c r="O467" s="9">
        <f>(0.23*504+0.23*800.5+0.21*748.3)/$H467</f>
        <v>0.22270946999220576</v>
      </c>
      <c r="P467" s="2">
        <v>0.02</v>
      </c>
      <c r="Q467" s="2"/>
      <c r="R467" s="2"/>
      <c r="S467" s="2"/>
      <c r="T467" s="2"/>
      <c r="U467" s="2"/>
      <c r="V467" s="2">
        <v>1.6999999999999999E-3</v>
      </c>
      <c r="W467" s="2"/>
      <c r="X467" s="2"/>
      <c r="Y467" s="2"/>
      <c r="Z467" s="2"/>
      <c r="AA467" s="9">
        <f t="shared" si="25"/>
        <v>0</v>
      </c>
      <c r="AB467" s="9">
        <f t="shared" si="26"/>
        <v>10.269220000000001</v>
      </c>
      <c r="AC467" s="10">
        <f t="shared" si="27"/>
        <v>0</v>
      </c>
      <c r="AD467" s="10">
        <f t="shared" si="28"/>
        <v>0</v>
      </c>
      <c r="AE467" s="9">
        <f t="shared" si="29"/>
        <v>2.6686399999999999</v>
      </c>
      <c r="AF467" s="9">
        <f t="shared" si="30"/>
        <v>12.937860000000001</v>
      </c>
      <c r="AG467" s="9">
        <f t="shared" si="31"/>
        <v>0.63025428682774742</v>
      </c>
      <c r="AH467" s="11">
        <f t="shared" si="45"/>
        <v>0</v>
      </c>
      <c r="AI467" s="11">
        <f t="shared" si="45"/>
        <v>1026.922</v>
      </c>
      <c r="AJ467" s="11">
        <f t="shared" si="45"/>
        <v>0</v>
      </c>
      <c r="AK467" s="11">
        <f t="shared" si="45"/>
        <v>266.86399999999998</v>
      </c>
      <c r="AL467" s="11">
        <f t="shared" si="45"/>
        <v>0</v>
      </c>
      <c r="AM467" s="2"/>
      <c r="AN467" s="2"/>
      <c r="AO467" s="2"/>
    </row>
    <row r="468" spans="1:41" x14ac:dyDescent="0.2">
      <c r="A468" s="2" t="s">
        <v>973</v>
      </c>
      <c r="B468" s="2" t="s">
        <v>954</v>
      </c>
      <c r="C468" s="2" t="s">
        <v>48</v>
      </c>
      <c r="D468" s="2"/>
      <c r="E468" s="2" t="s">
        <v>50</v>
      </c>
      <c r="F468" s="2" t="s">
        <v>955</v>
      </c>
      <c r="G468" s="2" t="s">
        <v>106</v>
      </c>
      <c r="H468" s="2">
        <v>0.76</v>
      </c>
      <c r="I468" s="2"/>
      <c r="J468" s="2">
        <v>1.33</v>
      </c>
      <c r="K468" s="2"/>
      <c r="L468" s="2">
        <v>1.76</v>
      </c>
      <c r="M468" s="2"/>
      <c r="N468" s="2"/>
      <c r="O468" s="2"/>
      <c r="P468" s="2">
        <v>0.14000000000000001</v>
      </c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9">
        <f t="shared" si="25"/>
        <v>0</v>
      </c>
      <c r="AB468" s="9">
        <f t="shared" si="26"/>
        <v>1.0108000000000001E-2</v>
      </c>
      <c r="AC468" s="10">
        <f t="shared" si="27"/>
        <v>0</v>
      </c>
      <c r="AD468" s="10">
        <f t="shared" si="28"/>
        <v>0</v>
      </c>
      <c r="AE468" s="9">
        <f t="shared" si="29"/>
        <v>1.3376000000000001E-2</v>
      </c>
      <c r="AF468" s="9">
        <f t="shared" si="30"/>
        <v>2.3484000000000001E-2</v>
      </c>
      <c r="AG468" s="9">
        <f t="shared" si="31"/>
        <v>3.09</v>
      </c>
      <c r="AH468" s="11">
        <f t="shared" si="45"/>
        <v>0</v>
      </c>
      <c r="AI468" s="11">
        <f t="shared" si="45"/>
        <v>1.0108000000000001</v>
      </c>
      <c r="AJ468" s="11">
        <f t="shared" si="45"/>
        <v>0</v>
      </c>
      <c r="AK468" s="11">
        <f t="shared" si="45"/>
        <v>1.3376000000000001</v>
      </c>
      <c r="AL468" s="11">
        <f t="shared" si="45"/>
        <v>0</v>
      </c>
      <c r="AM468" s="2"/>
      <c r="AN468" s="2"/>
      <c r="AO468" s="2"/>
    </row>
    <row r="469" spans="1:41" x14ac:dyDescent="0.2">
      <c r="A469" s="2" t="s">
        <v>974</v>
      </c>
      <c r="B469" s="2" t="s">
        <v>975</v>
      </c>
      <c r="C469" s="2" t="s">
        <v>38</v>
      </c>
      <c r="D469" s="2" t="s">
        <v>62</v>
      </c>
      <c r="E469" s="7" t="s">
        <v>40</v>
      </c>
      <c r="F469" s="2" t="s">
        <v>41</v>
      </c>
      <c r="G469" s="8" t="s">
        <v>44</v>
      </c>
      <c r="H469" s="2">
        <v>4</v>
      </c>
      <c r="I469" s="2">
        <v>3.5</v>
      </c>
      <c r="J469" s="2">
        <v>3.5</v>
      </c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9">
        <f t="shared" si="25"/>
        <v>0.14000000000000001</v>
      </c>
      <c r="AB469" s="9">
        <f t="shared" si="26"/>
        <v>0.14000000000000001</v>
      </c>
      <c r="AC469" s="10">
        <f t="shared" si="27"/>
        <v>0</v>
      </c>
      <c r="AD469" s="10">
        <f t="shared" si="28"/>
        <v>0</v>
      </c>
      <c r="AE469" s="9">
        <f t="shared" si="29"/>
        <v>0</v>
      </c>
      <c r="AF469" s="9">
        <f t="shared" si="30"/>
        <v>0.28000000000000003</v>
      </c>
      <c r="AG469" s="9">
        <f t="shared" si="31"/>
        <v>7</v>
      </c>
      <c r="AH469" s="11">
        <f t="shared" si="45"/>
        <v>14</v>
      </c>
      <c r="AI469" s="11">
        <f t="shared" si="45"/>
        <v>14</v>
      </c>
      <c r="AJ469" s="11">
        <f t="shared" si="45"/>
        <v>0</v>
      </c>
      <c r="AK469" s="11">
        <f t="shared" si="45"/>
        <v>0</v>
      </c>
      <c r="AL469" s="11">
        <f t="shared" si="45"/>
        <v>0</v>
      </c>
      <c r="AM469" s="2"/>
      <c r="AN469" s="2"/>
      <c r="AO469" s="2"/>
    </row>
    <row r="470" spans="1:41" x14ac:dyDescent="0.2">
      <c r="A470" s="2" t="s">
        <v>976</v>
      </c>
      <c r="B470" s="2" t="s">
        <v>975</v>
      </c>
      <c r="C470" s="2" t="s">
        <v>38</v>
      </c>
      <c r="D470" s="2" t="s">
        <v>39</v>
      </c>
      <c r="E470" s="7" t="s">
        <v>40</v>
      </c>
      <c r="F470" s="2" t="s">
        <v>41</v>
      </c>
      <c r="G470" s="8" t="s">
        <v>44</v>
      </c>
      <c r="H470" s="2">
        <v>0.06</v>
      </c>
      <c r="I470" s="2">
        <v>1.4</v>
      </c>
      <c r="J470" s="2">
        <v>6</v>
      </c>
      <c r="K470" s="2">
        <v>20</v>
      </c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9">
        <f t="shared" si="25"/>
        <v>8.3999999999999993E-4</v>
      </c>
      <c r="AB470" s="9">
        <f t="shared" si="26"/>
        <v>3.5999999999999999E-3</v>
      </c>
      <c r="AC470" s="10">
        <f t="shared" si="27"/>
        <v>1.2</v>
      </c>
      <c r="AD470" s="10">
        <f t="shared" si="28"/>
        <v>0</v>
      </c>
      <c r="AE470" s="9">
        <f t="shared" si="29"/>
        <v>0</v>
      </c>
      <c r="AF470" s="9">
        <f t="shared" si="30"/>
        <v>4.4399999999999995E-3</v>
      </c>
      <c r="AG470" s="9">
        <f t="shared" si="31"/>
        <v>7.4</v>
      </c>
      <c r="AH470" s="11">
        <f t="shared" si="45"/>
        <v>8.3999999999999991E-2</v>
      </c>
      <c r="AI470" s="11">
        <f t="shared" si="45"/>
        <v>0.36</v>
      </c>
      <c r="AJ470" s="11">
        <f t="shared" si="45"/>
        <v>1.2</v>
      </c>
      <c r="AK470" s="11">
        <f t="shared" si="45"/>
        <v>0</v>
      </c>
      <c r="AL470" s="11">
        <f t="shared" si="45"/>
        <v>0</v>
      </c>
      <c r="AM470" s="2"/>
      <c r="AN470" s="2"/>
      <c r="AO470" s="2"/>
    </row>
    <row r="471" spans="1:41" x14ac:dyDescent="0.2">
      <c r="A471" s="2" t="s">
        <v>977</v>
      </c>
      <c r="B471" s="2" t="s">
        <v>978</v>
      </c>
      <c r="C471" s="2" t="s">
        <v>54</v>
      </c>
      <c r="D471" s="2"/>
      <c r="E471" s="2" t="s">
        <v>50</v>
      </c>
      <c r="F471" s="2" t="s">
        <v>41</v>
      </c>
      <c r="G471" s="2" t="s">
        <v>979</v>
      </c>
      <c r="H471" s="2">
        <v>0.28499999999999998</v>
      </c>
      <c r="I471" s="2">
        <v>2.36</v>
      </c>
      <c r="J471" s="9">
        <v>3.8</v>
      </c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9">
        <f t="shared" si="25"/>
        <v>6.7259999999999985E-3</v>
      </c>
      <c r="AB471" s="9">
        <f t="shared" si="26"/>
        <v>1.0829999999999999E-2</v>
      </c>
      <c r="AC471" s="10">
        <f t="shared" si="27"/>
        <v>0</v>
      </c>
      <c r="AD471" s="10">
        <f t="shared" si="28"/>
        <v>0</v>
      </c>
      <c r="AE471" s="9">
        <f t="shared" si="29"/>
        <v>0</v>
      </c>
      <c r="AF471" s="18">
        <f t="shared" si="30"/>
        <v>1.7555999999999999E-2</v>
      </c>
      <c r="AG471" s="9">
        <f t="shared" si="31"/>
        <v>6.16</v>
      </c>
      <c r="AH471" s="11">
        <f t="shared" si="45"/>
        <v>0.67259999999999986</v>
      </c>
      <c r="AI471" s="11">
        <f t="shared" si="45"/>
        <v>1.083</v>
      </c>
      <c r="AJ471" s="11">
        <f t="shared" si="45"/>
        <v>0</v>
      </c>
      <c r="AK471" s="11">
        <f t="shared" si="45"/>
        <v>0</v>
      </c>
      <c r="AL471" s="11">
        <f t="shared" si="45"/>
        <v>0</v>
      </c>
      <c r="AM471" s="2"/>
      <c r="AN471" s="2"/>
      <c r="AO471" s="2"/>
    </row>
    <row r="472" spans="1:41" x14ac:dyDescent="0.2">
      <c r="A472" s="2" t="s">
        <v>980</v>
      </c>
      <c r="B472" s="2" t="s">
        <v>978</v>
      </c>
      <c r="C472" s="2" t="s">
        <v>38</v>
      </c>
      <c r="D472" s="2" t="s">
        <v>39</v>
      </c>
      <c r="E472" s="2" t="s">
        <v>50</v>
      </c>
      <c r="F472" s="2" t="s">
        <v>41</v>
      </c>
      <c r="G472" s="2" t="s">
        <v>979</v>
      </c>
      <c r="H472" s="2">
        <v>0.25</v>
      </c>
      <c r="I472" s="9">
        <v>1.2</v>
      </c>
      <c r="J472" s="9">
        <v>1</v>
      </c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9">
        <f t="shared" si="25"/>
        <v>3.0000000000000001E-3</v>
      </c>
      <c r="AB472" s="9">
        <f t="shared" si="26"/>
        <v>2.5000000000000001E-3</v>
      </c>
      <c r="AC472" s="10">
        <f t="shared" si="27"/>
        <v>0</v>
      </c>
      <c r="AD472" s="10">
        <f t="shared" si="28"/>
        <v>0</v>
      </c>
      <c r="AE472" s="9">
        <f t="shared" si="29"/>
        <v>0</v>
      </c>
      <c r="AF472" s="18">
        <f t="shared" si="30"/>
        <v>5.4999999999999997E-3</v>
      </c>
      <c r="AG472" s="9">
        <f t="shared" si="31"/>
        <v>2.2000000000000002</v>
      </c>
      <c r="AH472" s="11">
        <f t="shared" si="45"/>
        <v>0.3</v>
      </c>
      <c r="AI472" s="11">
        <f t="shared" si="45"/>
        <v>0.25</v>
      </c>
      <c r="AJ472" s="11">
        <f t="shared" si="45"/>
        <v>0</v>
      </c>
      <c r="AK472" s="11">
        <f t="shared" si="45"/>
        <v>0</v>
      </c>
      <c r="AL472" s="11">
        <f t="shared" si="45"/>
        <v>0</v>
      </c>
      <c r="AM472" s="2"/>
      <c r="AN472" s="2"/>
      <c r="AO472" s="2"/>
    </row>
    <row r="473" spans="1:41" x14ac:dyDescent="0.2">
      <c r="A473" s="2" t="s">
        <v>981</v>
      </c>
      <c r="B473" s="2" t="s">
        <v>978</v>
      </c>
      <c r="C473" s="2" t="s">
        <v>54</v>
      </c>
      <c r="D473" s="2" t="s">
        <v>982</v>
      </c>
      <c r="E473" s="2" t="s">
        <v>50</v>
      </c>
      <c r="F473" s="2" t="s">
        <v>41</v>
      </c>
      <c r="G473" s="2" t="s">
        <v>979</v>
      </c>
      <c r="H473" s="2">
        <v>1.869</v>
      </c>
      <c r="I473" s="2">
        <v>2.67</v>
      </c>
      <c r="J473" s="2">
        <v>5.31</v>
      </c>
      <c r="K473" s="2">
        <v>30.1</v>
      </c>
      <c r="L473" s="2">
        <v>0.76</v>
      </c>
      <c r="M473" s="2">
        <v>1.9</v>
      </c>
      <c r="N473" s="2"/>
      <c r="O473" s="2"/>
      <c r="P473" s="2"/>
      <c r="Q473" s="2"/>
      <c r="R473" s="2">
        <v>26</v>
      </c>
      <c r="S473" s="2"/>
      <c r="T473" s="2"/>
      <c r="U473" s="2"/>
      <c r="V473" s="2"/>
      <c r="W473" s="2"/>
      <c r="X473" s="2"/>
      <c r="Y473" s="2"/>
      <c r="Z473" s="2" t="s">
        <v>983</v>
      </c>
      <c r="AA473" s="9">
        <f t="shared" si="25"/>
        <v>4.9902299999999997E-2</v>
      </c>
      <c r="AB473" s="9">
        <f t="shared" si="26"/>
        <v>9.9243899999999996E-2</v>
      </c>
      <c r="AC473" s="10">
        <f t="shared" si="27"/>
        <v>56.256900000000002</v>
      </c>
      <c r="AD473" s="10">
        <f t="shared" si="28"/>
        <v>3.5510999999999999</v>
      </c>
      <c r="AE473" s="9">
        <f t="shared" si="29"/>
        <v>1.4204399999999999E-2</v>
      </c>
      <c r="AF473" s="18">
        <f t="shared" si="30"/>
        <v>0.16335060000000001</v>
      </c>
      <c r="AG473" s="9">
        <f t="shared" si="31"/>
        <v>8.74</v>
      </c>
      <c r="AH473" s="11">
        <f t="shared" si="45"/>
        <v>4.9902299999999995</v>
      </c>
      <c r="AI473" s="11">
        <f t="shared" si="45"/>
        <v>9.9243899999999989</v>
      </c>
      <c r="AJ473" s="11">
        <f t="shared" si="45"/>
        <v>56.256900000000002</v>
      </c>
      <c r="AK473" s="11">
        <f t="shared" si="45"/>
        <v>1.4204399999999999</v>
      </c>
      <c r="AL473" s="11">
        <f t="shared" si="45"/>
        <v>3.5510999999999999</v>
      </c>
      <c r="AM473" s="2"/>
      <c r="AN473" s="2"/>
      <c r="AO473" s="2"/>
    </row>
    <row r="474" spans="1:41" x14ac:dyDescent="0.2">
      <c r="A474" s="2" t="s">
        <v>984</v>
      </c>
      <c r="B474" s="2" t="s">
        <v>978</v>
      </c>
      <c r="C474" s="2" t="s">
        <v>54</v>
      </c>
      <c r="D474" s="2" t="s">
        <v>982</v>
      </c>
      <c r="E474" s="2" t="s">
        <v>50</v>
      </c>
      <c r="F474" s="2" t="s">
        <v>41</v>
      </c>
      <c r="G474" s="2" t="s">
        <v>979</v>
      </c>
      <c r="H474" s="2">
        <v>2</v>
      </c>
      <c r="I474" s="2">
        <v>2.5</v>
      </c>
      <c r="J474" s="2">
        <v>5</v>
      </c>
      <c r="K474" s="2">
        <v>15</v>
      </c>
      <c r="L474" s="9">
        <v>0.8</v>
      </c>
      <c r="M474" s="2">
        <v>2.5</v>
      </c>
      <c r="N474" s="13">
        <f>19.6*(137.327/(137.327+96.06))</f>
        <v>11.532815452445938</v>
      </c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9">
        <f t="shared" si="25"/>
        <v>0.05</v>
      </c>
      <c r="AB474" s="9">
        <f t="shared" si="26"/>
        <v>0.1</v>
      </c>
      <c r="AC474" s="10">
        <f t="shared" si="27"/>
        <v>30</v>
      </c>
      <c r="AD474" s="10">
        <f t="shared" si="28"/>
        <v>5</v>
      </c>
      <c r="AE474" s="9">
        <f t="shared" si="29"/>
        <v>1.6E-2</v>
      </c>
      <c r="AF474" s="18">
        <f t="shared" si="30"/>
        <v>0.16600000000000004</v>
      </c>
      <c r="AG474" s="9">
        <f t="shared" si="31"/>
        <v>8.3000000000000007</v>
      </c>
      <c r="AH474" s="11">
        <f t="shared" si="45"/>
        <v>5</v>
      </c>
      <c r="AI474" s="11">
        <f t="shared" si="45"/>
        <v>10</v>
      </c>
      <c r="AJ474" s="11">
        <f t="shared" si="45"/>
        <v>30</v>
      </c>
      <c r="AK474" s="11">
        <f t="shared" si="45"/>
        <v>1.6</v>
      </c>
      <c r="AL474" s="11">
        <f t="shared" si="45"/>
        <v>5</v>
      </c>
      <c r="AM474" s="2"/>
      <c r="AN474" s="2"/>
      <c r="AO474" s="2"/>
    </row>
    <row r="475" spans="1:41" x14ac:dyDescent="0.2">
      <c r="A475" s="2" t="s">
        <v>985</v>
      </c>
      <c r="B475" s="2" t="s">
        <v>978</v>
      </c>
      <c r="C475" s="2" t="s">
        <v>54</v>
      </c>
      <c r="D475" s="2"/>
      <c r="E475" s="2" t="s">
        <v>50</v>
      </c>
      <c r="F475" s="2" t="s">
        <v>41</v>
      </c>
      <c r="G475" s="2" t="s">
        <v>979</v>
      </c>
      <c r="H475" s="2">
        <v>2.851</v>
      </c>
      <c r="I475" s="2">
        <v>2.2400000000000002</v>
      </c>
      <c r="J475" s="2">
        <v>6.47</v>
      </c>
      <c r="K475" s="2">
        <v>15.4</v>
      </c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>
        <v>0.02</v>
      </c>
      <c r="Z475" s="2" t="s">
        <v>416</v>
      </c>
      <c r="AA475" s="9">
        <f t="shared" si="25"/>
        <v>6.3862400000000014E-2</v>
      </c>
      <c r="AB475" s="9">
        <f t="shared" si="26"/>
        <v>0.1844597</v>
      </c>
      <c r="AC475" s="10">
        <f t="shared" si="27"/>
        <v>43.9054</v>
      </c>
      <c r="AD475" s="10">
        <f t="shared" si="28"/>
        <v>0</v>
      </c>
      <c r="AE475" s="9">
        <f t="shared" si="29"/>
        <v>0</v>
      </c>
      <c r="AF475" s="18">
        <f t="shared" si="30"/>
        <v>0.24832210000000002</v>
      </c>
      <c r="AG475" s="9">
        <f t="shared" si="31"/>
        <v>8.7100000000000009</v>
      </c>
      <c r="AH475" s="11">
        <f t="shared" si="45"/>
        <v>6.3862400000000008</v>
      </c>
      <c r="AI475" s="11">
        <f t="shared" si="45"/>
        <v>18.445969999999999</v>
      </c>
      <c r="AJ475" s="11">
        <f t="shared" si="45"/>
        <v>43.9054</v>
      </c>
      <c r="AK475" s="11">
        <f t="shared" si="45"/>
        <v>0</v>
      </c>
      <c r="AL475" s="11">
        <f t="shared" si="45"/>
        <v>0</v>
      </c>
      <c r="AM475" s="2"/>
      <c r="AN475" s="2"/>
      <c r="AO475" s="2"/>
    </row>
    <row r="476" spans="1:41" x14ac:dyDescent="0.2">
      <c r="A476" s="2" t="s">
        <v>986</v>
      </c>
      <c r="B476" s="2" t="s">
        <v>978</v>
      </c>
      <c r="C476" s="2" t="s">
        <v>54</v>
      </c>
      <c r="D476" s="2" t="s">
        <v>982</v>
      </c>
      <c r="E476" s="2" t="s">
        <v>50</v>
      </c>
      <c r="F476" s="2" t="s">
        <v>41</v>
      </c>
      <c r="G476" s="2" t="s">
        <v>987</v>
      </c>
      <c r="H476" s="2">
        <v>93.07</v>
      </c>
      <c r="I476" s="2">
        <v>0.62</v>
      </c>
      <c r="J476" s="2">
        <v>4.09</v>
      </c>
      <c r="K476" s="2">
        <v>9.1999999999999993</v>
      </c>
      <c r="L476" s="2">
        <v>1.28</v>
      </c>
      <c r="M476" s="2">
        <v>1.8</v>
      </c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 t="s">
        <v>988</v>
      </c>
      <c r="AA476" s="9">
        <f t="shared" si="25"/>
        <v>0.57703399999999994</v>
      </c>
      <c r="AB476" s="9">
        <f t="shared" si="26"/>
        <v>3.8065629999999993</v>
      </c>
      <c r="AC476" s="10">
        <f t="shared" si="27"/>
        <v>856.24399999999991</v>
      </c>
      <c r="AD476" s="10">
        <f t="shared" si="28"/>
        <v>167.52599999999998</v>
      </c>
      <c r="AE476" s="9">
        <f t="shared" si="29"/>
        <v>1.1912959999999999</v>
      </c>
      <c r="AF476" s="18">
        <f t="shared" si="30"/>
        <v>5.5748929999999994</v>
      </c>
      <c r="AG476" s="9">
        <f t="shared" si="31"/>
        <v>5.99</v>
      </c>
      <c r="AH476" s="11">
        <f t="shared" si="45"/>
        <v>57.703399999999995</v>
      </c>
      <c r="AI476" s="11">
        <f t="shared" si="45"/>
        <v>380.65629999999993</v>
      </c>
      <c r="AJ476" s="11">
        <f t="shared" si="45"/>
        <v>856.24399999999991</v>
      </c>
      <c r="AK476" s="11">
        <f t="shared" si="45"/>
        <v>119.1296</v>
      </c>
      <c r="AL476" s="11">
        <f t="shared" si="45"/>
        <v>167.52599999999998</v>
      </c>
      <c r="AM476" s="2"/>
      <c r="AN476" s="2"/>
      <c r="AO476" s="2"/>
    </row>
    <row r="477" spans="1:41" x14ac:dyDescent="0.2">
      <c r="A477" s="2" t="s">
        <v>989</v>
      </c>
      <c r="B477" s="2" t="s">
        <v>978</v>
      </c>
      <c r="C477" s="2" t="s">
        <v>66</v>
      </c>
      <c r="D477" s="2"/>
      <c r="E477" s="2" t="s">
        <v>50</v>
      </c>
      <c r="F477" s="2" t="s">
        <v>41</v>
      </c>
      <c r="G477" s="2" t="s">
        <v>979</v>
      </c>
      <c r="H477" s="2">
        <v>3.2679999999999998</v>
      </c>
      <c r="I477" s="9">
        <v>1.8</v>
      </c>
      <c r="J477" s="9">
        <v>1.4</v>
      </c>
      <c r="K477" s="2">
        <v>18.7</v>
      </c>
      <c r="L477" s="2">
        <v>2.84</v>
      </c>
      <c r="M477" s="2">
        <v>0.7</v>
      </c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>
        <v>0.01</v>
      </c>
      <c r="Z477" s="2" t="s">
        <v>698</v>
      </c>
      <c r="AA477" s="9">
        <f t="shared" si="25"/>
        <v>5.8823999999999994E-2</v>
      </c>
      <c r="AB477" s="9">
        <f t="shared" si="26"/>
        <v>4.5751999999999994E-2</v>
      </c>
      <c r="AC477" s="10">
        <f t="shared" si="27"/>
        <v>61.111599999999996</v>
      </c>
      <c r="AD477" s="10">
        <f t="shared" si="28"/>
        <v>2.2875999999999999</v>
      </c>
      <c r="AE477" s="9">
        <f t="shared" si="29"/>
        <v>9.2811199999999996E-2</v>
      </c>
      <c r="AF477" s="18">
        <f t="shared" si="30"/>
        <v>0.19738719999999998</v>
      </c>
      <c r="AG477" s="9">
        <f t="shared" si="31"/>
        <v>6.04</v>
      </c>
      <c r="AH477" s="11">
        <f t="shared" si="45"/>
        <v>5.8823999999999996</v>
      </c>
      <c r="AI477" s="11">
        <f t="shared" si="45"/>
        <v>4.5751999999999997</v>
      </c>
      <c r="AJ477" s="11">
        <f t="shared" si="45"/>
        <v>61.111599999999996</v>
      </c>
      <c r="AK477" s="11">
        <f t="shared" si="45"/>
        <v>9.2811199999999996</v>
      </c>
      <c r="AL477" s="11">
        <f t="shared" si="45"/>
        <v>2.2875999999999999</v>
      </c>
      <c r="AM477" s="2"/>
      <c r="AN477" s="2"/>
      <c r="AO477" s="2"/>
    </row>
    <row r="478" spans="1:41" x14ac:dyDescent="0.2">
      <c r="A478" s="2" t="s">
        <v>990</v>
      </c>
      <c r="B478" s="2" t="s">
        <v>978</v>
      </c>
      <c r="C478" s="2" t="s">
        <v>54</v>
      </c>
      <c r="D478" s="2"/>
      <c r="E478" s="2" t="s">
        <v>50</v>
      </c>
      <c r="F478" s="2" t="s">
        <v>41</v>
      </c>
      <c r="G478" s="2" t="s">
        <v>979</v>
      </c>
      <c r="H478" s="2">
        <v>0.34</v>
      </c>
      <c r="I478" s="9">
        <v>1.5</v>
      </c>
      <c r="J478" s="9">
        <v>1</v>
      </c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9">
        <f t="shared" si="25"/>
        <v>5.1000000000000004E-3</v>
      </c>
      <c r="AB478" s="9">
        <f t="shared" si="26"/>
        <v>3.4000000000000002E-3</v>
      </c>
      <c r="AC478" s="10">
        <f t="shared" si="27"/>
        <v>0</v>
      </c>
      <c r="AD478" s="10">
        <f t="shared" si="28"/>
        <v>0</v>
      </c>
      <c r="AE478" s="9">
        <f t="shared" si="29"/>
        <v>0</v>
      </c>
      <c r="AF478" s="18">
        <f t="shared" si="30"/>
        <v>8.5000000000000006E-3</v>
      </c>
      <c r="AG478" s="9">
        <f t="shared" si="31"/>
        <v>2.5</v>
      </c>
      <c r="AH478" s="11">
        <f t="shared" si="45"/>
        <v>0.51</v>
      </c>
      <c r="AI478" s="11">
        <f t="shared" si="45"/>
        <v>0.34</v>
      </c>
      <c r="AJ478" s="11">
        <f t="shared" si="45"/>
        <v>0</v>
      </c>
      <c r="AK478" s="11">
        <f t="shared" si="45"/>
        <v>0</v>
      </c>
      <c r="AL478" s="11">
        <f t="shared" si="45"/>
        <v>0</v>
      </c>
      <c r="AM478" s="2"/>
      <c r="AN478" s="2"/>
      <c r="AO478" s="2"/>
    </row>
    <row r="479" spans="1:41" x14ac:dyDescent="0.2">
      <c r="A479" s="2" t="s">
        <v>991</v>
      </c>
      <c r="B479" s="2" t="s">
        <v>978</v>
      </c>
      <c r="C479" s="2" t="s">
        <v>187</v>
      </c>
      <c r="D479" s="2"/>
      <c r="E479" s="2" t="s">
        <v>50</v>
      </c>
      <c r="F479" s="2" t="s">
        <v>41</v>
      </c>
      <c r="G479" s="2" t="s">
        <v>979</v>
      </c>
      <c r="H479" s="2">
        <v>0.255</v>
      </c>
      <c r="I479" s="2">
        <v>1.61</v>
      </c>
      <c r="J479" s="2">
        <v>2.67</v>
      </c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9">
        <f t="shared" si="25"/>
        <v>4.1055000000000006E-3</v>
      </c>
      <c r="AB479" s="9">
        <f t="shared" si="26"/>
        <v>6.8084999999999994E-3</v>
      </c>
      <c r="AC479" s="10">
        <f t="shared" si="27"/>
        <v>0</v>
      </c>
      <c r="AD479" s="10">
        <f t="shared" si="28"/>
        <v>0</v>
      </c>
      <c r="AE479" s="9">
        <f t="shared" si="29"/>
        <v>0</v>
      </c>
      <c r="AF479" s="18">
        <f t="shared" si="30"/>
        <v>1.0914E-2</v>
      </c>
      <c r="AG479" s="9">
        <f t="shared" si="31"/>
        <v>4.28</v>
      </c>
      <c r="AH479" s="11">
        <f t="shared" si="45"/>
        <v>0.41055000000000003</v>
      </c>
      <c r="AI479" s="11">
        <f t="shared" si="45"/>
        <v>0.68084999999999996</v>
      </c>
      <c r="AJ479" s="11">
        <f t="shared" si="45"/>
        <v>0</v>
      </c>
      <c r="AK479" s="11">
        <f t="shared" si="45"/>
        <v>0</v>
      </c>
      <c r="AL479" s="11">
        <f t="shared" si="45"/>
        <v>0</v>
      </c>
      <c r="AM479" s="2"/>
      <c r="AN479" s="2"/>
      <c r="AO479" s="2"/>
    </row>
    <row r="480" spans="1:41" x14ac:dyDescent="0.2">
      <c r="A480" s="2" t="s">
        <v>992</v>
      </c>
      <c r="B480" s="2" t="s">
        <v>978</v>
      </c>
      <c r="C480" s="2" t="s">
        <v>54</v>
      </c>
      <c r="D480" s="2"/>
      <c r="E480" s="2" t="s">
        <v>50</v>
      </c>
      <c r="F480" s="2" t="s">
        <v>41</v>
      </c>
      <c r="G480" s="2" t="s">
        <v>979</v>
      </c>
      <c r="H480" s="2">
        <v>0.17449999999999999</v>
      </c>
      <c r="I480" s="2">
        <v>6.81</v>
      </c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9">
        <f t="shared" si="25"/>
        <v>1.1883449999999997E-2</v>
      </c>
      <c r="AB480" s="9">
        <f t="shared" si="26"/>
        <v>0</v>
      </c>
      <c r="AC480" s="10">
        <f t="shared" si="27"/>
        <v>0</v>
      </c>
      <c r="AD480" s="10">
        <f t="shared" si="28"/>
        <v>0</v>
      </c>
      <c r="AE480" s="9">
        <f t="shared" si="29"/>
        <v>0</v>
      </c>
      <c r="AF480" s="18">
        <f t="shared" si="30"/>
        <v>1.1883449999999997E-2</v>
      </c>
      <c r="AG480" s="9">
        <f t="shared" si="31"/>
        <v>6.81</v>
      </c>
      <c r="AH480" s="11">
        <f t="shared" si="45"/>
        <v>1.1883449999999998</v>
      </c>
      <c r="AI480" s="11">
        <f t="shared" si="45"/>
        <v>0</v>
      </c>
      <c r="AJ480" s="11">
        <f t="shared" si="45"/>
        <v>0</v>
      </c>
      <c r="AK480" s="11">
        <f t="shared" si="45"/>
        <v>0</v>
      </c>
      <c r="AL480" s="11">
        <f t="shared" si="45"/>
        <v>0</v>
      </c>
      <c r="AM480" s="2"/>
      <c r="AN480" s="2"/>
      <c r="AO480" s="2"/>
    </row>
    <row r="481" spans="1:41" x14ac:dyDescent="0.2">
      <c r="A481" s="2" t="s">
        <v>993</v>
      </c>
      <c r="B481" s="2" t="s">
        <v>978</v>
      </c>
      <c r="C481" s="2" t="s">
        <v>48</v>
      </c>
      <c r="D481" s="2" t="s">
        <v>994</v>
      </c>
      <c r="E481" s="2" t="s">
        <v>50</v>
      </c>
      <c r="F481" s="2" t="s">
        <v>41</v>
      </c>
      <c r="G481" s="2" t="s">
        <v>979</v>
      </c>
      <c r="H481" s="2">
        <v>22.88</v>
      </c>
      <c r="I481" s="2"/>
      <c r="J481" s="2">
        <v>1.67</v>
      </c>
      <c r="K481" s="2"/>
      <c r="L481" s="9">
        <v>3.5</v>
      </c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9">
        <f t="shared" si="25"/>
        <v>0</v>
      </c>
      <c r="AB481" s="9">
        <f t="shared" si="26"/>
        <v>0.38209599999999994</v>
      </c>
      <c r="AC481" s="10">
        <f t="shared" si="27"/>
        <v>0</v>
      </c>
      <c r="AD481" s="10">
        <f t="shared" si="28"/>
        <v>0</v>
      </c>
      <c r="AE481" s="9">
        <f t="shared" si="29"/>
        <v>0.80079999999999996</v>
      </c>
      <c r="AF481" s="18">
        <f t="shared" si="30"/>
        <v>1.1828959999999999</v>
      </c>
      <c r="AG481" s="9">
        <f t="shared" si="31"/>
        <v>5.17</v>
      </c>
      <c r="AH481" s="11">
        <f t="shared" si="45"/>
        <v>0</v>
      </c>
      <c r="AI481" s="11">
        <f t="shared" si="45"/>
        <v>38.209599999999995</v>
      </c>
      <c r="AJ481" s="11">
        <f t="shared" si="45"/>
        <v>0</v>
      </c>
      <c r="AK481" s="11">
        <f t="shared" si="45"/>
        <v>80.08</v>
      </c>
      <c r="AL481" s="11">
        <f t="shared" si="45"/>
        <v>0</v>
      </c>
      <c r="AM481" s="2"/>
      <c r="AN481" s="2"/>
      <c r="AO481" s="2"/>
    </row>
    <row r="482" spans="1:41" x14ac:dyDescent="0.2">
      <c r="A482" s="2" t="s">
        <v>995</v>
      </c>
      <c r="B482" s="2" t="s">
        <v>996</v>
      </c>
      <c r="C482" s="2" t="s">
        <v>157</v>
      </c>
      <c r="D482" s="2"/>
      <c r="E482" s="2" t="s">
        <v>50</v>
      </c>
      <c r="F482" s="2" t="s">
        <v>997</v>
      </c>
      <c r="G482" s="2" t="s">
        <v>998</v>
      </c>
      <c r="H482" s="2">
        <v>32.200000000000003</v>
      </c>
      <c r="I482" s="2"/>
      <c r="J482" s="2">
        <v>0.74</v>
      </c>
      <c r="K482" s="2"/>
      <c r="L482" s="2"/>
      <c r="M482" s="2"/>
      <c r="N482" s="2"/>
      <c r="O482" s="2"/>
      <c r="P482" s="2"/>
      <c r="Q482" s="2">
        <v>0.35</v>
      </c>
      <c r="R482" s="2">
        <v>71</v>
      </c>
      <c r="S482" s="2"/>
      <c r="T482" s="2"/>
      <c r="U482" s="2"/>
      <c r="V482" s="2"/>
      <c r="W482" s="2"/>
      <c r="X482" s="2"/>
      <c r="Y482" s="2"/>
      <c r="Z482" s="2"/>
      <c r="AA482" s="9">
        <f t="shared" si="25"/>
        <v>0</v>
      </c>
      <c r="AB482" s="9">
        <f t="shared" si="26"/>
        <v>0.23828000000000002</v>
      </c>
      <c r="AC482" s="10">
        <f t="shared" si="27"/>
        <v>0</v>
      </c>
      <c r="AD482" s="10">
        <f t="shared" si="28"/>
        <v>0</v>
      </c>
      <c r="AE482" s="9">
        <f t="shared" si="29"/>
        <v>0</v>
      </c>
      <c r="AF482" s="9">
        <f t="shared" si="30"/>
        <v>0.23828000000000002</v>
      </c>
      <c r="AG482" s="9">
        <f t="shared" si="31"/>
        <v>0.74</v>
      </c>
      <c r="AH482" s="11">
        <f t="shared" ref="AH482:AL497" si="46">$H482*I482</f>
        <v>0</v>
      </c>
      <c r="AI482" s="11">
        <f t="shared" si="46"/>
        <v>23.828000000000003</v>
      </c>
      <c r="AJ482" s="11">
        <f t="shared" si="46"/>
        <v>0</v>
      </c>
      <c r="AK482" s="11">
        <f t="shared" si="46"/>
        <v>0</v>
      </c>
      <c r="AL482" s="11">
        <f t="shared" si="46"/>
        <v>0</v>
      </c>
      <c r="AM482" s="2"/>
      <c r="AN482" s="2"/>
      <c r="AO482" s="2"/>
    </row>
    <row r="483" spans="1:41" x14ac:dyDescent="0.2">
      <c r="A483" s="2" t="s">
        <v>999</v>
      </c>
      <c r="B483" s="2" t="s">
        <v>996</v>
      </c>
      <c r="C483" s="2" t="s">
        <v>157</v>
      </c>
      <c r="D483" s="2"/>
      <c r="E483" s="2" t="s">
        <v>50</v>
      </c>
      <c r="F483" s="2" t="s">
        <v>1000</v>
      </c>
      <c r="G483" s="2" t="s">
        <v>998</v>
      </c>
      <c r="H483" s="2">
        <v>11.6</v>
      </c>
      <c r="I483" s="2"/>
      <c r="J483" s="9">
        <f>(0.37/0.46)*0.58</f>
        <v>0.46652173913043471</v>
      </c>
      <c r="K483" s="2"/>
      <c r="L483" s="2"/>
      <c r="M483" s="2"/>
      <c r="N483" s="2"/>
      <c r="O483" s="2"/>
      <c r="P483" s="2"/>
      <c r="Q483" s="2">
        <v>0.37</v>
      </c>
      <c r="R483" s="14">
        <f>(0.37/0.46)*35</f>
        <v>28.152173913043477</v>
      </c>
      <c r="S483" s="2"/>
      <c r="T483" s="2"/>
      <c r="U483" s="2"/>
      <c r="V483" s="2"/>
      <c r="W483" s="2"/>
      <c r="X483" s="2"/>
      <c r="Y483" s="14">
        <f>(0.37/0.46)*28</f>
        <v>22.521739130434781</v>
      </c>
      <c r="Z483" s="2" t="s">
        <v>390</v>
      </c>
      <c r="AA483" s="9">
        <f t="shared" si="25"/>
        <v>0</v>
      </c>
      <c r="AB483" s="9">
        <f t="shared" si="26"/>
        <v>5.4116521739130424E-2</v>
      </c>
      <c r="AC483" s="10">
        <f t="shared" si="27"/>
        <v>0</v>
      </c>
      <c r="AD483" s="10">
        <f t="shared" si="28"/>
        <v>0</v>
      </c>
      <c r="AE483" s="9">
        <f t="shared" si="29"/>
        <v>0</v>
      </c>
      <c r="AF483" s="9">
        <f t="shared" si="30"/>
        <v>5.4116521739130424E-2</v>
      </c>
      <c r="AG483" s="9">
        <f t="shared" si="31"/>
        <v>0.46652173913043471</v>
      </c>
      <c r="AH483" s="11">
        <f t="shared" si="46"/>
        <v>0</v>
      </c>
      <c r="AI483" s="11">
        <f t="shared" si="46"/>
        <v>5.4116521739130423</v>
      </c>
      <c r="AJ483" s="11">
        <f t="shared" si="46"/>
        <v>0</v>
      </c>
      <c r="AK483" s="11">
        <f t="shared" si="46"/>
        <v>0</v>
      </c>
      <c r="AL483" s="11">
        <f t="shared" si="46"/>
        <v>0</v>
      </c>
      <c r="AM483" s="2"/>
      <c r="AN483" s="2"/>
      <c r="AO483" s="2"/>
    </row>
    <row r="484" spans="1:41" x14ac:dyDescent="0.2">
      <c r="A484" s="2" t="s">
        <v>1001</v>
      </c>
      <c r="B484" s="2" t="s">
        <v>1002</v>
      </c>
      <c r="C484" s="2" t="s">
        <v>157</v>
      </c>
      <c r="D484" s="2"/>
      <c r="E484" s="2" t="s">
        <v>50</v>
      </c>
      <c r="F484" s="2" t="s">
        <v>1003</v>
      </c>
      <c r="G484" s="2" t="s">
        <v>1004</v>
      </c>
      <c r="H484" s="2">
        <f>6.319+10.644+3.955</f>
        <v>20.917999999999999</v>
      </c>
      <c r="I484" s="13">
        <f>(4.7*4.464+5*10.644+3.9*3.955)/$H484</f>
        <v>4.2846017783726937</v>
      </c>
      <c r="J484" s="13">
        <f>(5.8*4.464+6.8*10.644+4.3*3.955)/$H484</f>
        <v>5.5108949230327946</v>
      </c>
      <c r="K484" s="14">
        <f>(142*4.464+147*10.644+118*3.955)/$H484</f>
        <v>127.41399751410269</v>
      </c>
      <c r="L484" s="2"/>
      <c r="M484" s="9">
        <f>(8.04*6.319+8.55*10.644+8.34*3.955)/$H484</f>
        <v>8.3562319533416201</v>
      </c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9">
        <f t="shared" si="25"/>
        <v>0.89625300000000008</v>
      </c>
      <c r="AB484" s="9">
        <f t="shared" si="26"/>
        <v>1.1527689999999999</v>
      </c>
      <c r="AC484" s="10">
        <f t="shared" si="27"/>
        <v>2665.2460000000001</v>
      </c>
      <c r="AD484" s="10">
        <f t="shared" si="28"/>
        <v>174.79566</v>
      </c>
      <c r="AE484" s="9">
        <f t="shared" si="29"/>
        <v>0</v>
      </c>
      <c r="AF484" s="9">
        <f t="shared" si="30"/>
        <v>2.0490219999999999</v>
      </c>
      <c r="AG484" s="9">
        <f t="shared" si="31"/>
        <v>9.7954967014054883</v>
      </c>
      <c r="AH484" s="11">
        <f t="shared" si="46"/>
        <v>89.62530000000001</v>
      </c>
      <c r="AI484" s="11">
        <f t="shared" si="46"/>
        <v>115.2769</v>
      </c>
      <c r="AJ484" s="11">
        <f t="shared" si="46"/>
        <v>2665.2460000000001</v>
      </c>
      <c r="AK484" s="11">
        <f t="shared" si="46"/>
        <v>0</v>
      </c>
      <c r="AL484" s="11">
        <f t="shared" si="46"/>
        <v>174.79566</v>
      </c>
      <c r="AM484" s="2"/>
      <c r="AN484" s="2"/>
      <c r="AO484" s="2"/>
    </row>
    <row r="485" spans="1:41" x14ac:dyDescent="0.2">
      <c r="A485" s="2" t="s">
        <v>1005</v>
      </c>
      <c r="B485" s="2" t="s">
        <v>1002</v>
      </c>
      <c r="C485" s="2" t="s">
        <v>157</v>
      </c>
      <c r="D485" s="2"/>
      <c r="E485" s="2" t="s">
        <v>50</v>
      </c>
      <c r="F485" s="2" t="s">
        <v>1003</v>
      </c>
      <c r="G485" s="2" t="s">
        <v>1004</v>
      </c>
      <c r="H485" s="2">
        <f>0.837+0.507+0.49</f>
        <v>1.8339999999999999</v>
      </c>
      <c r="I485" s="13">
        <f>(7.5*0.837+7.7*0.507+6.4*0.49)/$H485</f>
        <v>7.2613958560523448</v>
      </c>
      <c r="J485" s="13">
        <f>(10.5*0.837+10.7*0.507+8.8*0.49)/$H485</f>
        <v>10.101090512540896</v>
      </c>
      <c r="K485" s="14">
        <f>(197*0.837+207*0.507+169*0.49)/$H485</f>
        <v>192.28353326063248</v>
      </c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9">
        <f t="shared" si="25"/>
        <v>0.13317399999999999</v>
      </c>
      <c r="AB485" s="9">
        <f t="shared" si="26"/>
        <v>0.185254</v>
      </c>
      <c r="AC485" s="10">
        <f t="shared" si="27"/>
        <v>352.64799999999997</v>
      </c>
      <c r="AD485" s="10">
        <f t="shared" si="28"/>
        <v>0</v>
      </c>
      <c r="AE485" s="9">
        <f t="shared" si="29"/>
        <v>0</v>
      </c>
      <c r="AF485" s="9">
        <f t="shared" si="30"/>
        <v>0.31842799999999999</v>
      </c>
      <c r="AG485" s="9">
        <f t="shared" si="31"/>
        <v>17.362486368593242</v>
      </c>
      <c r="AH485" s="11">
        <f t="shared" si="46"/>
        <v>13.317399999999999</v>
      </c>
      <c r="AI485" s="11">
        <f t="shared" si="46"/>
        <v>18.525400000000001</v>
      </c>
      <c r="AJ485" s="11">
        <f t="shared" si="46"/>
        <v>352.64799999999997</v>
      </c>
      <c r="AK485" s="11">
        <f t="shared" si="46"/>
        <v>0</v>
      </c>
      <c r="AL485" s="11">
        <f t="shared" si="46"/>
        <v>0</v>
      </c>
      <c r="AM485" s="2"/>
      <c r="AN485" s="2"/>
      <c r="AO485" s="2"/>
    </row>
    <row r="486" spans="1:41" x14ac:dyDescent="0.2">
      <c r="A486" s="2" t="s">
        <v>1006</v>
      </c>
      <c r="B486" s="2" t="s">
        <v>1007</v>
      </c>
      <c r="C486" s="2" t="s">
        <v>38</v>
      </c>
      <c r="D486" s="2" t="s">
        <v>62</v>
      </c>
      <c r="E486" s="2" t="s">
        <v>50</v>
      </c>
      <c r="F486" s="2" t="s">
        <v>1008</v>
      </c>
      <c r="G486" s="2" t="s">
        <v>1009</v>
      </c>
      <c r="H486" s="2">
        <v>0.49199999999999999</v>
      </c>
      <c r="I486" s="2">
        <v>2.2000000000000002</v>
      </c>
      <c r="J486" s="2">
        <v>4.7</v>
      </c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9">
        <f t="shared" si="25"/>
        <v>1.0824E-2</v>
      </c>
      <c r="AB486" s="9">
        <f t="shared" si="26"/>
        <v>2.3124000000000002E-2</v>
      </c>
      <c r="AC486" s="10">
        <f t="shared" si="27"/>
        <v>0</v>
      </c>
      <c r="AD486" s="10">
        <f t="shared" si="28"/>
        <v>0</v>
      </c>
      <c r="AE486" s="9">
        <f t="shared" si="29"/>
        <v>0</v>
      </c>
      <c r="AF486" s="9">
        <f t="shared" si="30"/>
        <v>3.3948000000000006E-2</v>
      </c>
      <c r="AG486" s="9">
        <f t="shared" si="31"/>
        <v>6.9</v>
      </c>
      <c r="AH486" s="11">
        <f t="shared" si="46"/>
        <v>1.0824</v>
      </c>
      <c r="AI486" s="11">
        <f t="shared" si="46"/>
        <v>2.3124000000000002</v>
      </c>
      <c r="AJ486" s="11">
        <f t="shared" si="46"/>
        <v>0</v>
      </c>
      <c r="AK486" s="11">
        <f t="shared" si="46"/>
        <v>0</v>
      </c>
      <c r="AL486" s="11">
        <f t="shared" si="46"/>
        <v>0</v>
      </c>
      <c r="AM486" s="2"/>
      <c r="AN486" s="2"/>
      <c r="AO486" s="2"/>
    </row>
    <row r="487" spans="1:41" x14ac:dyDescent="0.2">
      <c r="A487" s="2" t="s">
        <v>1010</v>
      </c>
      <c r="B487" s="2" t="s">
        <v>1007</v>
      </c>
      <c r="C487" s="2" t="s">
        <v>38</v>
      </c>
      <c r="D487" s="2" t="s">
        <v>62</v>
      </c>
      <c r="E487" s="2" t="s">
        <v>50</v>
      </c>
      <c r="F487" s="2" t="s">
        <v>1008</v>
      </c>
      <c r="G487" s="2" t="s">
        <v>1009</v>
      </c>
      <c r="H487" s="2">
        <v>4.4249999999999998</v>
      </c>
      <c r="I487" s="13">
        <v>3</v>
      </c>
      <c r="J487" s="2">
        <v>8.6</v>
      </c>
      <c r="K487" s="2">
        <v>17.899999999999999</v>
      </c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9">
        <f t="shared" si="25"/>
        <v>0.13274999999999998</v>
      </c>
      <c r="AB487" s="9">
        <f t="shared" si="26"/>
        <v>0.38055</v>
      </c>
      <c r="AC487" s="10">
        <f t="shared" si="27"/>
        <v>79.207499999999996</v>
      </c>
      <c r="AD487" s="10">
        <f t="shared" si="28"/>
        <v>0</v>
      </c>
      <c r="AE487" s="9">
        <f t="shared" si="29"/>
        <v>0</v>
      </c>
      <c r="AF487" s="9">
        <f t="shared" si="30"/>
        <v>0.51329999999999998</v>
      </c>
      <c r="AG487" s="9">
        <f t="shared" si="31"/>
        <v>11.6</v>
      </c>
      <c r="AH487" s="11">
        <f t="shared" si="46"/>
        <v>13.274999999999999</v>
      </c>
      <c r="AI487" s="11">
        <f t="shared" si="46"/>
        <v>38.055</v>
      </c>
      <c r="AJ487" s="11">
        <f t="shared" si="46"/>
        <v>79.207499999999996</v>
      </c>
      <c r="AK487" s="11">
        <f t="shared" si="46"/>
        <v>0</v>
      </c>
      <c r="AL487" s="11">
        <f t="shared" si="46"/>
        <v>0</v>
      </c>
      <c r="AM487" s="2"/>
      <c r="AN487" s="2"/>
      <c r="AO487" s="2"/>
    </row>
    <row r="488" spans="1:41" x14ac:dyDescent="0.2">
      <c r="A488" s="2" t="s">
        <v>1011</v>
      </c>
      <c r="B488" s="2" t="s">
        <v>1007</v>
      </c>
      <c r="C488" s="2" t="s">
        <v>38</v>
      </c>
      <c r="D488" s="2" t="s">
        <v>39</v>
      </c>
      <c r="E488" s="7" t="s">
        <v>40</v>
      </c>
      <c r="F488" s="2" t="s">
        <v>119</v>
      </c>
      <c r="G488" s="8" t="s">
        <v>1012</v>
      </c>
      <c r="H488" s="2">
        <v>0.22</v>
      </c>
      <c r="I488" s="2">
        <v>2.1</v>
      </c>
      <c r="J488" s="2">
        <v>9.3000000000000007</v>
      </c>
      <c r="K488" s="2"/>
      <c r="L488" s="2">
        <v>0.7</v>
      </c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9">
        <f t="shared" si="25"/>
        <v>4.62E-3</v>
      </c>
      <c r="AB488" s="9">
        <f t="shared" si="26"/>
        <v>2.0460000000000002E-2</v>
      </c>
      <c r="AC488" s="10">
        <f t="shared" si="27"/>
        <v>0</v>
      </c>
      <c r="AD488" s="10">
        <f t="shared" si="28"/>
        <v>0</v>
      </c>
      <c r="AE488" s="9">
        <f t="shared" si="29"/>
        <v>1.5399999999999999E-3</v>
      </c>
      <c r="AF488" s="9">
        <f t="shared" si="30"/>
        <v>2.6620000000000001E-2</v>
      </c>
      <c r="AG488" s="9">
        <f t="shared" si="31"/>
        <v>12.1</v>
      </c>
      <c r="AH488" s="11">
        <f t="shared" si="46"/>
        <v>0.46200000000000002</v>
      </c>
      <c r="AI488" s="11">
        <f t="shared" si="46"/>
        <v>2.0460000000000003</v>
      </c>
      <c r="AJ488" s="11">
        <f t="shared" si="46"/>
        <v>0</v>
      </c>
      <c r="AK488" s="11">
        <f t="shared" si="46"/>
        <v>0.154</v>
      </c>
      <c r="AL488" s="11">
        <f t="shared" si="46"/>
        <v>0</v>
      </c>
      <c r="AM488" s="2"/>
      <c r="AN488" s="2"/>
      <c r="AO488" s="2"/>
    </row>
    <row r="489" spans="1:41" x14ac:dyDescent="0.2">
      <c r="A489" s="2" t="s">
        <v>1013</v>
      </c>
      <c r="B489" s="2" t="s">
        <v>1007</v>
      </c>
      <c r="C489" s="2" t="s">
        <v>38</v>
      </c>
      <c r="D489" s="2" t="s">
        <v>62</v>
      </c>
      <c r="E489" s="2" t="s">
        <v>50</v>
      </c>
      <c r="F489" s="2" t="s">
        <v>119</v>
      </c>
      <c r="G489" s="2" t="s">
        <v>1014</v>
      </c>
      <c r="H489" s="13">
        <v>132</v>
      </c>
      <c r="I489" s="2">
        <v>0.4</v>
      </c>
      <c r="J489" s="13">
        <v>4</v>
      </c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9">
        <f t="shared" si="25"/>
        <v>0.52800000000000002</v>
      </c>
      <c r="AB489" s="9">
        <f t="shared" si="26"/>
        <v>5.28</v>
      </c>
      <c r="AC489" s="10">
        <f t="shared" si="27"/>
        <v>0</v>
      </c>
      <c r="AD489" s="10">
        <f t="shared" si="28"/>
        <v>0</v>
      </c>
      <c r="AE489" s="9">
        <f t="shared" si="29"/>
        <v>0</v>
      </c>
      <c r="AF489" s="9">
        <f t="shared" si="30"/>
        <v>5.8079999999999998</v>
      </c>
      <c r="AG489" s="9">
        <f t="shared" si="31"/>
        <v>4.4000000000000004</v>
      </c>
      <c r="AH489" s="11">
        <f t="shared" si="46"/>
        <v>52.800000000000004</v>
      </c>
      <c r="AI489" s="11">
        <f t="shared" si="46"/>
        <v>528</v>
      </c>
      <c r="AJ489" s="11">
        <f t="shared" si="46"/>
        <v>0</v>
      </c>
      <c r="AK489" s="11">
        <f t="shared" si="46"/>
        <v>0</v>
      </c>
      <c r="AL489" s="11">
        <f t="shared" si="46"/>
        <v>0</v>
      </c>
      <c r="AM489" s="2"/>
      <c r="AN489" s="2"/>
      <c r="AO489" s="2"/>
    </row>
    <row r="490" spans="1:41" x14ac:dyDescent="0.2">
      <c r="A490" s="2" t="s">
        <v>1015</v>
      </c>
      <c r="B490" s="2" t="s">
        <v>1007</v>
      </c>
      <c r="C490" s="2" t="s">
        <v>1016</v>
      </c>
      <c r="D490" s="2" t="s">
        <v>1017</v>
      </c>
      <c r="E490" s="2" t="s">
        <v>50</v>
      </c>
      <c r="F490" s="2" t="s">
        <v>1018</v>
      </c>
      <c r="G490" s="2" t="s">
        <v>106</v>
      </c>
      <c r="H490" s="2">
        <v>956</v>
      </c>
      <c r="I490" s="2"/>
      <c r="J490" s="12">
        <v>0.2351</v>
      </c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>
        <v>2.7300000000000001E-2</v>
      </c>
      <c r="W490" s="2"/>
      <c r="X490" s="2"/>
      <c r="Y490" s="2">
        <v>1.08</v>
      </c>
      <c r="Z490" s="2" t="s">
        <v>1019</v>
      </c>
      <c r="AA490" s="9">
        <f t="shared" si="25"/>
        <v>0</v>
      </c>
      <c r="AB490" s="9">
        <f t="shared" si="26"/>
        <v>2.2475560000000003</v>
      </c>
      <c r="AC490" s="10">
        <f t="shared" si="27"/>
        <v>0</v>
      </c>
      <c r="AD490" s="10">
        <f t="shared" si="28"/>
        <v>0</v>
      </c>
      <c r="AE490" s="9">
        <f t="shared" si="29"/>
        <v>0</v>
      </c>
      <c r="AF490" s="9">
        <f t="shared" si="30"/>
        <v>2.2475560000000003</v>
      </c>
      <c r="AG490" s="9">
        <f t="shared" si="31"/>
        <v>0.2351</v>
      </c>
      <c r="AH490" s="11">
        <f t="shared" si="46"/>
        <v>0</v>
      </c>
      <c r="AI490" s="11">
        <f t="shared" si="46"/>
        <v>224.75560000000002</v>
      </c>
      <c r="AJ490" s="11">
        <f t="shared" si="46"/>
        <v>0</v>
      </c>
      <c r="AK490" s="11">
        <f t="shared" si="46"/>
        <v>0</v>
      </c>
      <c r="AL490" s="11">
        <f t="shared" si="46"/>
        <v>0</v>
      </c>
      <c r="AM490" s="2"/>
      <c r="AN490" s="2"/>
      <c r="AO490" s="2"/>
    </row>
    <row r="491" spans="1:41" x14ac:dyDescent="0.2">
      <c r="A491" s="2" t="s">
        <v>1020</v>
      </c>
      <c r="B491" s="2" t="s">
        <v>1007</v>
      </c>
      <c r="C491" s="2" t="s">
        <v>38</v>
      </c>
      <c r="D491" s="2" t="s">
        <v>62</v>
      </c>
      <c r="E491" s="2" t="s">
        <v>50</v>
      </c>
      <c r="F491" s="2" t="s">
        <v>1008</v>
      </c>
      <c r="G491" s="2" t="s">
        <v>1009</v>
      </c>
      <c r="H491" s="2">
        <v>0.2</v>
      </c>
      <c r="I491" s="2">
        <v>3.4</v>
      </c>
      <c r="J491" s="13">
        <v>9</v>
      </c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9">
        <f t="shared" si="25"/>
        <v>6.8000000000000005E-3</v>
      </c>
      <c r="AB491" s="9">
        <f t="shared" si="26"/>
        <v>1.8000000000000002E-2</v>
      </c>
      <c r="AC491" s="10">
        <f t="shared" si="27"/>
        <v>0</v>
      </c>
      <c r="AD491" s="10">
        <f t="shared" si="28"/>
        <v>0</v>
      </c>
      <c r="AE491" s="9">
        <f t="shared" si="29"/>
        <v>0</v>
      </c>
      <c r="AF491" s="9">
        <f t="shared" si="30"/>
        <v>2.4800000000000003E-2</v>
      </c>
      <c r="AG491" s="9">
        <f t="shared" si="31"/>
        <v>12.4</v>
      </c>
      <c r="AH491" s="11">
        <f t="shared" si="46"/>
        <v>0.68</v>
      </c>
      <c r="AI491" s="11">
        <f t="shared" si="46"/>
        <v>1.8</v>
      </c>
      <c r="AJ491" s="11">
        <f t="shared" si="46"/>
        <v>0</v>
      </c>
      <c r="AK491" s="11">
        <f t="shared" si="46"/>
        <v>0</v>
      </c>
      <c r="AL491" s="11">
        <f t="shared" si="46"/>
        <v>0</v>
      </c>
      <c r="AM491" s="2"/>
      <c r="AN491" s="2"/>
      <c r="AO491" s="2"/>
    </row>
    <row r="492" spans="1:41" x14ac:dyDescent="0.2">
      <c r="A492" s="2" t="s">
        <v>1021</v>
      </c>
      <c r="B492" s="2" t="s">
        <v>1007</v>
      </c>
      <c r="C492" s="2" t="s">
        <v>38</v>
      </c>
      <c r="D492" s="2" t="s">
        <v>62</v>
      </c>
      <c r="E492" s="2" t="s">
        <v>50</v>
      </c>
      <c r="F492" s="2" t="s">
        <v>1008</v>
      </c>
      <c r="G492" s="2" t="s">
        <v>1009</v>
      </c>
      <c r="H492" s="2">
        <v>1.7</v>
      </c>
      <c r="I492" s="2">
        <v>2.5</v>
      </c>
      <c r="J492" s="2">
        <v>6.9</v>
      </c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9">
        <f t="shared" si="25"/>
        <v>4.2500000000000003E-2</v>
      </c>
      <c r="AB492" s="9">
        <f t="shared" si="26"/>
        <v>0.1173</v>
      </c>
      <c r="AC492" s="10">
        <f t="shared" si="27"/>
        <v>0</v>
      </c>
      <c r="AD492" s="10">
        <f t="shared" si="28"/>
        <v>0</v>
      </c>
      <c r="AE492" s="9">
        <f t="shared" si="29"/>
        <v>0</v>
      </c>
      <c r="AF492" s="9">
        <f t="shared" si="30"/>
        <v>0.1598</v>
      </c>
      <c r="AG492" s="9">
        <f t="shared" si="31"/>
        <v>9.4</v>
      </c>
      <c r="AH492" s="11">
        <f t="shared" si="46"/>
        <v>4.25</v>
      </c>
      <c r="AI492" s="11">
        <f t="shared" si="46"/>
        <v>11.73</v>
      </c>
      <c r="AJ492" s="11">
        <f t="shared" si="46"/>
        <v>0</v>
      </c>
      <c r="AK492" s="11">
        <f t="shared" si="46"/>
        <v>0</v>
      </c>
      <c r="AL492" s="11">
        <f t="shared" si="46"/>
        <v>0</v>
      </c>
      <c r="AM492" s="2"/>
      <c r="AN492" s="2"/>
      <c r="AO492" s="2"/>
    </row>
    <row r="493" spans="1:41" x14ac:dyDescent="0.2">
      <c r="A493" s="2" t="s">
        <v>1022</v>
      </c>
      <c r="B493" s="2" t="s">
        <v>1023</v>
      </c>
      <c r="C493" s="2" t="s">
        <v>54</v>
      </c>
      <c r="D493" s="2" t="s">
        <v>73</v>
      </c>
      <c r="E493" s="2" t="s">
        <v>50</v>
      </c>
      <c r="F493" s="2" t="s">
        <v>1024</v>
      </c>
      <c r="G493" s="2" t="s">
        <v>615</v>
      </c>
      <c r="H493" s="2">
        <f>27.1+4.6</f>
        <v>31.700000000000003</v>
      </c>
      <c r="I493" s="9">
        <f>(0.71*27.1+0.34*4.6)/$H493</f>
        <v>0.65630914826498421</v>
      </c>
      <c r="J493" s="9">
        <f>(1.28*27.1+0.66*4.6)/$H493</f>
        <v>1.1900315457413249</v>
      </c>
      <c r="K493" s="14">
        <f>(422*27.1+254*4.6)/$H493</f>
        <v>397.62145110410091</v>
      </c>
      <c r="L493" s="2"/>
      <c r="M493" s="9">
        <f>(0.43*27.1+0.59*4.6)/$H493</f>
        <v>0.45321766561514193</v>
      </c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9">
        <f t="shared" si="25"/>
        <v>0.20804999999999998</v>
      </c>
      <c r="AB493" s="9">
        <f t="shared" si="26"/>
        <v>0.37724000000000002</v>
      </c>
      <c r="AC493" s="10">
        <f t="shared" si="27"/>
        <v>12604.6</v>
      </c>
      <c r="AD493" s="10">
        <f t="shared" si="28"/>
        <v>14.367000000000001</v>
      </c>
      <c r="AE493" s="9">
        <f t="shared" si="29"/>
        <v>0</v>
      </c>
      <c r="AF493" s="9">
        <f t="shared" si="30"/>
        <v>0.58528999999999998</v>
      </c>
      <c r="AG493" s="9">
        <f t="shared" si="31"/>
        <v>1.846340694006309</v>
      </c>
      <c r="AH493" s="11">
        <f t="shared" si="46"/>
        <v>20.805</v>
      </c>
      <c r="AI493" s="11">
        <f t="shared" si="46"/>
        <v>37.724000000000004</v>
      </c>
      <c r="AJ493" s="11">
        <f t="shared" si="46"/>
        <v>12604.6</v>
      </c>
      <c r="AK493" s="11">
        <f t="shared" si="46"/>
        <v>0</v>
      </c>
      <c r="AL493" s="11">
        <f t="shared" si="46"/>
        <v>14.367000000000001</v>
      </c>
      <c r="AM493" s="2"/>
      <c r="AN493" s="2"/>
      <c r="AO493" s="2"/>
    </row>
    <row r="494" spans="1:41" x14ac:dyDescent="0.2">
      <c r="A494" s="2" t="s">
        <v>1025</v>
      </c>
      <c r="B494" s="2" t="s">
        <v>1023</v>
      </c>
      <c r="C494" s="2" t="s">
        <v>849</v>
      </c>
      <c r="D494" s="2" t="s">
        <v>1026</v>
      </c>
      <c r="E494" s="2" t="s">
        <v>50</v>
      </c>
      <c r="F494" s="2" t="s">
        <v>1027</v>
      </c>
      <c r="G494" s="2" t="s">
        <v>547</v>
      </c>
      <c r="H494" s="12">
        <f>0.571482+1.320154+0.169705+0.007366+0.068688+0.036291</f>
        <v>2.173686</v>
      </c>
      <c r="I494" s="9">
        <f>(2.52*0.571482+2.36*1.320154+1.96*0.169705+3.26*0.007366+2.53*0.068688+2.03*0.036291)/$H494</f>
        <v>2.3737487429187105</v>
      </c>
      <c r="J494" s="9">
        <f>(8.79*0.571482+6.69*1.320154+4.42*0.169705+4.04*0.007366+3.15*0.068688+2.79*0.036291)/$H494</f>
        <v>6.8789286355066928</v>
      </c>
      <c r="K494" s="13">
        <f>(14.01*0.571482+14.35*1.320154+12.53*0.169705+14.98*0.007366+12.23*0.068688+10.47*0.036291)/$H494</f>
        <v>13.988883426585073</v>
      </c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9">
        <f t="shared" si="25"/>
        <v>5.1597844100000005E-2</v>
      </c>
      <c r="AB494" s="9">
        <f t="shared" si="26"/>
        <v>0.1495263087</v>
      </c>
      <c r="AC494" s="10">
        <f t="shared" si="27"/>
        <v>30.407440059999999</v>
      </c>
      <c r="AD494" s="10">
        <f t="shared" si="28"/>
        <v>0</v>
      </c>
      <c r="AE494" s="9">
        <f t="shared" si="29"/>
        <v>0</v>
      </c>
      <c r="AF494" s="9">
        <f t="shared" si="30"/>
        <v>0.20112415280000001</v>
      </c>
      <c r="AG494" s="9">
        <f t="shared" si="31"/>
        <v>9.2526773784254033</v>
      </c>
      <c r="AH494" s="11">
        <f t="shared" si="46"/>
        <v>5.1597844100000003</v>
      </c>
      <c r="AI494" s="11">
        <f t="shared" si="46"/>
        <v>14.95263087</v>
      </c>
      <c r="AJ494" s="11">
        <f t="shared" si="46"/>
        <v>30.407440059999999</v>
      </c>
      <c r="AK494" s="11">
        <f t="shared" si="46"/>
        <v>0</v>
      </c>
      <c r="AL494" s="11">
        <f t="shared" si="46"/>
        <v>0</v>
      </c>
      <c r="AM494" s="2"/>
      <c r="AN494" s="2"/>
      <c r="AO494" s="2"/>
    </row>
    <row r="495" spans="1:41" x14ac:dyDescent="0.2">
      <c r="A495" s="2" t="s">
        <v>1028</v>
      </c>
      <c r="B495" s="2" t="s">
        <v>1029</v>
      </c>
      <c r="C495" s="2" t="s">
        <v>157</v>
      </c>
      <c r="D495" s="2"/>
      <c r="E495" s="2" t="s">
        <v>50</v>
      </c>
      <c r="F495" s="2" t="s">
        <v>657</v>
      </c>
      <c r="G495" s="2" t="s">
        <v>64</v>
      </c>
      <c r="H495" s="2">
        <f>1.06+2.86+2.5</f>
        <v>6.42</v>
      </c>
      <c r="I495" s="9">
        <f>(3.45*1.06+1.85*2.86+2.26*2.5)/$H495</f>
        <v>2.2738317757009345</v>
      </c>
      <c r="J495" s="9">
        <f>(6.46*1.06+5.23*2.86+5.57*2.5)/$H495</f>
        <v>5.565482866043614</v>
      </c>
      <c r="K495" s="13">
        <f>(116.2*1.06+54.8*2.86+49.1*2.5)/$H495</f>
        <v>62.718068535825545</v>
      </c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9">
        <f t="shared" si="25"/>
        <v>0.14598</v>
      </c>
      <c r="AB495" s="9">
        <f t="shared" si="26"/>
        <v>0.35730400000000001</v>
      </c>
      <c r="AC495" s="10">
        <f t="shared" si="27"/>
        <v>402.65</v>
      </c>
      <c r="AD495" s="10">
        <f t="shared" si="28"/>
        <v>0</v>
      </c>
      <c r="AE495" s="9">
        <f t="shared" si="29"/>
        <v>0</v>
      </c>
      <c r="AF495" s="9">
        <f t="shared" si="30"/>
        <v>0.50328400000000006</v>
      </c>
      <c r="AG495" s="9">
        <f t="shared" si="31"/>
        <v>7.839314641744549</v>
      </c>
      <c r="AH495" s="11">
        <f t="shared" si="46"/>
        <v>14.597999999999999</v>
      </c>
      <c r="AI495" s="11">
        <f t="shared" si="46"/>
        <v>35.730400000000003</v>
      </c>
      <c r="AJ495" s="11">
        <f t="shared" si="46"/>
        <v>402.65</v>
      </c>
      <c r="AK495" s="11">
        <f t="shared" si="46"/>
        <v>0</v>
      </c>
      <c r="AL495" s="11">
        <f t="shared" si="46"/>
        <v>0</v>
      </c>
      <c r="AM495" s="2"/>
      <c r="AN495" s="2"/>
      <c r="AO495" s="2"/>
    </row>
    <row r="496" spans="1:41" x14ac:dyDescent="0.2">
      <c r="A496" s="2" t="s">
        <v>1030</v>
      </c>
      <c r="B496" s="2" t="s">
        <v>1031</v>
      </c>
      <c r="C496" s="2" t="s">
        <v>48</v>
      </c>
      <c r="D496" s="2"/>
      <c r="E496" s="7" t="s">
        <v>40</v>
      </c>
      <c r="F496" s="2" t="s">
        <v>1032</v>
      </c>
      <c r="G496" s="2" t="s">
        <v>615</v>
      </c>
      <c r="H496" s="2">
        <v>0.1</v>
      </c>
      <c r="I496" s="2"/>
      <c r="J496" s="2">
        <v>3.5</v>
      </c>
      <c r="K496" s="2">
        <v>42</v>
      </c>
      <c r="L496" s="2">
        <v>0.8</v>
      </c>
      <c r="M496" s="2">
        <v>0.52</v>
      </c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9">
        <f t="shared" si="25"/>
        <v>0</v>
      </c>
      <c r="AB496" s="9">
        <f t="shared" si="26"/>
        <v>3.5000000000000005E-3</v>
      </c>
      <c r="AC496" s="10">
        <f t="shared" si="27"/>
        <v>4.2</v>
      </c>
      <c r="AD496" s="10">
        <f t="shared" si="28"/>
        <v>5.2000000000000005E-2</v>
      </c>
      <c r="AE496" s="9">
        <f t="shared" si="29"/>
        <v>8.0000000000000015E-4</v>
      </c>
      <c r="AF496" s="9">
        <f t="shared" si="30"/>
        <v>4.3000000000000009E-3</v>
      </c>
      <c r="AG496" s="9">
        <f t="shared" si="31"/>
        <v>4.3</v>
      </c>
      <c r="AH496" s="11">
        <f t="shared" si="46"/>
        <v>0</v>
      </c>
      <c r="AI496" s="11">
        <f t="shared" si="46"/>
        <v>0.35000000000000003</v>
      </c>
      <c r="AJ496" s="11">
        <f t="shared" si="46"/>
        <v>4.2</v>
      </c>
      <c r="AK496" s="11">
        <f t="shared" si="46"/>
        <v>8.0000000000000016E-2</v>
      </c>
      <c r="AL496" s="11">
        <f t="shared" si="46"/>
        <v>5.2000000000000005E-2</v>
      </c>
      <c r="AM496" s="2"/>
      <c r="AN496" s="2"/>
      <c r="AO496" s="2"/>
    </row>
    <row r="497" spans="1:41" x14ac:dyDescent="0.2">
      <c r="A497" s="2" t="s">
        <v>1033</v>
      </c>
      <c r="B497" s="2" t="s">
        <v>1031</v>
      </c>
      <c r="C497" s="2" t="s">
        <v>38</v>
      </c>
      <c r="D497" s="2" t="s">
        <v>39</v>
      </c>
      <c r="E497" s="7" t="s">
        <v>40</v>
      </c>
      <c r="F497" s="2" t="s">
        <v>1034</v>
      </c>
      <c r="G497" s="2" t="s">
        <v>875</v>
      </c>
      <c r="H497" s="2">
        <v>8.8000000000000007</v>
      </c>
      <c r="I497" s="2">
        <v>3.1</v>
      </c>
      <c r="J497" s="2">
        <v>4.2</v>
      </c>
      <c r="K497" s="2"/>
      <c r="L497" s="2">
        <v>1.6</v>
      </c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9">
        <f t="shared" si="25"/>
        <v>0.27280000000000004</v>
      </c>
      <c r="AB497" s="9">
        <f t="shared" si="26"/>
        <v>0.3696000000000001</v>
      </c>
      <c r="AC497" s="10">
        <f t="shared" si="27"/>
        <v>0</v>
      </c>
      <c r="AD497" s="10">
        <f t="shared" si="28"/>
        <v>0</v>
      </c>
      <c r="AE497" s="9">
        <f t="shared" si="29"/>
        <v>0.14080000000000001</v>
      </c>
      <c r="AF497" s="9">
        <f t="shared" si="30"/>
        <v>0.78320000000000012</v>
      </c>
      <c r="AG497" s="9">
        <f t="shared" si="31"/>
        <v>8.9</v>
      </c>
      <c r="AH497" s="11">
        <f t="shared" si="46"/>
        <v>27.280000000000005</v>
      </c>
      <c r="AI497" s="11">
        <f t="shared" si="46"/>
        <v>36.960000000000008</v>
      </c>
      <c r="AJ497" s="11">
        <f t="shared" si="46"/>
        <v>0</v>
      </c>
      <c r="AK497" s="11">
        <f t="shared" si="46"/>
        <v>14.080000000000002</v>
      </c>
      <c r="AL497" s="11">
        <f t="shared" si="46"/>
        <v>0</v>
      </c>
      <c r="AM497" s="2"/>
      <c r="AN497" s="2"/>
      <c r="AO497" s="2"/>
    </row>
    <row r="498" spans="1:41" x14ac:dyDescent="0.2">
      <c r="A498" s="2" t="s">
        <v>1035</v>
      </c>
      <c r="B498" s="2" t="s">
        <v>1031</v>
      </c>
      <c r="C498" s="2" t="s">
        <v>38</v>
      </c>
      <c r="D498" s="2" t="s">
        <v>62</v>
      </c>
      <c r="E498" s="7" t="s">
        <v>40</v>
      </c>
      <c r="F498" s="2" t="s">
        <v>1032</v>
      </c>
      <c r="G498" s="2" t="s">
        <v>615</v>
      </c>
      <c r="H498" s="2">
        <v>8.3000000000000007</v>
      </c>
      <c r="I498" s="2">
        <v>6</v>
      </c>
      <c r="J498" s="2">
        <v>6</v>
      </c>
      <c r="K498" s="2"/>
      <c r="L498" s="2">
        <v>2</v>
      </c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9">
        <f t="shared" si="25"/>
        <v>0.49800000000000005</v>
      </c>
      <c r="AB498" s="9">
        <f t="shared" si="26"/>
        <v>0.49800000000000005</v>
      </c>
      <c r="AC498" s="10">
        <f t="shared" si="27"/>
        <v>0</v>
      </c>
      <c r="AD498" s="10">
        <f t="shared" si="28"/>
        <v>0</v>
      </c>
      <c r="AE498" s="9">
        <f t="shared" si="29"/>
        <v>0.16600000000000001</v>
      </c>
      <c r="AF498" s="9">
        <f t="shared" si="30"/>
        <v>1.1620000000000001</v>
      </c>
      <c r="AG498" s="9">
        <f t="shared" si="31"/>
        <v>14</v>
      </c>
      <c r="AH498" s="11">
        <f t="shared" ref="AH498:AL513" si="47">$H498*I498</f>
        <v>49.800000000000004</v>
      </c>
      <c r="AI498" s="11">
        <f t="shared" si="47"/>
        <v>49.800000000000004</v>
      </c>
      <c r="AJ498" s="11">
        <f t="shared" si="47"/>
        <v>0</v>
      </c>
      <c r="AK498" s="11">
        <f t="shared" si="47"/>
        <v>16.600000000000001</v>
      </c>
      <c r="AL498" s="11">
        <f t="shared" si="47"/>
        <v>0</v>
      </c>
      <c r="AM498" s="2"/>
      <c r="AN498" s="2"/>
      <c r="AO498" s="2"/>
    </row>
    <row r="499" spans="1:41" x14ac:dyDescent="0.2">
      <c r="A499" s="2" t="s">
        <v>1036</v>
      </c>
      <c r="B499" s="2" t="s">
        <v>1031</v>
      </c>
      <c r="C499" s="2" t="s">
        <v>48</v>
      </c>
      <c r="D499" s="2"/>
      <c r="E499" s="2" t="s">
        <v>50</v>
      </c>
      <c r="F499" s="2" t="s">
        <v>1037</v>
      </c>
      <c r="G499" s="2" t="s">
        <v>469</v>
      </c>
      <c r="H499" s="2">
        <f>1.86+0.149</f>
        <v>2.0089999999999999</v>
      </c>
      <c r="I499" s="9">
        <f>(3.83*1.86+1.89*0.149)/$H499</f>
        <v>3.6861174713787954</v>
      </c>
      <c r="J499" s="9">
        <f>(5.8*1.86+4.56*0.149)/$H499</f>
        <v>5.7080338476854156</v>
      </c>
      <c r="K499" s="14">
        <f>(36*1.86+29*0.149)/$H499</f>
        <v>35.480836236933804</v>
      </c>
      <c r="L499" s="9">
        <f>(2.62*1.86+1.7*0.149)/$H499</f>
        <v>2.5517670482827284</v>
      </c>
      <c r="M499" s="9">
        <f>(0.48*1.86+0.44*0.149)/$H499</f>
        <v>0.47703334992533603</v>
      </c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9">
        <f t="shared" si="25"/>
        <v>7.4054099999999998E-2</v>
      </c>
      <c r="AB499" s="9">
        <f t="shared" si="26"/>
        <v>0.1146744</v>
      </c>
      <c r="AC499" s="10">
        <f t="shared" si="27"/>
        <v>71.281000000000006</v>
      </c>
      <c r="AD499" s="10">
        <f t="shared" si="28"/>
        <v>0.95835999999999999</v>
      </c>
      <c r="AE499" s="9">
        <f t="shared" si="29"/>
        <v>5.1265000000000012E-2</v>
      </c>
      <c r="AF499" s="9">
        <f t="shared" si="30"/>
        <v>0.2399935</v>
      </c>
      <c r="AG499" s="9">
        <f t="shared" si="31"/>
        <v>11.945918367346939</v>
      </c>
      <c r="AH499" s="11">
        <f t="shared" si="47"/>
        <v>7.4054099999999998</v>
      </c>
      <c r="AI499" s="11">
        <f t="shared" si="47"/>
        <v>11.46744</v>
      </c>
      <c r="AJ499" s="11">
        <f t="shared" si="47"/>
        <v>71.281000000000006</v>
      </c>
      <c r="AK499" s="11">
        <f t="shared" si="47"/>
        <v>5.1265000000000009</v>
      </c>
      <c r="AL499" s="11">
        <f t="shared" si="47"/>
        <v>0.95835999999999999</v>
      </c>
      <c r="AM499" s="2"/>
      <c r="AN499" s="2"/>
      <c r="AO499" s="2"/>
    </row>
    <row r="500" spans="1:41" x14ac:dyDescent="0.2">
      <c r="A500" s="2" t="s">
        <v>1038</v>
      </c>
      <c r="B500" s="2" t="s">
        <v>1031</v>
      </c>
      <c r="C500" s="2" t="s">
        <v>38</v>
      </c>
      <c r="D500" s="2" t="s">
        <v>62</v>
      </c>
      <c r="E500" s="7" t="s">
        <v>40</v>
      </c>
      <c r="F500" s="2" t="s">
        <v>41</v>
      </c>
      <c r="G500" s="2" t="s">
        <v>44</v>
      </c>
      <c r="H500" s="2">
        <v>1.22</v>
      </c>
      <c r="I500" s="2">
        <v>2.57</v>
      </c>
      <c r="J500" s="2">
        <v>3.84</v>
      </c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9">
        <f t="shared" si="25"/>
        <v>3.1354E-2</v>
      </c>
      <c r="AB500" s="9">
        <f t="shared" si="26"/>
        <v>4.6848000000000001E-2</v>
      </c>
      <c r="AC500" s="10">
        <f t="shared" si="27"/>
        <v>0</v>
      </c>
      <c r="AD500" s="10">
        <f t="shared" si="28"/>
        <v>0</v>
      </c>
      <c r="AE500" s="9">
        <f t="shared" si="29"/>
        <v>0</v>
      </c>
      <c r="AF500" s="9">
        <f t="shared" si="30"/>
        <v>7.8201999999999994E-2</v>
      </c>
      <c r="AG500" s="9">
        <f t="shared" si="31"/>
        <v>6.41</v>
      </c>
      <c r="AH500" s="11">
        <f t="shared" si="47"/>
        <v>3.1353999999999997</v>
      </c>
      <c r="AI500" s="11">
        <f t="shared" si="47"/>
        <v>4.6848000000000001</v>
      </c>
      <c r="AJ500" s="11">
        <f t="shared" si="47"/>
        <v>0</v>
      </c>
      <c r="AK500" s="11">
        <f t="shared" si="47"/>
        <v>0</v>
      </c>
      <c r="AL500" s="11">
        <f t="shared" si="47"/>
        <v>0</v>
      </c>
      <c r="AM500" s="2"/>
      <c r="AN500" s="2"/>
      <c r="AO500" s="2"/>
    </row>
    <row r="501" spans="1:41" x14ac:dyDescent="0.2">
      <c r="A501" s="2" t="s">
        <v>1039</v>
      </c>
      <c r="B501" s="2" t="s">
        <v>1031</v>
      </c>
      <c r="C501" s="2" t="s">
        <v>38</v>
      </c>
      <c r="D501" s="2" t="s">
        <v>62</v>
      </c>
      <c r="E501" s="7" t="s">
        <v>40</v>
      </c>
      <c r="F501" s="2" t="s">
        <v>41</v>
      </c>
      <c r="G501" s="2" t="s">
        <v>44</v>
      </c>
      <c r="H501" s="2">
        <v>16</v>
      </c>
      <c r="I501" s="2">
        <v>1.17</v>
      </c>
      <c r="J501" s="2">
        <v>5.85</v>
      </c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9">
        <f t="shared" si="25"/>
        <v>0.18719999999999998</v>
      </c>
      <c r="AB501" s="9">
        <f t="shared" si="26"/>
        <v>0.93599999999999994</v>
      </c>
      <c r="AC501" s="10">
        <f t="shared" si="27"/>
        <v>0</v>
      </c>
      <c r="AD501" s="10">
        <f t="shared" si="28"/>
        <v>0</v>
      </c>
      <c r="AE501" s="9">
        <f t="shared" si="29"/>
        <v>0</v>
      </c>
      <c r="AF501" s="9">
        <f t="shared" si="30"/>
        <v>1.1232</v>
      </c>
      <c r="AG501" s="9">
        <f t="shared" si="31"/>
        <v>7.02</v>
      </c>
      <c r="AH501" s="11">
        <f t="shared" si="47"/>
        <v>18.72</v>
      </c>
      <c r="AI501" s="11">
        <f t="shared" si="47"/>
        <v>93.6</v>
      </c>
      <c r="AJ501" s="11">
        <f t="shared" si="47"/>
        <v>0</v>
      </c>
      <c r="AK501" s="11">
        <f t="shared" si="47"/>
        <v>0</v>
      </c>
      <c r="AL501" s="11">
        <f t="shared" si="47"/>
        <v>0</v>
      </c>
      <c r="AM501" s="2"/>
      <c r="AN501" s="2"/>
      <c r="AO501" s="2"/>
    </row>
    <row r="502" spans="1:41" x14ac:dyDescent="0.2">
      <c r="A502" s="2" t="s">
        <v>1040</v>
      </c>
      <c r="B502" s="2" t="s">
        <v>1031</v>
      </c>
      <c r="C502" s="2" t="s">
        <v>38</v>
      </c>
      <c r="D502" s="2" t="s">
        <v>62</v>
      </c>
      <c r="E502" s="2" t="s">
        <v>50</v>
      </c>
      <c r="F502" s="2" t="s">
        <v>1041</v>
      </c>
      <c r="G502" s="2" t="s">
        <v>1014</v>
      </c>
      <c r="H502" s="2">
        <f>5.4+10.9</f>
        <v>16.3</v>
      </c>
      <c r="I502" s="13">
        <f>(1.6*5.4+1.7*10.9)/$H502</f>
        <v>1.6668711656441717</v>
      </c>
      <c r="J502" s="13">
        <f>(4.5*5.4+3.8*10.9)/$H502</f>
        <v>4.0319018404907974</v>
      </c>
      <c r="K502" s="14">
        <f>(66*5.4+55*10.9)/$H502</f>
        <v>58.644171779141111</v>
      </c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9">
        <f t="shared" si="25"/>
        <v>0.2717</v>
      </c>
      <c r="AB502" s="9">
        <f t="shared" si="26"/>
        <v>0.65720000000000001</v>
      </c>
      <c r="AC502" s="10">
        <f t="shared" si="27"/>
        <v>955.90000000000009</v>
      </c>
      <c r="AD502" s="10">
        <f t="shared" si="28"/>
        <v>0</v>
      </c>
      <c r="AE502" s="9">
        <f t="shared" si="29"/>
        <v>0</v>
      </c>
      <c r="AF502" s="9">
        <f t="shared" si="30"/>
        <v>0.92890000000000006</v>
      </c>
      <c r="AG502" s="9">
        <f t="shared" si="31"/>
        <v>5.6987730061349691</v>
      </c>
      <c r="AH502" s="11">
        <f t="shared" si="47"/>
        <v>27.17</v>
      </c>
      <c r="AI502" s="11">
        <f t="shared" si="47"/>
        <v>65.72</v>
      </c>
      <c r="AJ502" s="11">
        <f t="shared" si="47"/>
        <v>955.90000000000009</v>
      </c>
      <c r="AK502" s="11">
        <f t="shared" si="47"/>
        <v>0</v>
      </c>
      <c r="AL502" s="11">
        <f t="shared" si="47"/>
        <v>0</v>
      </c>
      <c r="AM502" s="2"/>
      <c r="AN502" s="2"/>
      <c r="AO502" s="2"/>
    </row>
    <row r="503" spans="1:41" x14ac:dyDescent="0.2">
      <c r="A503" s="2" t="s">
        <v>1042</v>
      </c>
      <c r="B503" s="2" t="s">
        <v>1031</v>
      </c>
      <c r="C503" s="2" t="s">
        <v>38</v>
      </c>
      <c r="D503" s="2" t="s">
        <v>62</v>
      </c>
      <c r="E503" s="7" t="s">
        <v>40</v>
      </c>
      <c r="F503" s="2" t="s">
        <v>41</v>
      </c>
      <c r="G503" s="2" t="s">
        <v>44</v>
      </c>
      <c r="H503" s="2">
        <v>7</v>
      </c>
      <c r="I503" s="2">
        <v>4.5999999999999996</v>
      </c>
      <c r="J503" s="2">
        <v>1.71</v>
      </c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9">
        <f t="shared" si="25"/>
        <v>0.32199999999999995</v>
      </c>
      <c r="AB503" s="9">
        <f t="shared" si="26"/>
        <v>0.11969999999999999</v>
      </c>
      <c r="AC503" s="10">
        <f t="shared" si="27"/>
        <v>0</v>
      </c>
      <c r="AD503" s="10">
        <f t="shared" si="28"/>
        <v>0</v>
      </c>
      <c r="AE503" s="9">
        <f t="shared" si="29"/>
        <v>0</v>
      </c>
      <c r="AF503" s="9">
        <f t="shared" si="30"/>
        <v>0.44169999999999993</v>
      </c>
      <c r="AG503" s="9">
        <f t="shared" si="31"/>
        <v>6.31</v>
      </c>
      <c r="AH503" s="11">
        <f t="shared" si="47"/>
        <v>32.199999999999996</v>
      </c>
      <c r="AI503" s="11">
        <f t="shared" si="47"/>
        <v>11.969999999999999</v>
      </c>
      <c r="AJ503" s="11">
        <f t="shared" si="47"/>
        <v>0</v>
      </c>
      <c r="AK503" s="11">
        <f t="shared" si="47"/>
        <v>0</v>
      </c>
      <c r="AL503" s="11">
        <f t="shared" si="47"/>
        <v>0</v>
      </c>
      <c r="AM503" s="2"/>
      <c r="AN503" s="2"/>
      <c r="AO503" s="2"/>
    </row>
    <row r="504" spans="1:41" x14ac:dyDescent="0.2">
      <c r="A504" s="2" t="s">
        <v>1043</v>
      </c>
      <c r="B504" s="2" t="s">
        <v>1031</v>
      </c>
      <c r="C504" s="2" t="s">
        <v>48</v>
      </c>
      <c r="D504" s="2"/>
      <c r="E504" s="7" t="s">
        <v>40</v>
      </c>
      <c r="F504" s="2" t="s">
        <v>1032</v>
      </c>
      <c r="G504" s="2" t="s">
        <v>615</v>
      </c>
      <c r="H504" s="2">
        <v>3.5</v>
      </c>
      <c r="I504" s="2"/>
      <c r="J504" s="2">
        <v>1.3</v>
      </c>
      <c r="K504" s="2"/>
      <c r="L504" s="2">
        <v>1.7</v>
      </c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9">
        <f t="shared" si="25"/>
        <v>0</v>
      </c>
      <c r="AB504" s="9">
        <f t="shared" si="26"/>
        <v>4.5499999999999999E-2</v>
      </c>
      <c r="AC504" s="10">
        <f t="shared" si="27"/>
        <v>0</v>
      </c>
      <c r="AD504" s="10">
        <f t="shared" si="28"/>
        <v>0</v>
      </c>
      <c r="AE504" s="9">
        <f t="shared" si="29"/>
        <v>5.9500000000000004E-2</v>
      </c>
      <c r="AF504" s="9">
        <f t="shared" si="30"/>
        <v>0.10500000000000001</v>
      </c>
      <c r="AG504" s="9">
        <f t="shared" si="31"/>
        <v>3</v>
      </c>
      <c r="AH504" s="11">
        <f t="shared" si="47"/>
        <v>0</v>
      </c>
      <c r="AI504" s="11">
        <f t="shared" si="47"/>
        <v>4.55</v>
      </c>
      <c r="AJ504" s="11">
        <f t="shared" si="47"/>
        <v>0</v>
      </c>
      <c r="AK504" s="11">
        <f t="shared" si="47"/>
        <v>5.95</v>
      </c>
      <c r="AL504" s="11">
        <f t="shared" si="47"/>
        <v>0</v>
      </c>
      <c r="AM504" s="2"/>
      <c r="AN504" s="2"/>
      <c r="AO504" s="2"/>
    </row>
    <row r="505" spans="1:41" x14ac:dyDescent="0.2">
      <c r="A505" s="2" t="s">
        <v>1044</v>
      </c>
      <c r="B505" s="2" t="s">
        <v>1031</v>
      </c>
      <c r="C505" s="2" t="s">
        <v>38</v>
      </c>
      <c r="D505" s="2" t="s">
        <v>62</v>
      </c>
      <c r="E505" s="7" t="s">
        <v>40</v>
      </c>
      <c r="F505" s="2" t="s">
        <v>41</v>
      </c>
      <c r="G505" s="2" t="s">
        <v>44</v>
      </c>
      <c r="H505" s="2">
        <v>0.23</v>
      </c>
      <c r="I505" s="2">
        <v>1.64</v>
      </c>
      <c r="J505" s="2">
        <v>1</v>
      </c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9">
        <f t="shared" si="25"/>
        <v>3.7719999999999997E-3</v>
      </c>
      <c r="AB505" s="9">
        <f t="shared" si="26"/>
        <v>2.3E-3</v>
      </c>
      <c r="AC505" s="10">
        <f t="shared" si="27"/>
        <v>0</v>
      </c>
      <c r="AD505" s="10">
        <f t="shared" si="28"/>
        <v>0</v>
      </c>
      <c r="AE505" s="9">
        <f t="shared" si="29"/>
        <v>0</v>
      </c>
      <c r="AF505" s="9">
        <f t="shared" si="30"/>
        <v>6.0719999999999993E-3</v>
      </c>
      <c r="AG505" s="9">
        <f t="shared" si="31"/>
        <v>2.6399999999999997</v>
      </c>
      <c r="AH505" s="11">
        <f t="shared" si="47"/>
        <v>0.37719999999999998</v>
      </c>
      <c r="AI505" s="11">
        <f t="shared" si="47"/>
        <v>0.23</v>
      </c>
      <c r="AJ505" s="11">
        <f t="shared" si="47"/>
        <v>0</v>
      </c>
      <c r="AK505" s="11">
        <f t="shared" si="47"/>
        <v>0</v>
      </c>
      <c r="AL505" s="11">
        <f t="shared" si="47"/>
        <v>0</v>
      </c>
      <c r="AM505" s="2"/>
      <c r="AN505" s="2"/>
      <c r="AO505" s="2"/>
    </row>
    <row r="506" spans="1:41" x14ac:dyDescent="0.2">
      <c r="A506" s="2" t="s">
        <v>1045</v>
      </c>
      <c r="B506" s="2" t="s">
        <v>1031</v>
      </c>
      <c r="C506" s="2" t="s">
        <v>38</v>
      </c>
      <c r="D506" s="2" t="s">
        <v>62</v>
      </c>
      <c r="E506" s="2" t="s">
        <v>50</v>
      </c>
      <c r="F506" s="2" t="s">
        <v>41</v>
      </c>
      <c r="G506" s="2" t="s">
        <v>1046</v>
      </c>
      <c r="H506" s="2">
        <v>7.1</v>
      </c>
      <c r="I506" s="2">
        <v>0.86</v>
      </c>
      <c r="J506" s="2">
        <v>1.4</v>
      </c>
      <c r="K506" s="2"/>
      <c r="L506" s="2">
        <v>0.36</v>
      </c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9">
        <f t="shared" si="25"/>
        <v>6.1059999999999996E-2</v>
      </c>
      <c r="AB506" s="9">
        <f t="shared" si="26"/>
        <v>9.9399999999999988E-2</v>
      </c>
      <c r="AC506" s="10">
        <f t="shared" si="27"/>
        <v>0</v>
      </c>
      <c r="AD506" s="10">
        <f t="shared" si="28"/>
        <v>0</v>
      </c>
      <c r="AE506" s="9">
        <f t="shared" si="29"/>
        <v>2.5559999999999996E-2</v>
      </c>
      <c r="AF506" s="9">
        <f t="shared" si="30"/>
        <v>0.18601999999999999</v>
      </c>
      <c r="AG506" s="9">
        <f t="shared" si="31"/>
        <v>2.6199999999999997</v>
      </c>
      <c r="AH506" s="11">
        <f t="shared" si="47"/>
        <v>6.1059999999999999</v>
      </c>
      <c r="AI506" s="11">
        <f t="shared" si="47"/>
        <v>9.94</v>
      </c>
      <c r="AJ506" s="11">
        <f t="shared" si="47"/>
        <v>0</v>
      </c>
      <c r="AK506" s="11">
        <f t="shared" si="47"/>
        <v>2.5559999999999996</v>
      </c>
      <c r="AL506" s="11">
        <f t="shared" si="47"/>
        <v>0</v>
      </c>
      <c r="AM506" s="2"/>
      <c r="AN506" s="2"/>
      <c r="AO506" s="2"/>
    </row>
    <row r="507" spans="1:41" x14ac:dyDescent="0.2">
      <c r="A507" s="2" t="s">
        <v>1047</v>
      </c>
      <c r="B507" s="2" t="s">
        <v>1031</v>
      </c>
      <c r="C507" s="2" t="s">
        <v>48</v>
      </c>
      <c r="D507" s="2"/>
      <c r="E507" s="7" t="s">
        <v>40</v>
      </c>
      <c r="F507" s="2" t="s">
        <v>1032</v>
      </c>
      <c r="G507" s="2" t="s">
        <v>615</v>
      </c>
      <c r="H507" s="2">
        <v>0.3</v>
      </c>
      <c r="I507" s="2">
        <v>0.5</v>
      </c>
      <c r="J507" s="2">
        <v>6.4</v>
      </c>
      <c r="K507" s="2"/>
      <c r="L507" s="2">
        <v>1.4</v>
      </c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9">
        <f t="shared" si="25"/>
        <v>1.5E-3</v>
      </c>
      <c r="AB507" s="9">
        <f t="shared" si="26"/>
        <v>1.9199999999999998E-2</v>
      </c>
      <c r="AC507" s="10">
        <f t="shared" si="27"/>
        <v>0</v>
      </c>
      <c r="AD507" s="10">
        <f t="shared" si="28"/>
        <v>0</v>
      </c>
      <c r="AE507" s="9">
        <f t="shared" si="29"/>
        <v>4.1999999999999997E-3</v>
      </c>
      <c r="AF507" s="9">
        <f t="shared" si="30"/>
        <v>2.4899999999999999E-2</v>
      </c>
      <c r="AG507" s="9">
        <f t="shared" si="31"/>
        <v>8.3000000000000007</v>
      </c>
      <c r="AH507" s="11">
        <f t="shared" si="47"/>
        <v>0.15</v>
      </c>
      <c r="AI507" s="11">
        <f t="shared" si="47"/>
        <v>1.92</v>
      </c>
      <c r="AJ507" s="11">
        <f t="shared" si="47"/>
        <v>0</v>
      </c>
      <c r="AK507" s="11">
        <f t="shared" si="47"/>
        <v>0.42</v>
      </c>
      <c r="AL507" s="11">
        <f t="shared" si="47"/>
        <v>0</v>
      </c>
      <c r="AM507" s="2"/>
      <c r="AN507" s="2"/>
      <c r="AO507" s="2"/>
    </row>
    <row r="508" spans="1:41" x14ac:dyDescent="0.2">
      <c r="A508" s="2" t="s">
        <v>1048</v>
      </c>
      <c r="B508" s="2" t="s">
        <v>1031</v>
      </c>
      <c r="C508" s="2" t="s">
        <v>38</v>
      </c>
      <c r="D508" s="2" t="s">
        <v>62</v>
      </c>
      <c r="E508" s="7" t="s">
        <v>40</v>
      </c>
      <c r="F508" s="2" t="s">
        <v>1032</v>
      </c>
      <c r="G508" s="2" t="s">
        <v>615</v>
      </c>
      <c r="H508" s="2">
        <v>1</v>
      </c>
      <c r="I508" s="2">
        <v>5.4</v>
      </c>
      <c r="J508" s="2">
        <v>7.3</v>
      </c>
      <c r="K508" s="2"/>
      <c r="L508" s="2">
        <v>2</v>
      </c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9">
        <f t="shared" si="25"/>
        <v>5.4000000000000006E-2</v>
      </c>
      <c r="AB508" s="9">
        <f t="shared" si="26"/>
        <v>7.2999999999999995E-2</v>
      </c>
      <c r="AC508" s="10">
        <f t="shared" si="27"/>
        <v>0</v>
      </c>
      <c r="AD508" s="10">
        <f t="shared" si="28"/>
        <v>0</v>
      </c>
      <c r="AE508" s="9">
        <f t="shared" si="29"/>
        <v>0.02</v>
      </c>
      <c r="AF508" s="9">
        <f t="shared" si="30"/>
        <v>0.14699999999999999</v>
      </c>
      <c r="AG508" s="9">
        <f t="shared" si="31"/>
        <v>14.7</v>
      </c>
      <c r="AH508" s="11">
        <f t="shared" si="47"/>
        <v>5.4</v>
      </c>
      <c r="AI508" s="11">
        <f t="shared" si="47"/>
        <v>7.3</v>
      </c>
      <c r="AJ508" s="11">
        <f t="shared" si="47"/>
        <v>0</v>
      </c>
      <c r="AK508" s="11">
        <f t="shared" si="47"/>
        <v>2</v>
      </c>
      <c r="AL508" s="11">
        <f t="shared" si="47"/>
        <v>0</v>
      </c>
      <c r="AM508" s="2"/>
      <c r="AN508" s="2"/>
      <c r="AO508" s="2"/>
    </row>
    <row r="509" spans="1:41" x14ac:dyDescent="0.2">
      <c r="A509" s="2" t="s">
        <v>1049</v>
      </c>
      <c r="B509" s="2" t="s">
        <v>1031</v>
      </c>
      <c r="C509" s="2" t="s">
        <v>38</v>
      </c>
      <c r="D509" s="2" t="s">
        <v>62</v>
      </c>
      <c r="E509" s="7" t="s">
        <v>40</v>
      </c>
      <c r="F509" s="2" t="s">
        <v>41</v>
      </c>
      <c r="G509" s="2" t="s">
        <v>44</v>
      </c>
      <c r="H509" s="2">
        <v>17.489999999999998</v>
      </c>
      <c r="I509" s="2">
        <v>0.44</v>
      </c>
      <c r="J509" s="2">
        <v>1.84</v>
      </c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9">
        <f t="shared" si="25"/>
        <v>7.6955999999999997E-2</v>
      </c>
      <c r="AB509" s="9">
        <f t="shared" si="26"/>
        <v>0.32181599999999994</v>
      </c>
      <c r="AC509" s="10">
        <f t="shared" si="27"/>
        <v>0</v>
      </c>
      <c r="AD509" s="10">
        <f t="shared" si="28"/>
        <v>0</v>
      </c>
      <c r="AE509" s="9">
        <f t="shared" si="29"/>
        <v>0</v>
      </c>
      <c r="AF509" s="9">
        <f t="shared" si="30"/>
        <v>0.3987719999999999</v>
      </c>
      <c r="AG509" s="9">
        <f t="shared" si="31"/>
        <v>2.2800000000000002</v>
      </c>
      <c r="AH509" s="11">
        <f t="shared" si="47"/>
        <v>7.6955999999999998</v>
      </c>
      <c r="AI509" s="11">
        <f t="shared" si="47"/>
        <v>32.181599999999996</v>
      </c>
      <c r="AJ509" s="11">
        <f t="shared" si="47"/>
        <v>0</v>
      </c>
      <c r="AK509" s="11">
        <f t="shared" si="47"/>
        <v>0</v>
      </c>
      <c r="AL509" s="11">
        <f t="shared" si="47"/>
        <v>0</v>
      </c>
      <c r="AM509" s="2"/>
      <c r="AN509" s="2"/>
      <c r="AO509" s="2"/>
    </row>
    <row r="510" spans="1:41" x14ac:dyDescent="0.2">
      <c r="A510" s="2" t="s">
        <v>1050</v>
      </c>
      <c r="B510" s="2" t="s">
        <v>1031</v>
      </c>
      <c r="C510" s="2" t="s">
        <v>38</v>
      </c>
      <c r="D510" s="2" t="s">
        <v>62</v>
      </c>
      <c r="E510" s="7" t="s">
        <v>40</v>
      </c>
      <c r="F510" s="2" t="s">
        <v>41</v>
      </c>
      <c r="G510" s="2" t="s">
        <v>44</v>
      </c>
      <c r="H510" s="2">
        <v>0.77</v>
      </c>
      <c r="I510" s="9">
        <f>5.35/2</f>
        <v>2.6749999999999998</v>
      </c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9">
        <f t="shared" si="25"/>
        <v>2.0597499999999998E-2</v>
      </c>
      <c r="AB510" s="9">
        <f t="shared" si="26"/>
        <v>0</v>
      </c>
      <c r="AC510" s="10">
        <f t="shared" si="27"/>
        <v>0</v>
      </c>
      <c r="AD510" s="10">
        <f t="shared" si="28"/>
        <v>0</v>
      </c>
      <c r="AE510" s="9">
        <f t="shared" si="29"/>
        <v>0</v>
      </c>
      <c r="AF510" s="9">
        <f t="shared" si="30"/>
        <v>2.0597499999999998E-2</v>
      </c>
      <c r="AG510" s="9">
        <f t="shared" si="31"/>
        <v>2.6749999999999998</v>
      </c>
      <c r="AH510" s="11">
        <f t="shared" si="47"/>
        <v>2.0597499999999997</v>
      </c>
      <c r="AI510" s="11">
        <f t="shared" si="47"/>
        <v>0</v>
      </c>
      <c r="AJ510" s="11">
        <f t="shared" si="47"/>
        <v>0</v>
      </c>
      <c r="AK510" s="11">
        <f t="shared" si="47"/>
        <v>0</v>
      </c>
      <c r="AL510" s="11">
        <f t="shared" si="47"/>
        <v>0</v>
      </c>
      <c r="AM510" s="2"/>
      <c r="AN510" s="2"/>
      <c r="AO510" s="2"/>
    </row>
    <row r="511" spans="1:41" x14ac:dyDescent="0.2">
      <c r="A511" s="2" t="s">
        <v>1051</v>
      </c>
      <c r="B511" s="2" t="s">
        <v>1031</v>
      </c>
      <c r="C511" s="2" t="s">
        <v>38</v>
      </c>
      <c r="D511" s="2" t="s">
        <v>62</v>
      </c>
      <c r="E511" s="7" t="s">
        <v>40</v>
      </c>
      <c r="F511" s="2" t="s">
        <v>41</v>
      </c>
      <c r="G511" s="2" t="s">
        <v>44</v>
      </c>
      <c r="H511" s="2">
        <v>2.79</v>
      </c>
      <c r="I511" s="2">
        <v>4</v>
      </c>
      <c r="J511" s="2">
        <v>4.2300000000000004</v>
      </c>
      <c r="K511" s="2">
        <v>62</v>
      </c>
      <c r="L511" s="2">
        <v>0.1</v>
      </c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9">
        <f t="shared" si="25"/>
        <v>0.1116</v>
      </c>
      <c r="AB511" s="9">
        <f t="shared" si="26"/>
        <v>0.11801700000000002</v>
      </c>
      <c r="AC511" s="10">
        <f t="shared" si="27"/>
        <v>172.98</v>
      </c>
      <c r="AD511" s="10">
        <f t="shared" si="28"/>
        <v>0</v>
      </c>
      <c r="AE511" s="9">
        <f t="shared" si="29"/>
        <v>2.7900000000000004E-3</v>
      </c>
      <c r="AF511" s="9">
        <f t="shared" si="30"/>
        <v>0.232407</v>
      </c>
      <c r="AG511" s="9">
        <f t="shared" si="31"/>
        <v>8.33</v>
      </c>
      <c r="AH511" s="11">
        <f t="shared" si="47"/>
        <v>11.16</v>
      </c>
      <c r="AI511" s="11">
        <f t="shared" si="47"/>
        <v>11.801700000000002</v>
      </c>
      <c r="AJ511" s="11">
        <f t="shared" si="47"/>
        <v>172.98</v>
      </c>
      <c r="AK511" s="11">
        <f t="shared" si="47"/>
        <v>0.27900000000000003</v>
      </c>
      <c r="AL511" s="11">
        <f t="shared" si="47"/>
        <v>0</v>
      </c>
      <c r="AM511" s="2"/>
      <c r="AN511" s="2"/>
      <c r="AO511" s="2"/>
    </row>
    <row r="512" spans="1:41" x14ac:dyDescent="0.2">
      <c r="A512" s="2" t="s">
        <v>1052</v>
      </c>
      <c r="B512" s="2" t="s">
        <v>1031</v>
      </c>
      <c r="C512" s="2" t="s">
        <v>48</v>
      </c>
      <c r="D512" s="2"/>
      <c r="E512" s="7" t="s">
        <v>40</v>
      </c>
      <c r="F512" s="2" t="s">
        <v>1032</v>
      </c>
      <c r="G512" s="2" t="s">
        <v>615</v>
      </c>
      <c r="H512" s="2">
        <v>1</v>
      </c>
      <c r="I512" s="2"/>
      <c r="J512" s="2">
        <v>6.7</v>
      </c>
      <c r="K512" s="2"/>
      <c r="L512" s="2">
        <v>0.4</v>
      </c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9">
        <f t="shared" ref="AA512:AA766" si="48">H512*I512/100</f>
        <v>0</v>
      </c>
      <c r="AB512" s="9">
        <f t="shared" ref="AB512:AB766" si="49">H512*J512/100</f>
        <v>6.7000000000000004E-2</v>
      </c>
      <c r="AC512" s="10">
        <f t="shared" ref="AC512:AC766" si="50">H512*K512</f>
        <v>0</v>
      </c>
      <c r="AD512" s="10">
        <f t="shared" ref="AD512:AD766" si="51">H512*M512</f>
        <v>0</v>
      </c>
      <c r="AE512" s="9">
        <f t="shared" ref="AE512:AE766" si="52">H512*L512/100</f>
        <v>4.0000000000000001E-3</v>
      </c>
      <c r="AF512" s="9">
        <f t="shared" ref="AF512:AF766" si="53">AA512+AB512+AE512</f>
        <v>7.1000000000000008E-2</v>
      </c>
      <c r="AG512" s="9">
        <f t="shared" ref="AG512:AG766" si="54">I512+J512+L512</f>
        <v>7.1000000000000005</v>
      </c>
      <c r="AH512" s="11">
        <f t="shared" si="47"/>
        <v>0</v>
      </c>
      <c r="AI512" s="11">
        <f t="shared" si="47"/>
        <v>6.7</v>
      </c>
      <c r="AJ512" s="11">
        <f t="shared" si="47"/>
        <v>0</v>
      </c>
      <c r="AK512" s="11">
        <f t="shared" si="47"/>
        <v>0.4</v>
      </c>
      <c r="AL512" s="11">
        <f t="shared" si="47"/>
        <v>0</v>
      </c>
      <c r="AM512" s="2"/>
      <c r="AN512" s="2"/>
      <c r="AO512" s="2"/>
    </row>
    <row r="513" spans="1:41" x14ac:dyDescent="0.2">
      <c r="A513" s="2" t="s">
        <v>1053</v>
      </c>
      <c r="B513" s="2" t="s">
        <v>1031</v>
      </c>
      <c r="C513" s="2" t="s">
        <v>38</v>
      </c>
      <c r="D513" s="2" t="s">
        <v>62</v>
      </c>
      <c r="E513" s="7" t="s">
        <v>40</v>
      </c>
      <c r="F513" s="2" t="s">
        <v>41</v>
      </c>
      <c r="G513" s="2" t="s">
        <v>44</v>
      </c>
      <c r="H513" s="2">
        <v>9.01</v>
      </c>
      <c r="I513" s="2">
        <v>2.56</v>
      </c>
      <c r="J513" s="2">
        <v>3.22</v>
      </c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9">
        <f t="shared" si="48"/>
        <v>0.230656</v>
      </c>
      <c r="AB513" s="9">
        <f t="shared" si="49"/>
        <v>0.29012199999999999</v>
      </c>
      <c r="AC513" s="10">
        <f t="shared" si="50"/>
        <v>0</v>
      </c>
      <c r="AD513" s="10">
        <f t="shared" si="51"/>
        <v>0</v>
      </c>
      <c r="AE513" s="9">
        <f t="shared" si="52"/>
        <v>0</v>
      </c>
      <c r="AF513" s="9">
        <f t="shared" si="53"/>
        <v>0.52077799999999996</v>
      </c>
      <c r="AG513" s="9">
        <f t="shared" si="54"/>
        <v>5.78</v>
      </c>
      <c r="AH513" s="11">
        <f t="shared" si="47"/>
        <v>23.0656</v>
      </c>
      <c r="AI513" s="11">
        <f t="shared" si="47"/>
        <v>29.0122</v>
      </c>
      <c r="AJ513" s="11">
        <f t="shared" si="47"/>
        <v>0</v>
      </c>
      <c r="AK513" s="11">
        <f t="shared" si="47"/>
        <v>0</v>
      </c>
      <c r="AL513" s="11">
        <f t="shared" si="47"/>
        <v>0</v>
      </c>
      <c r="AM513" s="2"/>
      <c r="AN513" s="2"/>
      <c r="AO513" s="2"/>
    </row>
    <row r="514" spans="1:41" x14ac:dyDescent="0.2">
      <c r="A514" s="2" t="s">
        <v>1054</v>
      </c>
      <c r="B514" s="2" t="s">
        <v>1031</v>
      </c>
      <c r="C514" s="2" t="s">
        <v>38</v>
      </c>
      <c r="D514" s="2" t="s">
        <v>62</v>
      </c>
      <c r="E514" s="2" t="s">
        <v>50</v>
      </c>
      <c r="F514" s="2" t="s">
        <v>1041</v>
      </c>
      <c r="G514" s="2" t="s">
        <v>1014</v>
      </c>
      <c r="H514" s="2">
        <f>1.1+0.4+6.2</f>
        <v>7.7</v>
      </c>
      <c r="I514" s="13">
        <f>(2*1.1+1*0.4+1.5*6.2)/$H514</f>
        <v>1.5454545454545454</v>
      </c>
      <c r="J514" s="13">
        <f>(13.1*1.1+7*0.4+10.4*6.2)/$H514</f>
        <v>10.609090909090909</v>
      </c>
      <c r="K514" s="14">
        <f>(36*1.1+13*0.4+32*6.2)/$H514</f>
        <v>31.584415584415584</v>
      </c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9">
        <f t="shared" si="48"/>
        <v>0.11900000000000001</v>
      </c>
      <c r="AB514" s="9">
        <f t="shared" si="49"/>
        <v>0.81689999999999996</v>
      </c>
      <c r="AC514" s="10">
        <f t="shared" si="50"/>
        <v>243.20000000000002</v>
      </c>
      <c r="AD514" s="10">
        <f t="shared" si="51"/>
        <v>0</v>
      </c>
      <c r="AE514" s="9">
        <f t="shared" si="52"/>
        <v>0</v>
      </c>
      <c r="AF514" s="9">
        <f t="shared" si="53"/>
        <v>0.93589999999999995</v>
      </c>
      <c r="AG514" s="9">
        <f t="shared" si="54"/>
        <v>12.154545454545454</v>
      </c>
      <c r="AH514" s="11">
        <f t="shared" ref="AH514:AL529" si="55">$H514*I514</f>
        <v>11.9</v>
      </c>
      <c r="AI514" s="11">
        <f t="shared" si="55"/>
        <v>81.69</v>
      </c>
      <c r="AJ514" s="11">
        <f t="shared" si="55"/>
        <v>243.20000000000002</v>
      </c>
      <c r="AK514" s="11">
        <f t="shared" si="55"/>
        <v>0</v>
      </c>
      <c r="AL514" s="11">
        <f t="shared" si="55"/>
        <v>0</v>
      </c>
      <c r="AM514" s="2"/>
      <c r="AN514" s="2"/>
      <c r="AO514" s="2"/>
    </row>
    <row r="515" spans="1:41" x14ac:dyDescent="0.2">
      <c r="A515" s="2" t="s">
        <v>1055</v>
      </c>
      <c r="B515" s="2" t="s">
        <v>1031</v>
      </c>
      <c r="C515" s="2" t="s">
        <v>38</v>
      </c>
      <c r="D515" s="2" t="s">
        <v>62</v>
      </c>
      <c r="E515" s="7" t="s">
        <v>40</v>
      </c>
      <c r="F515" s="2" t="s">
        <v>41</v>
      </c>
      <c r="G515" s="2" t="s">
        <v>44</v>
      </c>
      <c r="H515" s="2">
        <v>8.1999999999999993</v>
      </c>
      <c r="I515" s="2"/>
      <c r="J515" s="2">
        <v>6.8</v>
      </c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9">
        <f t="shared" si="48"/>
        <v>0</v>
      </c>
      <c r="AB515" s="9">
        <f t="shared" si="49"/>
        <v>0.55759999999999987</v>
      </c>
      <c r="AC515" s="10">
        <f t="shared" si="50"/>
        <v>0</v>
      </c>
      <c r="AD515" s="10">
        <f t="shared" si="51"/>
        <v>0</v>
      </c>
      <c r="AE515" s="9">
        <f t="shared" si="52"/>
        <v>0</v>
      </c>
      <c r="AF515" s="9">
        <f t="shared" si="53"/>
        <v>0.55759999999999987</v>
      </c>
      <c r="AG515" s="9">
        <f t="shared" si="54"/>
        <v>6.8</v>
      </c>
      <c r="AH515" s="11">
        <f t="shared" si="55"/>
        <v>0</v>
      </c>
      <c r="AI515" s="11">
        <f t="shared" si="55"/>
        <v>55.759999999999991</v>
      </c>
      <c r="AJ515" s="11">
        <f t="shared" si="55"/>
        <v>0</v>
      </c>
      <c r="AK515" s="11">
        <f t="shared" si="55"/>
        <v>0</v>
      </c>
      <c r="AL515" s="11">
        <f t="shared" si="55"/>
        <v>0</v>
      </c>
      <c r="AM515" s="2"/>
      <c r="AN515" s="2"/>
      <c r="AO515" s="2"/>
    </row>
    <row r="516" spans="1:41" x14ac:dyDescent="0.2">
      <c r="A516" s="2" t="s">
        <v>1056</v>
      </c>
      <c r="B516" s="2" t="s">
        <v>1031</v>
      </c>
      <c r="C516" s="2" t="s">
        <v>38</v>
      </c>
      <c r="D516" s="2" t="s">
        <v>62</v>
      </c>
      <c r="E516" s="7" t="s">
        <v>40</v>
      </c>
      <c r="F516" s="2" t="s">
        <v>41</v>
      </c>
      <c r="G516" s="2" t="s">
        <v>44</v>
      </c>
      <c r="H516" s="2">
        <v>6.6</v>
      </c>
      <c r="I516" s="2"/>
      <c r="J516" s="2">
        <v>5.51</v>
      </c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9">
        <f t="shared" si="48"/>
        <v>0</v>
      </c>
      <c r="AB516" s="9">
        <f t="shared" si="49"/>
        <v>0.36365999999999998</v>
      </c>
      <c r="AC516" s="10">
        <f t="shared" si="50"/>
        <v>0</v>
      </c>
      <c r="AD516" s="10">
        <f t="shared" si="51"/>
        <v>0</v>
      </c>
      <c r="AE516" s="9">
        <f t="shared" si="52"/>
        <v>0</v>
      </c>
      <c r="AF516" s="9">
        <f t="shared" si="53"/>
        <v>0.36365999999999998</v>
      </c>
      <c r="AG516" s="9">
        <f t="shared" si="54"/>
        <v>5.51</v>
      </c>
      <c r="AH516" s="11">
        <f t="shared" si="55"/>
        <v>0</v>
      </c>
      <c r="AI516" s="11">
        <f t="shared" si="55"/>
        <v>36.366</v>
      </c>
      <c r="AJ516" s="11">
        <f t="shared" si="55"/>
        <v>0</v>
      </c>
      <c r="AK516" s="11">
        <f t="shared" si="55"/>
        <v>0</v>
      </c>
      <c r="AL516" s="11">
        <f t="shared" si="55"/>
        <v>0</v>
      </c>
      <c r="AM516" s="2"/>
      <c r="AN516" s="2"/>
      <c r="AO516" s="2"/>
    </row>
    <row r="517" spans="1:41" x14ac:dyDescent="0.2">
      <c r="A517" s="2" t="s">
        <v>1057</v>
      </c>
      <c r="B517" s="2" t="s">
        <v>1031</v>
      </c>
      <c r="C517" s="2" t="s">
        <v>38</v>
      </c>
      <c r="D517" s="2" t="s">
        <v>62</v>
      </c>
      <c r="E517" s="7" t="s">
        <v>40</v>
      </c>
      <c r="F517" s="2" t="s">
        <v>41</v>
      </c>
      <c r="G517" s="8" t="s">
        <v>461</v>
      </c>
      <c r="H517" s="2">
        <v>27</v>
      </c>
      <c r="I517" s="2">
        <v>1.69</v>
      </c>
      <c r="J517" s="2">
        <v>3.79</v>
      </c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9">
        <f t="shared" si="48"/>
        <v>0.45629999999999993</v>
      </c>
      <c r="AB517" s="9">
        <f t="shared" si="49"/>
        <v>1.0232999999999999</v>
      </c>
      <c r="AC517" s="10">
        <f t="shared" si="50"/>
        <v>0</v>
      </c>
      <c r="AD517" s="10">
        <f t="shared" si="51"/>
        <v>0</v>
      </c>
      <c r="AE517" s="9">
        <f t="shared" si="52"/>
        <v>0</v>
      </c>
      <c r="AF517" s="9">
        <f t="shared" si="53"/>
        <v>1.4795999999999998</v>
      </c>
      <c r="AG517" s="9">
        <f t="shared" si="54"/>
        <v>5.48</v>
      </c>
      <c r="AH517" s="11">
        <f t="shared" si="55"/>
        <v>45.629999999999995</v>
      </c>
      <c r="AI517" s="11">
        <f t="shared" si="55"/>
        <v>102.33</v>
      </c>
      <c r="AJ517" s="11">
        <f t="shared" si="55"/>
        <v>0</v>
      </c>
      <c r="AK517" s="11">
        <f t="shared" si="55"/>
        <v>0</v>
      </c>
      <c r="AL517" s="11">
        <f t="shared" si="55"/>
        <v>0</v>
      </c>
      <c r="AM517" s="2"/>
      <c r="AN517" s="2"/>
      <c r="AO517" s="2"/>
    </row>
    <row r="518" spans="1:41" x14ac:dyDescent="0.2">
      <c r="A518" s="2" t="s">
        <v>1058</v>
      </c>
      <c r="B518" s="2" t="s">
        <v>1031</v>
      </c>
      <c r="C518" s="2" t="s">
        <v>38</v>
      </c>
      <c r="D518" s="2" t="s">
        <v>62</v>
      </c>
      <c r="E518" s="7" t="s">
        <v>40</v>
      </c>
      <c r="F518" s="2" t="s">
        <v>41</v>
      </c>
      <c r="G518" s="8" t="s">
        <v>461</v>
      </c>
      <c r="H518" s="2">
        <v>40</v>
      </c>
      <c r="I518" s="2">
        <v>0.6</v>
      </c>
      <c r="J518" s="2">
        <v>2.4</v>
      </c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9">
        <f t="shared" si="48"/>
        <v>0.24</v>
      </c>
      <c r="AB518" s="9">
        <f t="shared" si="49"/>
        <v>0.96</v>
      </c>
      <c r="AC518" s="10">
        <f t="shared" si="50"/>
        <v>0</v>
      </c>
      <c r="AD518" s="10">
        <f t="shared" si="51"/>
        <v>0</v>
      </c>
      <c r="AE518" s="9">
        <f t="shared" si="52"/>
        <v>0</v>
      </c>
      <c r="AF518" s="9">
        <f t="shared" si="53"/>
        <v>1.2</v>
      </c>
      <c r="AG518" s="9">
        <f t="shared" si="54"/>
        <v>3</v>
      </c>
      <c r="AH518" s="11">
        <f t="shared" si="55"/>
        <v>24</v>
      </c>
      <c r="AI518" s="11">
        <f t="shared" si="55"/>
        <v>96</v>
      </c>
      <c r="AJ518" s="11">
        <f t="shared" si="55"/>
        <v>0</v>
      </c>
      <c r="AK518" s="11">
        <f t="shared" si="55"/>
        <v>0</v>
      </c>
      <c r="AL518" s="11">
        <f t="shared" si="55"/>
        <v>0</v>
      </c>
      <c r="AM518" s="2"/>
      <c r="AN518" s="2"/>
      <c r="AO518" s="2"/>
    </row>
    <row r="519" spans="1:41" x14ac:dyDescent="0.2">
      <c r="A519" s="2" t="s">
        <v>1059</v>
      </c>
      <c r="B519" s="2" t="s">
        <v>1031</v>
      </c>
      <c r="C519" s="2" t="s">
        <v>38</v>
      </c>
      <c r="D519" s="2" t="s">
        <v>62</v>
      </c>
      <c r="E519" s="7" t="s">
        <v>40</v>
      </c>
      <c r="F519" s="2" t="s">
        <v>41</v>
      </c>
      <c r="G519" s="2" t="s">
        <v>44</v>
      </c>
      <c r="H519" s="2">
        <v>3.14</v>
      </c>
      <c r="I519" s="2">
        <v>0.67</v>
      </c>
      <c r="J519" s="2">
        <v>3.25</v>
      </c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9">
        <f t="shared" si="48"/>
        <v>2.1038000000000001E-2</v>
      </c>
      <c r="AB519" s="9">
        <f t="shared" si="49"/>
        <v>0.10205</v>
      </c>
      <c r="AC519" s="10">
        <f t="shared" si="50"/>
        <v>0</v>
      </c>
      <c r="AD519" s="10">
        <f t="shared" si="51"/>
        <v>0</v>
      </c>
      <c r="AE519" s="9">
        <f t="shared" si="52"/>
        <v>0</v>
      </c>
      <c r="AF519" s="9">
        <f t="shared" si="53"/>
        <v>0.123088</v>
      </c>
      <c r="AG519" s="9">
        <f t="shared" si="54"/>
        <v>3.92</v>
      </c>
      <c r="AH519" s="11">
        <f t="shared" si="55"/>
        <v>2.1038000000000001</v>
      </c>
      <c r="AI519" s="11">
        <f t="shared" si="55"/>
        <v>10.205</v>
      </c>
      <c r="AJ519" s="11">
        <f t="shared" si="55"/>
        <v>0</v>
      </c>
      <c r="AK519" s="11">
        <f t="shared" si="55"/>
        <v>0</v>
      </c>
      <c r="AL519" s="11">
        <f t="shared" si="55"/>
        <v>0</v>
      </c>
      <c r="AM519" s="2"/>
      <c r="AN519" s="2"/>
      <c r="AO519" s="2"/>
    </row>
    <row r="520" spans="1:41" x14ac:dyDescent="0.2">
      <c r="A520" s="2" t="s">
        <v>1060</v>
      </c>
      <c r="B520" s="2" t="s">
        <v>1031</v>
      </c>
      <c r="C520" s="2" t="s">
        <v>48</v>
      </c>
      <c r="D520" s="2"/>
      <c r="E520" s="7" t="s">
        <v>40</v>
      </c>
      <c r="F520" s="2" t="s">
        <v>1032</v>
      </c>
      <c r="G520" s="2" t="s">
        <v>615</v>
      </c>
      <c r="H520" s="2">
        <v>0.6</v>
      </c>
      <c r="I520" s="2"/>
      <c r="J520" s="2">
        <v>1.8</v>
      </c>
      <c r="K520" s="2">
        <v>50</v>
      </c>
      <c r="L520" s="2">
        <v>1.8</v>
      </c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9">
        <f t="shared" si="48"/>
        <v>0</v>
      </c>
      <c r="AB520" s="9">
        <f t="shared" si="49"/>
        <v>1.0800000000000001E-2</v>
      </c>
      <c r="AC520" s="10">
        <f t="shared" si="50"/>
        <v>30</v>
      </c>
      <c r="AD520" s="10">
        <f t="shared" si="51"/>
        <v>0</v>
      </c>
      <c r="AE520" s="9">
        <f t="shared" si="52"/>
        <v>1.0800000000000001E-2</v>
      </c>
      <c r="AF520" s="9">
        <f t="shared" si="53"/>
        <v>2.1600000000000001E-2</v>
      </c>
      <c r="AG520" s="9">
        <f t="shared" si="54"/>
        <v>3.6</v>
      </c>
      <c r="AH520" s="11">
        <f t="shared" si="55"/>
        <v>0</v>
      </c>
      <c r="AI520" s="11">
        <f t="shared" si="55"/>
        <v>1.08</v>
      </c>
      <c r="AJ520" s="11">
        <f t="shared" si="55"/>
        <v>30</v>
      </c>
      <c r="AK520" s="11">
        <f t="shared" si="55"/>
        <v>1.08</v>
      </c>
      <c r="AL520" s="11">
        <f t="shared" si="55"/>
        <v>0</v>
      </c>
      <c r="AM520" s="2"/>
      <c r="AN520" s="2"/>
      <c r="AO520" s="2"/>
    </row>
    <row r="521" spans="1:41" x14ac:dyDescent="0.2">
      <c r="A521" s="2" t="s">
        <v>1061</v>
      </c>
      <c r="B521" s="2" t="s">
        <v>1031</v>
      </c>
      <c r="C521" s="2" t="s">
        <v>38</v>
      </c>
      <c r="D521" s="2" t="s">
        <v>62</v>
      </c>
      <c r="E521" s="2" t="s">
        <v>50</v>
      </c>
      <c r="F521" s="2" t="s">
        <v>1041</v>
      </c>
      <c r="G521" s="2" t="s">
        <v>1014</v>
      </c>
      <c r="H521" s="2">
        <f>21.3+22.9+10</f>
        <v>54.2</v>
      </c>
      <c r="I521" s="13">
        <f>(2.4*21.3+1.9*22.9+1.6*10)/$H521</f>
        <v>2.0411439114391143</v>
      </c>
      <c r="J521" s="13">
        <f>(6.9*21.3+7.1*22.9+6.4*10)/$H521</f>
        <v>6.8922509225092234</v>
      </c>
      <c r="K521" s="14">
        <f>(66*21.3+90*22.9+58*10)/$H521</f>
        <v>74.664206642066418</v>
      </c>
      <c r="L521" s="2">
        <v>0.15</v>
      </c>
      <c r="M521" s="2">
        <v>0.28000000000000003</v>
      </c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9">
        <f t="shared" si="48"/>
        <v>1.1063000000000001</v>
      </c>
      <c r="AB521" s="9">
        <f t="shared" si="49"/>
        <v>3.7355999999999994</v>
      </c>
      <c r="AC521" s="10">
        <f t="shared" si="50"/>
        <v>4046.8</v>
      </c>
      <c r="AD521" s="10">
        <f t="shared" si="51"/>
        <v>15.176000000000002</v>
      </c>
      <c r="AE521" s="9">
        <f t="shared" si="52"/>
        <v>8.1300000000000011E-2</v>
      </c>
      <c r="AF521" s="9">
        <f t="shared" si="53"/>
        <v>4.9231999999999987</v>
      </c>
      <c r="AG521" s="9">
        <f t="shared" si="54"/>
        <v>9.0833948339483381</v>
      </c>
      <c r="AH521" s="11">
        <f t="shared" si="55"/>
        <v>110.63000000000001</v>
      </c>
      <c r="AI521" s="11">
        <f t="shared" si="55"/>
        <v>373.55999999999995</v>
      </c>
      <c r="AJ521" s="11">
        <f t="shared" si="55"/>
        <v>4046.8</v>
      </c>
      <c r="AK521" s="11">
        <f t="shared" si="55"/>
        <v>8.1300000000000008</v>
      </c>
      <c r="AL521" s="11">
        <f t="shared" si="55"/>
        <v>15.176000000000002</v>
      </c>
      <c r="AM521" s="2"/>
      <c r="AN521" s="2"/>
      <c r="AO521" s="2"/>
    </row>
    <row r="522" spans="1:41" x14ac:dyDescent="0.2">
      <c r="A522" s="2" t="s">
        <v>1062</v>
      </c>
      <c r="B522" s="2" t="s">
        <v>1031</v>
      </c>
      <c r="C522" s="2" t="s">
        <v>38</v>
      </c>
      <c r="D522" s="2" t="s">
        <v>62</v>
      </c>
      <c r="E522" s="2" t="s">
        <v>50</v>
      </c>
      <c r="F522" s="2" t="s">
        <v>1041</v>
      </c>
      <c r="G522" s="2" t="s">
        <v>1014</v>
      </c>
      <c r="H522" s="2">
        <f>17.4+34.5+12.8+44.7</f>
        <v>109.4</v>
      </c>
      <c r="I522" s="13">
        <f>(2.1*17.4+2.2*34.5+2*12.8+1.8*44.7)/$H522</f>
        <v>1.9972577696526508</v>
      </c>
      <c r="J522" s="13">
        <f>(15.3*17.4+9.9*34.5+15*12.8+13.4*44.7)/$H522</f>
        <v>12.785648994515538</v>
      </c>
      <c r="K522" s="14">
        <f>(65*17.4+58*34.5+58*12.8+58*44.7)/$H522</f>
        <v>59.11334552102376</v>
      </c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9">
        <f t="shared" si="48"/>
        <v>2.1850000000000001</v>
      </c>
      <c r="AB522" s="9">
        <f t="shared" si="49"/>
        <v>13.987500000000001</v>
      </c>
      <c r="AC522" s="10">
        <f t="shared" si="50"/>
        <v>6467</v>
      </c>
      <c r="AD522" s="10">
        <f t="shared" si="51"/>
        <v>0</v>
      </c>
      <c r="AE522" s="9">
        <f t="shared" si="52"/>
        <v>0</v>
      </c>
      <c r="AF522" s="9">
        <f t="shared" si="53"/>
        <v>16.172499999999999</v>
      </c>
      <c r="AG522" s="9">
        <f t="shared" si="54"/>
        <v>14.782906764168189</v>
      </c>
      <c r="AH522" s="11">
        <f t="shared" si="55"/>
        <v>218.5</v>
      </c>
      <c r="AI522" s="11">
        <f t="shared" si="55"/>
        <v>1398.75</v>
      </c>
      <c r="AJ522" s="11">
        <f t="shared" si="55"/>
        <v>6467</v>
      </c>
      <c r="AK522" s="11">
        <f t="shared" si="55"/>
        <v>0</v>
      </c>
      <c r="AL522" s="11">
        <f t="shared" si="55"/>
        <v>0</v>
      </c>
      <c r="AM522" s="2"/>
      <c r="AN522" s="2"/>
      <c r="AO522" s="2"/>
    </row>
    <row r="523" spans="1:41" x14ac:dyDescent="0.2">
      <c r="A523" s="2" t="s">
        <v>1063</v>
      </c>
      <c r="B523" s="2" t="s">
        <v>1031</v>
      </c>
      <c r="C523" s="2" t="s">
        <v>38</v>
      </c>
      <c r="D523" s="2" t="s">
        <v>62</v>
      </c>
      <c r="E523" s="7" t="s">
        <v>40</v>
      </c>
      <c r="F523" s="2" t="s">
        <v>41</v>
      </c>
      <c r="G523" s="2" t="s">
        <v>44</v>
      </c>
      <c r="H523" s="2">
        <v>0.56000000000000005</v>
      </c>
      <c r="I523" s="2">
        <v>1.1000000000000001</v>
      </c>
      <c r="J523" s="2">
        <v>2.6</v>
      </c>
      <c r="K523" s="2"/>
      <c r="L523" s="2">
        <v>1.1000000000000001</v>
      </c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9">
        <f t="shared" si="48"/>
        <v>6.1600000000000014E-3</v>
      </c>
      <c r="AB523" s="9">
        <f t="shared" si="49"/>
        <v>1.4560000000000002E-2</v>
      </c>
      <c r="AC523" s="10">
        <f t="shared" si="50"/>
        <v>0</v>
      </c>
      <c r="AD523" s="10">
        <f t="shared" si="51"/>
        <v>0</v>
      </c>
      <c r="AE523" s="9">
        <f t="shared" si="52"/>
        <v>6.1600000000000014E-3</v>
      </c>
      <c r="AF523" s="9">
        <f t="shared" si="53"/>
        <v>2.6880000000000005E-2</v>
      </c>
      <c r="AG523" s="9">
        <f t="shared" si="54"/>
        <v>4.8000000000000007</v>
      </c>
      <c r="AH523" s="11">
        <f t="shared" si="55"/>
        <v>0.6160000000000001</v>
      </c>
      <c r="AI523" s="11">
        <f t="shared" si="55"/>
        <v>1.4560000000000002</v>
      </c>
      <c r="AJ523" s="11">
        <f t="shared" si="55"/>
        <v>0</v>
      </c>
      <c r="AK523" s="11">
        <f t="shared" si="55"/>
        <v>0.6160000000000001</v>
      </c>
      <c r="AL523" s="11">
        <f t="shared" si="55"/>
        <v>0</v>
      </c>
      <c r="AM523" s="2"/>
      <c r="AN523" s="2"/>
      <c r="AO523" s="2"/>
    </row>
    <row r="524" spans="1:41" x14ac:dyDescent="0.2">
      <c r="A524" s="2" t="s">
        <v>1064</v>
      </c>
      <c r="B524" s="2" t="s">
        <v>1031</v>
      </c>
      <c r="C524" s="2" t="s">
        <v>38</v>
      </c>
      <c r="D524" s="2" t="s">
        <v>62</v>
      </c>
      <c r="E524" s="7" t="s">
        <v>40</v>
      </c>
      <c r="F524" s="2" t="s">
        <v>41</v>
      </c>
      <c r="G524" s="2" t="s">
        <v>44</v>
      </c>
      <c r="H524" s="2">
        <v>1.2</v>
      </c>
      <c r="I524" s="2">
        <v>5.4</v>
      </c>
      <c r="J524" s="2">
        <v>0.4</v>
      </c>
      <c r="K524" s="2"/>
      <c r="L524" s="2">
        <v>0.7</v>
      </c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9">
        <f t="shared" si="48"/>
        <v>6.480000000000001E-2</v>
      </c>
      <c r="AB524" s="9">
        <f t="shared" si="49"/>
        <v>4.7999999999999996E-3</v>
      </c>
      <c r="AC524" s="10">
        <f t="shared" si="50"/>
        <v>0</v>
      </c>
      <c r="AD524" s="10">
        <f t="shared" si="51"/>
        <v>0</v>
      </c>
      <c r="AE524" s="9">
        <f t="shared" si="52"/>
        <v>8.3999999999999995E-3</v>
      </c>
      <c r="AF524" s="9">
        <f t="shared" si="53"/>
        <v>7.8000000000000014E-2</v>
      </c>
      <c r="AG524" s="9">
        <f t="shared" si="54"/>
        <v>6.5000000000000009</v>
      </c>
      <c r="AH524" s="11">
        <f t="shared" si="55"/>
        <v>6.48</v>
      </c>
      <c r="AI524" s="11">
        <f t="shared" si="55"/>
        <v>0.48</v>
      </c>
      <c r="AJ524" s="11">
        <f t="shared" si="55"/>
        <v>0</v>
      </c>
      <c r="AK524" s="11">
        <f t="shared" si="55"/>
        <v>0.84</v>
      </c>
      <c r="AL524" s="11">
        <f t="shared" si="55"/>
        <v>0</v>
      </c>
      <c r="AM524" s="2"/>
      <c r="AN524" s="2"/>
      <c r="AO524" s="2"/>
    </row>
    <row r="525" spans="1:41" x14ac:dyDescent="0.2">
      <c r="A525" s="2" t="s">
        <v>1065</v>
      </c>
      <c r="B525" s="2" t="s">
        <v>1031</v>
      </c>
      <c r="C525" s="2" t="s">
        <v>38</v>
      </c>
      <c r="D525" s="2" t="s">
        <v>62</v>
      </c>
      <c r="E525" s="7" t="s">
        <v>40</v>
      </c>
      <c r="F525" s="2" t="s">
        <v>41</v>
      </c>
      <c r="G525" s="2" t="s">
        <v>44</v>
      </c>
      <c r="H525" s="2">
        <v>115</v>
      </c>
      <c r="I525" s="2"/>
      <c r="J525" s="2">
        <v>1</v>
      </c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9">
        <f t="shared" si="48"/>
        <v>0</v>
      </c>
      <c r="AB525" s="9">
        <f t="shared" si="49"/>
        <v>1.1499999999999999</v>
      </c>
      <c r="AC525" s="10">
        <f t="shared" si="50"/>
        <v>0</v>
      </c>
      <c r="AD525" s="10">
        <f t="shared" si="51"/>
        <v>0</v>
      </c>
      <c r="AE525" s="9">
        <f t="shared" si="52"/>
        <v>0</v>
      </c>
      <c r="AF525" s="9">
        <f t="shared" si="53"/>
        <v>1.1499999999999999</v>
      </c>
      <c r="AG525" s="9">
        <f t="shared" si="54"/>
        <v>1</v>
      </c>
      <c r="AH525" s="11">
        <f t="shared" si="55"/>
        <v>0</v>
      </c>
      <c r="AI525" s="11">
        <f t="shared" si="55"/>
        <v>115</v>
      </c>
      <c r="AJ525" s="11">
        <f t="shared" si="55"/>
        <v>0</v>
      </c>
      <c r="AK525" s="11">
        <f t="shared" si="55"/>
        <v>0</v>
      </c>
      <c r="AL525" s="11">
        <f t="shared" si="55"/>
        <v>0</v>
      </c>
      <c r="AM525" s="2"/>
      <c r="AN525" s="2"/>
      <c r="AO525" s="2"/>
    </row>
    <row r="526" spans="1:41" x14ac:dyDescent="0.2">
      <c r="A526" s="2" t="s">
        <v>1066</v>
      </c>
      <c r="B526" s="2" t="s">
        <v>1031</v>
      </c>
      <c r="C526" s="2" t="s">
        <v>38</v>
      </c>
      <c r="D526" s="2" t="s">
        <v>62</v>
      </c>
      <c r="E526" s="7" t="s">
        <v>40</v>
      </c>
      <c r="F526" s="2" t="s">
        <v>41</v>
      </c>
      <c r="G526" s="2" t="s">
        <v>44</v>
      </c>
      <c r="H526" s="2">
        <v>3.69</v>
      </c>
      <c r="I526" s="2">
        <v>1.37</v>
      </c>
      <c r="J526" s="2">
        <v>1.85</v>
      </c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9">
        <f t="shared" si="48"/>
        <v>5.0553000000000001E-2</v>
      </c>
      <c r="AB526" s="9">
        <f t="shared" si="49"/>
        <v>6.8265000000000006E-2</v>
      </c>
      <c r="AC526" s="10">
        <f t="shared" si="50"/>
        <v>0</v>
      </c>
      <c r="AD526" s="10">
        <f t="shared" si="51"/>
        <v>0</v>
      </c>
      <c r="AE526" s="9">
        <f t="shared" si="52"/>
        <v>0</v>
      </c>
      <c r="AF526" s="9">
        <f t="shared" si="53"/>
        <v>0.11881800000000001</v>
      </c>
      <c r="AG526" s="9">
        <f t="shared" si="54"/>
        <v>3.22</v>
      </c>
      <c r="AH526" s="11">
        <f t="shared" si="55"/>
        <v>5.0552999999999999</v>
      </c>
      <c r="AI526" s="11">
        <f t="shared" si="55"/>
        <v>6.8265000000000002</v>
      </c>
      <c r="AJ526" s="11">
        <f t="shared" si="55"/>
        <v>0</v>
      </c>
      <c r="AK526" s="11">
        <f t="shared" si="55"/>
        <v>0</v>
      </c>
      <c r="AL526" s="11">
        <f t="shared" si="55"/>
        <v>0</v>
      </c>
      <c r="AM526" s="2"/>
      <c r="AN526" s="2"/>
      <c r="AO526" s="2"/>
    </row>
    <row r="527" spans="1:41" x14ac:dyDescent="0.2">
      <c r="A527" s="2" t="s">
        <v>1067</v>
      </c>
      <c r="B527" s="2" t="s">
        <v>1031</v>
      </c>
      <c r="C527" s="2" t="s">
        <v>38</v>
      </c>
      <c r="D527" s="2" t="s">
        <v>62</v>
      </c>
      <c r="E527" s="7" t="s">
        <v>40</v>
      </c>
      <c r="F527" s="2" t="s">
        <v>41</v>
      </c>
      <c r="G527" s="2" t="s">
        <v>44</v>
      </c>
      <c r="H527" s="2">
        <v>2</v>
      </c>
      <c r="I527" s="2">
        <v>5.94</v>
      </c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9">
        <f t="shared" si="48"/>
        <v>0.1188</v>
      </c>
      <c r="AB527" s="9">
        <f t="shared" si="49"/>
        <v>0</v>
      </c>
      <c r="AC527" s="10">
        <f t="shared" si="50"/>
        <v>0</v>
      </c>
      <c r="AD527" s="10">
        <f t="shared" si="51"/>
        <v>0</v>
      </c>
      <c r="AE527" s="9">
        <f t="shared" si="52"/>
        <v>0</v>
      </c>
      <c r="AF527" s="9">
        <f t="shared" si="53"/>
        <v>0.1188</v>
      </c>
      <c r="AG527" s="9">
        <f t="shared" si="54"/>
        <v>5.94</v>
      </c>
      <c r="AH527" s="11">
        <f t="shared" si="55"/>
        <v>11.88</v>
      </c>
      <c r="AI527" s="11">
        <f t="shared" si="55"/>
        <v>0</v>
      </c>
      <c r="AJ527" s="11">
        <f t="shared" si="55"/>
        <v>0</v>
      </c>
      <c r="AK527" s="11">
        <f t="shared" si="55"/>
        <v>0</v>
      </c>
      <c r="AL527" s="11">
        <f t="shared" si="55"/>
        <v>0</v>
      </c>
      <c r="AM527" s="2"/>
      <c r="AN527" s="2"/>
      <c r="AO527" s="2"/>
    </row>
    <row r="528" spans="1:41" x14ac:dyDescent="0.2">
      <c r="A528" s="2" t="s">
        <v>1068</v>
      </c>
      <c r="B528" s="2" t="s">
        <v>1031</v>
      </c>
      <c r="C528" s="2" t="s">
        <v>38</v>
      </c>
      <c r="D528" s="2" t="s">
        <v>62</v>
      </c>
      <c r="E528" s="7" t="s">
        <v>40</v>
      </c>
      <c r="F528" s="2" t="s">
        <v>41</v>
      </c>
      <c r="G528" s="2" t="s">
        <v>44</v>
      </c>
      <c r="H528" s="2">
        <v>0.9</v>
      </c>
      <c r="I528" s="2">
        <v>2.54</v>
      </c>
      <c r="J528" s="2">
        <v>1.45</v>
      </c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9">
        <f t="shared" si="48"/>
        <v>2.2860000000000002E-2</v>
      </c>
      <c r="AB528" s="9">
        <f t="shared" si="49"/>
        <v>1.3049999999999999E-2</v>
      </c>
      <c r="AC528" s="10">
        <f t="shared" si="50"/>
        <v>0</v>
      </c>
      <c r="AD528" s="10">
        <f t="shared" si="51"/>
        <v>0</v>
      </c>
      <c r="AE528" s="9">
        <f t="shared" si="52"/>
        <v>0</v>
      </c>
      <c r="AF528" s="9">
        <f t="shared" si="53"/>
        <v>3.5909999999999997E-2</v>
      </c>
      <c r="AG528" s="9">
        <f t="shared" si="54"/>
        <v>3.99</v>
      </c>
      <c r="AH528" s="11">
        <f t="shared" si="55"/>
        <v>2.286</v>
      </c>
      <c r="AI528" s="11">
        <f t="shared" si="55"/>
        <v>1.3049999999999999</v>
      </c>
      <c r="AJ528" s="11">
        <f t="shared" si="55"/>
        <v>0</v>
      </c>
      <c r="AK528" s="11">
        <f t="shared" si="55"/>
        <v>0</v>
      </c>
      <c r="AL528" s="11">
        <f t="shared" si="55"/>
        <v>0</v>
      </c>
      <c r="AM528" s="2"/>
      <c r="AN528" s="2"/>
      <c r="AO528" s="2"/>
    </row>
    <row r="529" spans="1:41" x14ac:dyDescent="0.2">
      <c r="A529" s="2" t="s">
        <v>1069</v>
      </c>
      <c r="B529" s="2" t="s">
        <v>1031</v>
      </c>
      <c r="C529" s="2" t="s">
        <v>38</v>
      </c>
      <c r="D529" s="2" t="s">
        <v>62</v>
      </c>
      <c r="E529" s="2" t="s">
        <v>50</v>
      </c>
      <c r="F529" s="2" t="s">
        <v>1041</v>
      </c>
      <c r="G529" s="2" t="s">
        <v>1014</v>
      </c>
      <c r="H529" s="2">
        <f>30.8+47.9+20.4</f>
        <v>99.1</v>
      </c>
      <c r="I529" s="13">
        <f>(3.2*30.8+2.2*47.9+2.6*20.4)/$H529</f>
        <v>2.5931382441977804</v>
      </c>
      <c r="J529" s="13">
        <f>(5.1*30.8+3.7*47.9+4.6*20.4)/$H529</f>
        <v>4.3203834510595351</v>
      </c>
      <c r="K529" s="14">
        <f>(174*30.8+100*47.9+155*20.4)/$H529</f>
        <v>134.32088799192735</v>
      </c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9">
        <f t="shared" si="48"/>
        <v>2.5698000000000003</v>
      </c>
      <c r="AB529" s="9">
        <f t="shared" si="49"/>
        <v>4.2814999999999994</v>
      </c>
      <c r="AC529" s="10">
        <f t="shared" si="50"/>
        <v>13311.199999999999</v>
      </c>
      <c r="AD529" s="10">
        <f t="shared" si="51"/>
        <v>0</v>
      </c>
      <c r="AE529" s="9">
        <f t="shared" si="52"/>
        <v>0</v>
      </c>
      <c r="AF529" s="9">
        <f t="shared" si="53"/>
        <v>6.8513000000000002</v>
      </c>
      <c r="AG529" s="9">
        <f t="shared" si="54"/>
        <v>6.913521695257316</v>
      </c>
      <c r="AH529" s="11">
        <f t="shared" si="55"/>
        <v>256.98</v>
      </c>
      <c r="AI529" s="11">
        <f t="shared" si="55"/>
        <v>428.14999999999992</v>
      </c>
      <c r="AJ529" s="11">
        <f t="shared" si="55"/>
        <v>13311.199999999999</v>
      </c>
      <c r="AK529" s="11">
        <f t="shared" si="55"/>
        <v>0</v>
      </c>
      <c r="AL529" s="11">
        <f t="shared" si="55"/>
        <v>0</v>
      </c>
      <c r="AM529" s="2"/>
      <c r="AN529" s="2"/>
      <c r="AO529" s="2"/>
    </row>
    <row r="530" spans="1:41" x14ac:dyDescent="0.2">
      <c r="A530" s="2" t="s">
        <v>1070</v>
      </c>
      <c r="B530" s="2" t="s">
        <v>1031</v>
      </c>
      <c r="C530" s="2" t="s">
        <v>38</v>
      </c>
      <c r="D530" s="2" t="s">
        <v>62</v>
      </c>
      <c r="E530" s="7" t="s">
        <v>40</v>
      </c>
      <c r="F530" s="2" t="s">
        <v>41</v>
      </c>
      <c r="G530" s="2" t="s">
        <v>44</v>
      </c>
      <c r="H530" s="2">
        <v>18.38</v>
      </c>
      <c r="I530" s="2">
        <v>0.79</v>
      </c>
      <c r="J530" s="2">
        <v>1.3</v>
      </c>
      <c r="K530" s="2">
        <v>21</v>
      </c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9">
        <f t="shared" si="48"/>
        <v>0.145202</v>
      </c>
      <c r="AB530" s="9">
        <f t="shared" si="49"/>
        <v>0.23893999999999999</v>
      </c>
      <c r="AC530" s="10">
        <f t="shared" si="50"/>
        <v>385.97999999999996</v>
      </c>
      <c r="AD530" s="10">
        <f t="shared" si="51"/>
        <v>0</v>
      </c>
      <c r="AE530" s="9">
        <f t="shared" si="52"/>
        <v>0</v>
      </c>
      <c r="AF530" s="9">
        <f t="shared" si="53"/>
        <v>0.38414199999999998</v>
      </c>
      <c r="AG530" s="9">
        <f t="shared" si="54"/>
        <v>2.09</v>
      </c>
      <c r="AH530" s="11">
        <f t="shared" ref="AH530:AL545" si="56">$H530*I530</f>
        <v>14.520199999999999</v>
      </c>
      <c r="AI530" s="11">
        <f t="shared" si="56"/>
        <v>23.893999999999998</v>
      </c>
      <c r="AJ530" s="11">
        <f t="shared" si="56"/>
        <v>385.97999999999996</v>
      </c>
      <c r="AK530" s="11">
        <f t="shared" si="56"/>
        <v>0</v>
      </c>
      <c r="AL530" s="11">
        <f t="shared" si="56"/>
        <v>0</v>
      </c>
      <c r="AM530" s="2"/>
      <c r="AN530" s="2"/>
      <c r="AO530" s="2"/>
    </row>
    <row r="531" spans="1:41" x14ac:dyDescent="0.2">
      <c r="A531" s="2" t="s">
        <v>1071</v>
      </c>
      <c r="B531" s="2" t="s">
        <v>1031</v>
      </c>
      <c r="C531" s="2" t="s">
        <v>38</v>
      </c>
      <c r="D531" s="2" t="s">
        <v>62</v>
      </c>
      <c r="E531" s="7" t="s">
        <v>40</v>
      </c>
      <c r="F531" s="2" t="s">
        <v>41</v>
      </c>
      <c r="G531" s="2" t="s">
        <v>44</v>
      </c>
      <c r="H531" s="2">
        <v>1.47</v>
      </c>
      <c r="I531" s="2">
        <v>1.9</v>
      </c>
      <c r="J531" s="2">
        <v>2.59</v>
      </c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9">
        <f t="shared" si="48"/>
        <v>2.7929999999999996E-2</v>
      </c>
      <c r="AB531" s="9">
        <f t="shared" si="49"/>
        <v>3.8072999999999996E-2</v>
      </c>
      <c r="AC531" s="10">
        <f t="shared" si="50"/>
        <v>0</v>
      </c>
      <c r="AD531" s="10">
        <f t="shared" si="51"/>
        <v>0</v>
      </c>
      <c r="AE531" s="9">
        <f t="shared" si="52"/>
        <v>0</v>
      </c>
      <c r="AF531" s="9">
        <f t="shared" si="53"/>
        <v>6.6002999999999992E-2</v>
      </c>
      <c r="AG531" s="9">
        <f t="shared" si="54"/>
        <v>4.49</v>
      </c>
      <c r="AH531" s="11">
        <f t="shared" si="56"/>
        <v>2.7929999999999997</v>
      </c>
      <c r="AI531" s="11">
        <f t="shared" si="56"/>
        <v>3.8072999999999997</v>
      </c>
      <c r="AJ531" s="11">
        <f t="shared" si="56"/>
        <v>0</v>
      </c>
      <c r="AK531" s="11">
        <f t="shared" si="56"/>
        <v>0</v>
      </c>
      <c r="AL531" s="11">
        <f t="shared" si="56"/>
        <v>0</v>
      </c>
      <c r="AM531" s="2"/>
      <c r="AN531" s="2"/>
      <c r="AO531" s="2"/>
    </row>
    <row r="532" spans="1:41" x14ac:dyDescent="0.2">
      <c r="A532" s="2" t="s">
        <v>1072</v>
      </c>
      <c r="B532" s="2" t="s">
        <v>1031</v>
      </c>
      <c r="C532" s="2" t="s">
        <v>38</v>
      </c>
      <c r="D532" s="2" t="s">
        <v>62</v>
      </c>
      <c r="E532" s="7" t="s">
        <v>40</v>
      </c>
      <c r="F532" s="2" t="s">
        <v>41</v>
      </c>
      <c r="G532" s="2" t="s">
        <v>44</v>
      </c>
      <c r="H532" s="2">
        <v>1.1499999999999999</v>
      </c>
      <c r="I532" s="2">
        <v>1.75</v>
      </c>
      <c r="J532" s="2">
        <v>1.1299999999999999</v>
      </c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9">
        <f t="shared" si="48"/>
        <v>2.0124999999999997E-2</v>
      </c>
      <c r="AB532" s="9">
        <f t="shared" si="49"/>
        <v>1.2995E-2</v>
      </c>
      <c r="AC532" s="10">
        <f t="shared" si="50"/>
        <v>0</v>
      </c>
      <c r="AD532" s="10">
        <f t="shared" si="51"/>
        <v>0</v>
      </c>
      <c r="AE532" s="9">
        <f t="shared" si="52"/>
        <v>0</v>
      </c>
      <c r="AF532" s="9">
        <f t="shared" si="53"/>
        <v>3.3119999999999997E-2</v>
      </c>
      <c r="AG532" s="9">
        <f t="shared" si="54"/>
        <v>2.88</v>
      </c>
      <c r="AH532" s="11">
        <f t="shared" si="56"/>
        <v>2.0124999999999997</v>
      </c>
      <c r="AI532" s="11">
        <f t="shared" si="56"/>
        <v>1.2994999999999999</v>
      </c>
      <c r="AJ532" s="11">
        <f t="shared" si="56"/>
        <v>0</v>
      </c>
      <c r="AK532" s="11">
        <f t="shared" si="56"/>
        <v>0</v>
      </c>
      <c r="AL532" s="11">
        <f t="shared" si="56"/>
        <v>0</v>
      </c>
      <c r="AM532" s="2"/>
      <c r="AN532" s="2"/>
      <c r="AO532" s="2"/>
    </row>
    <row r="533" spans="1:41" x14ac:dyDescent="0.2">
      <c r="A533" s="2" t="s">
        <v>1073</v>
      </c>
      <c r="B533" s="2" t="s">
        <v>1031</v>
      </c>
      <c r="C533" s="2" t="s">
        <v>38</v>
      </c>
      <c r="D533" s="2" t="s">
        <v>62</v>
      </c>
      <c r="E533" s="2" t="s">
        <v>50</v>
      </c>
      <c r="F533" s="2" t="s">
        <v>1041</v>
      </c>
      <c r="G533" s="2" t="s">
        <v>1014</v>
      </c>
      <c r="H533" s="2">
        <f>23.9+44.7+9.9</f>
        <v>78.5</v>
      </c>
      <c r="I533" s="13">
        <f>(1.8*23.9+2.3*44.7+1.9*9.9)/$H533</f>
        <v>2.097324840764331</v>
      </c>
      <c r="J533" s="13">
        <f>(5*23.9+4.9*44.7+3.8*9.9)/$H533</f>
        <v>4.7917197452229301</v>
      </c>
      <c r="K533" s="14">
        <f>(43*23.9+55*44.7+34*9.9)/$H533</f>
        <v>48.698089171974516</v>
      </c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9">
        <f t="shared" si="48"/>
        <v>1.6463999999999999</v>
      </c>
      <c r="AB533" s="9">
        <f t="shared" si="49"/>
        <v>3.7615000000000003</v>
      </c>
      <c r="AC533" s="10">
        <f t="shared" si="50"/>
        <v>3822.7999999999993</v>
      </c>
      <c r="AD533" s="10">
        <f t="shared" si="51"/>
        <v>0</v>
      </c>
      <c r="AE533" s="9">
        <f t="shared" si="52"/>
        <v>0</v>
      </c>
      <c r="AF533" s="9">
        <f t="shared" si="53"/>
        <v>5.4078999999999997</v>
      </c>
      <c r="AG533" s="9">
        <f t="shared" si="54"/>
        <v>6.8890445859872607</v>
      </c>
      <c r="AH533" s="11">
        <f t="shared" si="56"/>
        <v>164.64</v>
      </c>
      <c r="AI533" s="11">
        <f t="shared" si="56"/>
        <v>376.15000000000003</v>
      </c>
      <c r="AJ533" s="11">
        <f t="shared" si="56"/>
        <v>3822.7999999999993</v>
      </c>
      <c r="AK533" s="11">
        <f t="shared" si="56"/>
        <v>0</v>
      </c>
      <c r="AL533" s="11">
        <f t="shared" si="56"/>
        <v>0</v>
      </c>
      <c r="AM533" s="2"/>
      <c r="AN533" s="2"/>
      <c r="AO533" s="2"/>
    </row>
    <row r="534" spans="1:41" x14ac:dyDescent="0.2">
      <c r="A534" s="2" t="s">
        <v>1074</v>
      </c>
      <c r="B534" s="2" t="s">
        <v>1075</v>
      </c>
      <c r="C534" s="2" t="s">
        <v>38</v>
      </c>
      <c r="D534" s="2" t="s">
        <v>62</v>
      </c>
      <c r="E534" s="2" t="s">
        <v>50</v>
      </c>
      <c r="F534" s="2" t="s">
        <v>1076</v>
      </c>
      <c r="G534" s="2" t="s">
        <v>106</v>
      </c>
      <c r="H534" s="2">
        <v>8.11</v>
      </c>
      <c r="I534" s="2">
        <v>9.1</v>
      </c>
      <c r="J534" s="2">
        <v>14.6</v>
      </c>
      <c r="K534" s="2">
        <v>12</v>
      </c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9">
        <f t="shared" si="48"/>
        <v>0.73800999999999983</v>
      </c>
      <c r="AB534" s="9">
        <f t="shared" si="49"/>
        <v>1.1840599999999999</v>
      </c>
      <c r="AC534" s="10">
        <f t="shared" si="50"/>
        <v>97.32</v>
      </c>
      <c r="AD534" s="10">
        <f t="shared" si="51"/>
        <v>0</v>
      </c>
      <c r="AE534" s="9">
        <f t="shared" si="52"/>
        <v>0</v>
      </c>
      <c r="AF534" s="9">
        <f t="shared" si="53"/>
        <v>1.9220699999999997</v>
      </c>
      <c r="AG534" s="9">
        <f t="shared" si="54"/>
        <v>23.7</v>
      </c>
      <c r="AH534" s="11">
        <f t="shared" si="56"/>
        <v>73.800999999999988</v>
      </c>
      <c r="AI534" s="11">
        <f t="shared" si="56"/>
        <v>118.40599999999999</v>
      </c>
      <c r="AJ534" s="11">
        <f t="shared" si="56"/>
        <v>97.32</v>
      </c>
      <c r="AK534" s="11">
        <f t="shared" si="56"/>
        <v>0</v>
      </c>
      <c r="AL534" s="11">
        <f t="shared" si="56"/>
        <v>0</v>
      </c>
      <c r="AM534" s="2"/>
      <c r="AN534" s="2"/>
      <c r="AO534" s="2"/>
    </row>
    <row r="535" spans="1:41" x14ac:dyDescent="0.2">
      <c r="A535" s="2" t="s">
        <v>1077</v>
      </c>
      <c r="B535" s="2" t="s">
        <v>1075</v>
      </c>
      <c r="C535" s="2" t="s">
        <v>38</v>
      </c>
      <c r="D535" s="2" t="s">
        <v>62</v>
      </c>
      <c r="E535" s="2" t="s">
        <v>50</v>
      </c>
      <c r="F535" s="2" t="s">
        <v>1076</v>
      </c>
      <c r="G535" s="2" t="s">
        <v>106</v>
      </c>
      <c r="H535" s="2">
        <f>0.49+0.34</f>
        <v>0.83000000000000007</v>
      </c>
      <c r="I535" s="13">
        <f>(5.7*0.49+4*0.34)/$H535</f>
        <v>5.0036144578313255</v>
      </c>
      <c r="J535" s="13">
        <f>(5.5*0.49+4.2*0.34)/$H535</f>
        <v>4.9674698795180721</v>
      </c>
      <c r="K535" s="14">
        <f>(10*0.49+20*0.34)/$H535</f>
        <v>14.096385542168674</v>
      </c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9">
        <f t="shared" si="48"/>
        <v>4.1530000000000004E-2</v>
      </c>
      <c r="AB535" s="9">
        <f t="shared" si="49"/>
        <v>4.1230000000000003E-2</v>
      </c>
      <c r="AC535" s="10">
        <f t="shared" si="50"/>
        <v>11.700000000000001</v>
      </c>
      <c r="AD535" s="10">
        <f t="shared" si="51"/>
        <v>0</v>
      </c>
      <c r="AE535" s="9">
        <f t="shared" si="52"/>
        <v>0</v>
      </c>
      <c r="AF535" s="9">
        <f t="shared" si="53"/>
        <v>8.276E-2</v>
      </c>
      <c r="AG535" s="9">
        <f t="shared" si="54"/>
        <v>9.9710843373493976</v>
      </c>
      <c r="AH535" s="11">
        <f t="shared" si="56"/>
        <v>4.1530000000000005</v>
      </c>
      <c r="AI535" s="11">
        <f t="shared" si="56"/>
        <v>4.1230000000000002</v>
      </c>
      <c r="AJ535" s="11">
        <f t="shared" si="56"/>
        <v>11.700000000000001</v>
      </c>
      <c r="AK535" s="11">
        <f t="shared" si="56"/>
        <v>0</v>
      </c>
      <c r="AL535" s="11">
        <f t="shared" si="56"/>
        <v>0</v>
      </c>
      <c r="AM535" s="2"/>
      <c r="AN535" s="2"/>
      <c r="AO535" s="2"/>
    </row>
    <row r="536" spans="1:41" x14ac:dyDescent="0.2">
      <c r="A536" s="2" t="s">
        <v>1078</v>
      </c>
      <c r="B536" s="2" t="s">
        <v>1075</v>
      </c>
      <c r="C536" s="2" t="s">
        <v>38</v>
      </c>
      <c r="D536" s="2" t="s">
        <v>62</v>
      </c>
      <c r="E536" s="2" t="s">
        <v>50</v>
      </c>
      <c r="F536" s="2" t="s">
        <v>1076</v>
      </c>
      <c r="G536" s="2" t="s">
        <v>106</v>
      </c>
      <c r="H536" s="2">
        <v>16.18</v>
      </c>
      <c r="I536" s="2">
        <v>4.5</v>
      </c>
      <c r="J536" s="2">
        <v>8.1999999999999993</v>
      </c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9">
        <f t="shared" si="48"/>
        <v>0.72809999999999997</v>
      </c>
      <c r="AB536" s="9">
        <f t="shared" si="49"/>
        <v>1.3267599999999999</v>
      </c>
      <c r="AC536" s="10">
        <f t="shared" si="50"/>
        <v>0</v>
      </c>
      <c r="AD536" s="10">
        <f t="shared" si="51"/>
        <v>0</v>
      </c>
      <c r="AE536" s="9">
        <f t="shared" si="52"/>
        <v>0</v>
      </c>
      <c r="AF536" s="9">
        <f t="shared" si="53"/>
        <v>2.0548599999999997</v>
      </c>
      <c r="AG536" s="9">
        <f t="shared" si="54"/>
        <v>12.7</v>
      </c>
      <c r="AH536" s="11">
        <f t="shared" si="56"/>
        <v>72.81</v>
      </c>
      <c r="AI536" s="11">
        <f t="shared" si="56"/>
        <v>132.67599999999999</v>
      </c>
      <c r="AJ536" s="11">
        <f t="shared" si="56"/>
        <v>0</v>
      </c>
      <c r="AK536" s="11">
        <f t="shared" si="56"/>
        <v>0</v>
      </c>
      <c r="AL536" s="11">
        <f t="shared" si="56"/>
        <v>0</v>
      </c>
      <c r="AM536" s="2"/>
      <c r="AN536" s="2"/>
      <c r="AO536" s="2"/>
    </row>
    <row r="537" spans="1:41" x14ac:dyDescent="0.2">
      <c r="A537" s="2" t="s">
        <v>1079</v>
      </c>
      <c r="B537" s="2" t="s">
        <v>1080</v>
      </c>
      <c r="C537" s="2" t="s">
        <v>48</v>
      </c>
      <c r="D537" s="2" t="s">
        <v>1081</v>
      </c>
      <c r="E537" s="7" t="s">
        <v>40</v>
      </c>
      <c r="F537" s="2" t="s">
        <v>1082</v>
      </c>
      <c r="G537" s="2" t="s">
        <v>1083</v>
      </c>
      <c r="H537" s="2">
        <v>89.5</v>
      </c>
      <c r="I537" s="2"/>
      <c r="J537" s="2">
        <v>2.06</v>
      </c>
      <c r="K537" s="2">
        <v>38.4</v>
      </c>
      <c r="L537" s="2">
        <v>0.45</v>
      </c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9">
        <f t="shared" si="48"/>
        <v>0</v>
      </c>
      <c r="AB537" s="9">
        <f t="shared" si="49"/>
        <v>1.8437000000000001</v>
      </c>
      <c r="AC537" s="10">
        <f t="shared" si="50"/>
        <v>3436.7999999999997</v>
      </c>
      <c r="AD537" s="10">
        <f t="shared" si="51"/>
        <v>0</v>
      </c>
      <c r="AE537" s="9">
        <f t="shared" si="52"/>
        <v>0.40275</v>
      </c>
      <c r="AF537" s="9">
        <f t="shared" si="53"/>
        <v>2.2464500000000003</v>
      </c>
      <c r="AG537" s="9">
        <f t="shared" si="54"/>
        <v>2.5100000000000002</v>
      </c>
      <c r="AH537" s="11">
        <f t="shared" si="56"/>
        <v>0</v>
      </c>
      <c r="AI537" s="11">
        <f t="shared" si="56"/>
        <v>184.37</v>
      </c>
      <c r="AJ537" s="11">
        <f t="shared" si="56"/>
        <v>3436.7999999999997</v>
      </c>
      <c r="AK537" s="11">
        <f t="shared" si="56"/>
        <v>40.274999999999999</v>
      </c>
      <c r="AL537" s="11">
        <f t="shared" si="56"/>
        <v>0</v>
      </c>
      <c r="AM537" s="22"/>
      <c r="AN537" s="22"/>
      <c r="AO537" s="22"/>
    </row>
    <row r="538" spans="1:41" x14ac:dyDescent="0.2">
      <c r="A538" s="2" t="s">
        <v>1084</v>
      </c>
      <c r="B538" s="2" t="s">
        <v>1085</v>
      </c>
      <c r="C538" s="2" t="s">
        <v>38</v>
      </c>
      <c r="D538" s="2" t="s">
        <v>62</v>
      </c>
      <c r="E538" s="7" t="s">
        <v>40</v>
      </c>
      <c r="F538" s="2" t="s">
        <v>1086</v>
      </c>
      <c r="G538" s="2" t="s">
        <v>1087</v>
      </c>
      <c r="H538" s="2">
        <f>4+18.23</f>
        <v>22.23</v>
      </c>
      <c r="I538" s="13">
        <f>(1.9*4+4.4*18.23)/$H538</f>
        <v>3.9501574448942867</v>
      </c>
      <c r="J538" s="13">
        <f>(40.4*4+28.1*18.23)/$H538</f>
        <v>30.313225371120112</v>
      </c>
      <c r="K538" s="14">
        <f>(0*4+110*18.23)/$H538</f>
        <v>90.206927575348629</v>
      </c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9">
        <f t="shared" si="48"/>
        <v>0.87812000000000001</v>
      </c>
      <c r="AB538" s="9">
        <f t="shared" si="49"/>
        <v>6.7386300000000006</v>
      </c>
      <c r="AC538" s="10">
        <f t="shared" si="50"/>
        <v>2005.3000000000002</v>
      </c>
      <c r="AD538" s="10">
        <f t="shared" si="51"/>
        <v>0</v>
      </c>
      <c r="AE538" s="9">
        <f t="shared" si="52"/>
        <v>0</v>
      </c>
      <c r="AF538" s="9">
        <f t="shared" si="53"/>
        <v>7.6167500000000006</v>
      </c>
      <c r="AG538" s="9">
        <f t="shared" si="54"/>
        <v>34.263382816014399</v>
      </c>
      <c r="AH538" s="11">
        <f t="shared" si="56"/>
        <v>87.811999999999998</v>
      </c>
      <c r="AI538" s="11">
        <f t="shared" si="56"/>
        <v>673.86300000000006</v>
      </c>
      <c r="AJ538" s="11">
        <f t="shared" si="56"/>
        <v>2005.3000000000002</v>
      </c>
      <c r="AK538" s="11">
        <f t="shared" si="56"/>
        <v>0</v>
      </c>
      <c r="AL538" s="11">
        <f t="shared" si="56"/>
        <v>0</v>
      </c>
      <c r="AM538" s="2"/>
      <c r="AN538" s="2"/>
      <c r="AO538" s="2"/>
    </row>
    <row r="539" spans="1:41" x14ac:dyDescent="0.2">
      <c r="A539" s="2" t="s">
        <v>1088</v>
      </c>
      <c r="B539" s="2" t="s">
        <v>1085</v>
      </c>
      <c r="C539" s="2" t="s">
        <v>38</v>
      </c>
      <c r="D539" s="2" t="s">
        <v>39</v>
      </c>
      <c r="E539" s="7" t="s">
        <v>40</v>
      </c>
      <c r="F539" s="2" t="s">
        <v>41</v>
      </c>
      <c r="G539" s="8" t="s">
        <v>44</v>
      </c>
      <c r="H539" s="2">
        <v>1.1599999999999999</v>
      </c>
      <c r="I539" s="9">
        <f>0.33*8.34</f>
        <v>2.7522000000000002</v>
      </c>
      <c r="J539" s="9">
        <f>0.67*8.34</f>
        <v>5.5878000000000005</v>
      </c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9">
        <f t="shared" si="48"/>
        <v>3.1925519999999999E-2</v>
      </c>
      <c r="AB539" s="9">
        <f t="shared" si="49"/>
        <v>6.4818479999999998E-2</v>
      </c>
      <c r="AC539" s="10">
        <f t="shared" si="50"/>
        <v>0</v>
      </c>
      <c r="AD539" s="10">
        <f t="shared" si="51"/>
        <v>0</v>
      </c>
      <c r="AE539" s="9">
        <f t="shared" si="52"/>
        <v>0</v>
      </c>
      <c r="AF539" s="9">
        <f t="shared" si="53"/>
        <v>9.6743999999999997E-2</v>
      </c>
      <c r="AG539" s="9">
        <f t="shared" si="54"/>
        <v>8.34</v>
      </c>
      <c r="AH539" s="11">
        <f t="shared" si="56"/>
        <v>3.1925520000000001</v>
      </c>
      <c r="AI539" s="11">
        <f t="shared" si="56"/>
        <v>6.4818480000000003</v>
      </c>
      <c r="AJ539" s="11">
        <f t="shared" si="56"/>
        <v>0</v>
      </c>
      <c r="AK539" s="11">
        <f t="shared" si="56"/>
        <v>0</v>
      </c>
      <c r="AL539" s="11">
        <f t="shared" si="56"/>
        <v>0</v>
      </c>
      <c r="AM539" s="2"/>
      <c r="AN539" s="2"/>
      <c r="AO539" s="2"/>
    </row>
    <row r="540" spans="1:41" x14ac:dyDescent="0.2">
      <c r="A540" s="2" t="s">
        <v>1089</v>
      </c>
      <c r="B540" s="2" t="s">
        <v>1085</v>
      </c>
      <c r="C540" s="2" t="s">
        <v>38</v>
      </c>
      <c r="D540" s="2" t="s">
        <v>39</v>
      </c>
      <c r="E540" s="7" t="s">
        <v>40</v>
      </c>
      <c r="F540" s="2" t="s">
        <v>41</v>
      </c>
      <c r="G540" s="2" t="s">
        <v>1090</v>
      </c>
      <c r="H540" s="2">
        <v>10</v>
      </c>
      <c r="I540" s="2">
        <v>2.2599999999999998</v>
      </c>
      <c r="J540" s="2">
        <v>6</v>
      </c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9">
        <f t="shared" si="48"/>
        <v>0.22599999999999998</v>
      </c>
      <c r="AB540" s="9">
        <f t="shared" si="49"/>
        <v>0.6</v>
      </c>
      <c r="AC540" s="10">
        <f t="shared" si="50"/>
        <v>0</v>
      </c>
      <c r="AD540" s="10">
        <f t="shared" si="51"/>
        <v>0</v>
      </c>
      <c r="AE540" s="9">
        <f t="shared" si="52"/>
        <v>0</v>
      </c>
      <c r="AF540" s="9">
        <f t="shared" si="53"/>
        <v>0.82599999999999996</v>
      </c>
      <c r="AG540" s="9">
        <f t="shared" si="54"/>
        <v>8.26</v>
      </c>
      <c r="AH540" s="11">
        <f t="shared" si="56"/>
        <v>22.599999999999998</v>
      </c>
      <c r="AI540" s="11">
        <f t="shared" si="56"/>
        <v>60</v>
      </c>
      <c r="AJ540" s="11">
        <f t="shared" si="56"/>
        <v>0</v>
      </c>
      <c r="AK540" s="11">
        <f t="shared" si="56"/>
        <v>0</v>
      </c>
      <c r="AL540" s="11">
        <f t="shared" si="56"/>
        <v>0</v>
      </c>
      <c r="AM540" s="2"/>
      <c r="AN540" s="2"/>
      <c r="AO540" s="2"/>
    </row>
    <row r="541" spans="1:41" x14ac:dyDescent="0.2">
      <c r="A541" s="2" t="s">
        <v>1091</v>
      </c>
      <c r="B541" s="2" t="s">
        <v>1085</v>
      </c>
      <c r="C541" s="2" t="s">
        <v>38</v>
      </c>
      <c r="D541" s="2" t="s">
        <v>39</v>
      </c>
      <c r="E541" s="7" t="s">
        <v>40</v>
      </c>
      <c r="F541" s="2" t="s">
        <v>41</v>
      </c>
      <c r="G541" s="8" t="s">
        <v>1092</v>
      </c>
      <c r="H541" s="2">
        <v>0.12</v>
      </c>
      <c r="I541" s="2">
        <v>8</v>
      </c>
      <c r="J541" s="2">
        <v>1</v>
      </c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9">
        <f t="shared" si="48"/>
        <v>9.5999999999999992E-3</v>
      </c>
      <c r="AB541" s="9">
        <f t="shared" si="49"/>
        <v>1.1999999999999999E-3</v>
      </c>
      <c r="AC541" s="10">
        <f t="shared" si="50"/>
        <v>0</v>
      </c>
      <c r="AD541" s="10">
        <f t="shared" si="51"/>
        <v>0</v>
      </c>
      <c r="AE541" s="9">
        <f t="shared" si="52"/>
        <v>0</v>
      </c>
      <c r="AF541" s="9">
        <f t="shared" si="53"/>
        <v>1.0799999999999999E-2</v>
      </c>
      <c r="AG541" s="9">
        <f t="shared" si="54"/>
        <v>9</v>
      </c>
      <c r="AH541" s="11">
        <f t="shared" si="56"/>
        <v>0.96</v>
      </c>
      <c r="AI541" s="11">
        <f t="shared" si="56"/>
        <v>0.12</v>
      </c>
      <c r="AJ541" s="11">
        <f t="shared" si="56"/>
        <v>0</v>
      </c>
      <c r="AK541" s="11">
        <f t="shared" si="56"/>
        <v>0</v>
      </c>
      <c r="AL541" s="11">
        <f t="shared" si="56"/>
        <v>0</v>
      </c>
      <c r="AM541" s="2"/>
      <c r="AN541" s="2"/>
      <c r="AO541" s="2"/>
    </row>
    <row r="542" spans="1:41" x14ac:dyDescent="0.2">
      <c r="A542" s="2" t="s">
        <v>1093</v>
      </c>
      <c r="B542" s="2" t="s">
        <v>1085</v>
      </c>
      <c r="C542" s="2" t="s">
        <v>38</v>
      </c>
      <c r="D542" s="2" t="s">
        <v>39</v>
      </c>
      <c r="E542" s="7" t="s">
        <v>40</v>
      </c>
      <c r="F542" s="2" t="s">
        <v>41</v>
      </c>
      <c r="G542" s="8" t="s">
        <v>44</v>
      </c>
      <c r="H542" s="2">
        <v>10</v>
      </c>
      <c r="I542" s="2">
        <v>2.4</v>
      </c>
      <c r="J542" s="2">
        <v>7.4</v>
      </c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9">
        <f t="shared" si="48"/>
        <v>0.24</v>
      </c>
      <c r="AB542" s="9">
        <f t="shared" si="49"/>
        <v>0.74</v>
      </c>
      <c r="AC542" s="10">
        <f t="shared" si="50"/>
        <v>0</v>
      </c>
      <c r="AD542" s="10">
        <f t="shared" si="51"/>
        <v>0</v>
      </c>
      <c r="AE542" s="9">
        <f t="shared" si="52"/>
        <v>0</v>
      </c>
      <c r="AF542" s="9">
        <f t="shared" si="53"/>
        <v>0.98</v>
      </c>
      <c r="AG542" s="9">
        <f t="shared" si="54"/>
        <v>9.8000000000000007</v>
      </c>
      <c r="AH542" s="11">
        <f t="shared" si="56"/>
        <v>24</v>
      </c>
      <c r="AI542" s="11">
        <f t="shared" si="56"/>
        <v>74</v>
      </c>
      <c r="AJ542" s="11">
        <f t="shared" si="56"/>
        <v>0</v>
      </c>
      <c r="AK542" s="11">
        <f t="shared" si="56"/>
        <v>0</v>
      </c>
      <c r="AL542" s="11">
        <f t="shared" si="56"/>
        <v>0</v>
      </c>
      <c r="AM542" s="2"/>
      <c r="AN542" s="2"/>
      <c r="AO542" s="2"/>
    </row>
    <row r="543" spans="1:41" x14ac:dyDescent="0.2">
      <c r="A543" s="2" t="s">
        <v>1094</v>
      </c>
      <c r="B543" s="2" t="s">
        <v>1085</v>
      </c>
      <c r="C543" s="2" t="s">
        <v>38</v>
      </c>
      <c r="D543" s="2" t="s">
        <v>39</v>
      </c>
      <c r="E543" s="7" t="s">
        <v>40</v>
      </c>
      <c r="F543" s="2" t="s">
        <v>41</v>
      </c>
      <c r="G543" s="8" t="s">
        <v>44</v>
      </c>
      <c r="H543" s="2">
        <v>0.9</v>
      </c>
      <c r="I543" s="2">
        <v>5.4</v>
      </c>
      <c r="J543" s="2">
        <v>12.1</v>
      </c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9">
        <f t="shared" si="48"/>
        <v>4.8600000000000004E-2</v>
      </c>
      <c r="AB543" s="9">
        <f t="shared" si="49"/>
        <v>0.10890000000000001</v>
      </c>
      <c r="AC543" s="10">
        <f t="shared" si="50"/>
        <v>0</v>
      </c>
      <c r="AD543" s="10">
        <f t="shared" si="51"/>
        <v>0</v>
      </c>
      <c r="AE543" s="9">
        <f t="shared" si="52"/>
        <v>0</v>
      </c>
      <c r="AF543" s="9">
        <f t="shared" si="53"/>
        <v>0.15750000000000003</v>
      </c>
      <c r="AG543" s="9">
        <f t="shared" si="54"/>
        <v>17.5</v>
      </c>
      <c r="AH543" s="11">
        <f t="shared" si="56"/>
        <v>4.8600000000000003</v>
      </c>
      <c r="AI543" s="11">
        <f t="shared" si="56"/>
        <v>10.89</v>
      </c>
      <c r="AJ543" s="11">
        <f t="shared" si="56"/>
        <v>0</v>
      </c>
      <c r="AK543" s="11">
        <f t="shared" si="56"/>
        <v>0</v>
      </c>
      <c r="AL543" s="11">
        <f t="shared" si="56"/>
        <v>0</v>
      </c>
      <c r="AM543" s="2"/>
      <c r="AN543" s="2"/>
      <c r="AO543" s="2"/>
    </row>
    <row r="544" spans="1:41" x14ac:dyDescent="0.2">
      <c r="A544" s="2" t="s">
        <v>1095</v>
      </c>
      <c r="B544" s="2" t="s">
        <v>1085</v>
      </c>
      <c r="C544" s="2" t="s">
        <v>38</v>
      </c>
      <c r="D544" s="2" t="s">
        <v>62</v>
      </c>
      <c r="E544" s="7" t="s">
        <v>40</v>
      </c>
      <c r="F544" s="2" t="s">
        <v>41</v>
      </c>
      <c r="G544" s="8" t="s">
        <v>44</v>
      </c>
      <c r="H544" s="2">
        <v>4</v>
      </c>
      <c r="I544" s="2">
        <v>3</v>
      </c>
      <c r="J544" s="2">
        <v>10</v>
      </c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9">
        <f t="shared" si="48"/>
        <v>0.12</v>
      </c>
      <c r="AB544" s="9">
        <f t="shared" si="49"/>
        <v>0.4</v>
      </c>
      <c r="AC544" s="10">
        <f t="shared" si="50"/>
        <v>0</v>
      </c>
      <c r="AD544" s="10">
        <f t="shared" si="51"/>
        <v>0</v>
      </c>
      <c r="AE544" s="9">
        <f t="shared" si="52"/>
        <v>0</v>
      </c>
      <c r="AF544" s="9">
        <f t="shared" si="53"/>
        <v>0.52</v>
      </c>
      <c r="AG544" s="9">
        <f t="shared" si="54"/>
        <v>13</v>
      </c>
      <c r="AH544" s="11">
        <f t="shared" si="56"/>
        <v>12</v>
      </c>
      <c r="AI544" s="11">
        <f t="shared" si="56"/>
        <v>40</v>
      </c>
      <c r="AJ544" s="11">
        <f t="shared" si="56"/>
        <v>0</v>
      </c>
      <c r="AK544" s="11">
        <f t="shared" si="56"/>
        <v>0</v>
      </c>
      <c r="AL544" s="11">
        <f t="shared" si="56"/>
        <v>0</v>
      </c>
      <c r="AM544" s="2"/>
      <c r="AN544" s="2"/>
      <c r="AO544" s="2"/>
    </row>
    <row r="545" spans="1:41" x14ac:dyDescent="0.2">
      <c r="A545" s="2" t="s">
        <v>1096</v>
      </c>
      <c r="B545" s="2" t="s">
        <v>1085</v>
      </c>
      <c r="C545" s="2" t="s">
        <v>38</v>
      </c>
      <c r="D545" s="2" t="s">
        <v>1097</v>
      </c>
      <c r="E545" s="2" t="s">
        <v>50</v>
      </c>
      <c r="F545" s="2" t="s">
        <v>1098</v>
      </c>
      <c r="G545" s="2" t="s">
        <v>1099</v>
      </c>
      <c r="H545" s="2">
        <v>394</v>
      </c>
      <c r="I545" s="2">
        <v>1.6</v>
      </c>
      <c r="J545" s="2">
        <v>4.2</v>
      </c>
      <c r="K545" s="2">
        <v>36</v>
      </c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9">
        <f t="shared" si="48"/>
        <v>6.3040000000000012</v>
      </c>
      <c r="AB545" s="9">
        <f t="shared" si="49"/>
        <v>16.548000000000002</v>
      </c>
      <c r="AC545" s="10">
        <f t="shared" si="50"/>
        <v>14184</v>
      </c>
      <c r="AD545" s="10">
        <f t="shared" si="51"/>
        <v>0</v>
      </c>
      <c r="AE545" s="9">
        <f t="shared" si="52"/>
        <v>0</v>
      </c>
      <c r="AF545" s="9">
        <f t="shared" si="53"/>
        <v>22.852000000000004</v>
      </c>
      <c r="AG545" s="9">
        <f t="shared" si="54"/>
        <v>5.8000000000000007</v>
      </c>
      <c r="AH545" s="11">
        <f t="shared" si="56"/>
        <v>630.40000000000009</v>
      </c>
      <c r="AI545" s="11">
        <f t="shared" si="56"/>
        <v>1654.8000000000002</v>
      </c>
      <c r="AJ545" s="11">
        <f t="shared" si="56"/>
        <v>14184</v>
      </c>
      <c r="AK545" s="11">
        <f t="shared" si="56"/>
        <v>0</v>
      </c>
      <c r="AL545" s="11">
        <f t="shared" si="56"/>
        <v>0</v>
      </c>
      <c r="AM545" s="2"/>
      <c r="AN545" s="2"/>
      <c r="AO545" s="2"/>
    </row>
    <row r="546" spans="1:41" x14ac:dyDescent="0.2">
      <c r="A546" s="2" t="s">
        <v>1100</v>
      </c>
      <c r="B546" s="2" t="s">
        <v>1085</v>
      </c>
      <c r="C546" s="2" t="s">
        <v>38</v>
      </c>
      <c r="D546" s="2" t="s">
        <v>39</v>
      </c>
      <c r="E546" s="7" t="s">
        <v>40</v>
      </c>
      <c r="F546" s="2" t="s">
        <v>41</v>
      </c>
      <c r="G546" s="2" t="s">
        <v>1101</v>
      </c>
      <c r="H546" s="2">
        <v>7</v>
      </c>
      <c r="I546" s="2">
        <v>8.33</v>
      </c>
      <c r="J546" s="2">
        <v>0.38</v>
      </c>
      <c r="K546" s="2">
        <v>72</v>
      </c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9">
        <f t="shared" si="48"/>
        <v>0.58310000000000006</v>
      </c>
      <c r="AB546" s="9">
        <f t="shared" si="49"/>
        <v>2.6600000000000002E-2</v>
      </c>
      <c r="AC546" s="10">
        <f t="shared" si="50"/>
        <v>504</v>
      </c>
      <c r="AD546" s="10">
        <f t="shared" si="51"/>
        <v>0</v>
      </c>
      <c r="AE546" s="9">
        <f t="shared" si="52"/>
        <v>0</v>
      </c>
      <c r="AF546" s="9">
        <f t="shared" si="53"/>
        <v>0.60970000000000002</v>
      </c>
      <c r="AG546" s="9">
        <f t="shared" si="54"/>
        <v>8.7100000000000009</v>
      </c>
      <c r="AH546" s="11">
        <f t="shared" ref="AH546:AL561" si="57">$H546*I546</f>
        <v>58.31</v>
      </c>
      <c r="AI546" s="11">
        <f t="shared" si="57"/>
        <v>2.66</v>
      </c>
      <c r="AJ546" s="11">
        <f t="shared" si="57"/>
        <v>504</v>
      </c>
      <c r="AK546" s="11">
        <f t="shared" si="57"/>
        <v>0</v>
      </c>
      <c r="AL546" s="11">
        <f t="shared" si="57"/>
        <v>0</v>
      </c>
      <c r="AM546" s="2"/>
      <c r="AN546" s="2"/>
      <c r="AO546" s="2"/>
    </row>
    <row r="547" spans="1:41" x14ac:dyDescent="0.2">
      <c r="A547" s="2" t="s">
        <v>1102</v>
      </c>
      <c r="B547" s="2" t="s">
        <v>1085</v>
      </c>
      <c r="C547" s="2" t="s">
        <v>38</v>
      </c>
      <c r="D547" s="2" t="s">
        <v>39</v>
      </c>
      <c r="E547" s="7" t="s">
        <v>40</v>
      </c>
      <c r="F547" s="2" t="s">
        <v>41</v>
      </c>
      <c r="G547" s="8" t="s">
        <v>1092</v>
      </c>
      <c r="H547" s="2">
        <v>0.15</v>
      </c>
      <c r="I547" s="2">
        <v>7</v>
      </c>
      <c r="J547" s="2">
        <v>2.5</v>
      </c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9">
        <f t="shared" si="48"/>
        <v>1.0500000000000001E-2</v>
      </c>
      <c r="AB547" s="9">
        <f t="shared" si="49"/>
        <v>3.7499999999999999E-3</v>
      </c>
      <c r="AC547" s="10">
        <f t="shared" si="50"/>
        <v>0</v>
      </c>
      <c r="AD547" s="10">
        <f t="shared" si="51"/>
        <v>0</v>
      </c>
      <c r="AE547" s="9">
        <f t="shared" si="52"/>
        <v>0</v>
      </c>
      <c r="AF547" s="9">
        <f t="shared" si="53"/>
        <v>1.4250000000000001E-2</v>
      </c>
      <c r="AG547" s="9">
        <f t="shared" si="54"/>
        <v>9.5</v>
      </c>
      <c r="AH547" s="11">
        <f t="shared" si="57"/>
        <v>1.05</v>
      </c>
      <c r="AI547" s="11">
        <f t="shared" si="57"/>
        <v>0.375</v>
      </c>
      <c r="AJ547" s="11">
        <f t="shared" si="57"/>
        <v>0</v>
      </c>
      <c r="AK547" s="11">
        <f t="shared" si="57"/>
        <v>0</v>
      </c>
      <c r="AL547" s="11">
        <f t="shared" si="57"/>
        <v>0</v>
      </c>
      <c r="AM547" s="2"/>
      <c r="AN547" s="2"/>
      <c r="AO547" s="2"/>
    </row>
    <row r="548" spans="1:41" x14ac:dyDescent="0.2">
      <c r="A548" s="2" t="s">
        <v>1103</v>
      </c>
      <c r="B548" s="2" t="s">
        <v>1104</v>
      </c>
      <c r="C548" s="2" t="s">
        <v>38</v>
      </c>
      <c r="D548" s="2" t="s">
        <v>39</v>
      </c>
      <c r="E548" s="7" t="s">
        <v>40</v>
      </c>
      <c r="F548" s="2" t="s">
        <v>41</v>
      </c>
      <c r="G548" s="8" t="s">
        <v>1105</v>
      </c>
      <c r="H548" s="2">
        <v>10.1</v>
      </c>
      <c r="I548" s="2">
        <v>0.4</v>
      </c>
      <c r="J548" s="2">
        <v>1.6</v>
      </c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9">
        <f t="shared" si="48"/>
        <v>4.0399999999999998E-2</v>
      </c>
      <c r="AB548" s="9">
        <f t="shared" si="49"/>
        <v>0.16159999999999999</v>
      </c>
      <c r="AC548" s="10">
        <f t="shared" si="50"/>
        <v>0</v>
      </c>
      <c r="AD548" s="10">
        <f t="shared" si="51"/>
        <v>0</v>
      </c>
      <c r="AE548" s="9">
        <f t="shared" si="52"/>
        <v>0</v>
      </c>
      <c r="AF548" s="9">
        <f t="shared" si="53"/>
        <v>0.20199999999999999</v>
      </c>
      <c r="AG548" s="9">
        <f t="shared" si="54"/>
        <v>2</v>
      </c>
      <c r="AH548" s="11">
        <f t="shared" si="57"/>
        <v>4.04</v>
      </c>
      <c r="AI548" s="11">
        <f t="shared" si="57"/>
        <v>16.16</v>
      </c>
      <c r="AJ548" s="11">
        <f t="shared" si="57"/>
        <v>0</v>
      </c>
      <c r="AK548" s="11">
        <f t="shared" si="57"/>
        <v>0</v>
      </c>
      <c r="AL548" s="11">
        <f t="shared" si="57"/>
        <v>0</v>
      </c>
      <c r="AM548" s="2"/>
      <c r="AN548" s="2"/>
      <c r="AO548" s="2"/>
    </row>
    <row r="549" spans="1:41" x14ac:dyDescent="0.2">
      <c r="A549" s="2" t="s">
        <v>1106</v>
      </c>
      <c r="B549" s="2" t="s">
        <v>1104</v>
      </c>
      <c r="C549" s="2" t="s">
        <v>38</v>
      </c>
      <c r="D549" s="2" t="s">
        <v>39</v>
      </c>
      <c r="E549" s="7" t="s">
        <v>40</v>
      </c>
      <c r="F549" s="2" t="s">
        <v>41</v>
      </c>
      <c r="G549" s="8" t="s">
        <v>1107</v>
      </c>
      <c r="H549" s="2">
        <v>7.83</v>
      </c>
      <c r="I549" s="2">
        <v>1.1000000000000001</v>
      </c>
      <c r="J549" s="2">
        <v>6.8</v>
      </c>
      <c r="K549" s="2">
        <v>27</v>
      </c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9">
        <f t="shared" si="48"/>
        <v>8.6130000000000012E-2</v>
      </c>
      <c r="AB549" s="9">
        <f t="shared" si="49"/>
        <v>0.53244000000000002</v>
      </c>
      <c r="AC549" s="10">
        <f t="shared" si="50"/>
        <v>211.41</v>
      </c>
      <c r="AD549" s="10">
        <f t="shared" si="51"/>
        <v>0</v>
      </c>
      <c r="AE549" s="9">
        <f t="shared" si="52"/>
        <v>0</v>
      </c>
      <c r="AF549" s="9">
        <f t="shared" si="53"/>
        <v>0.61857000000000006</v>
      </c>
      <c r="AG549" s="9">
        <f t="shared" si="54"/>
        <v>7.9</v>
      </c>
      <c r="AH549" s="11">
        <f t="shared" si="57"/>
        <v>8.6130000000000013</v>
      </c>
      <c r="AI549" s="11">
        <f t="shared" si="57"/>
        <v>53.244</v>
      </c>
      <c r="AJ549" s="11">
        <f t="shared" si="57"/>
        <v>211.41</v>
      </c>
      <c r="AK549" s="11">
        <f t="shared" si="57"/>
        <v>0</v>
      </c>
      <c r="AL549" s="11">
        <f t="shared" si="57"/>
        <v>0</v>
      </c>
      <c r="AM549" s="2"/>
      <c r="AN549" s="2"/>
      <c r="AO549" s="2"/>
    </row>
    <row r="550" spans="1:41" x14ac:dyDescent="0.2">
      <c r="A550" s="2" t="s">
        <v>1108</v>
      </c>
      <c r="B550" s="2" t="s">
        <v>1104</v>
      </c>
      <c r="C550" s="2" t="s">
        <v>38</v>
      </c>
      <c r="D550" s="2" t="s">
        <v>39</v>
      </c>
      <c r="E550" s="7" t="s">
        <v>40</v>
      </c>
      <c r="F550" s="2" t="s">
        <v>41</v>
      </c>
      <c r="G550" s="8" t="s">
        <v>1107</v>
      </c>
      <c r="H550" s="2">
        <v>1</v>
      </c>
      <c r="I550" s="13">
        <v>2</v>
      </c>
      <c r="J550" s="2">
        <v>3.5</v>
      </c>
      <c r="K550" s="2">
        <v>14</v>
      </c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9">
        <f t="shared" si="48"/>
        <v>0.02</v>
      </c>
      <c r="AB550" s="9">
        <f t="shared" si="49"/>
        <v>3.5000000000000003E-2</v>
      </c>
      <c r="AC550" s="10">
        <f t="shared" si="50"/>
        <v>14</v>
      </c>
      <c r="AD550" s="10">
        <f t="shared" si="51"/>
        <v>0</v>
      </c>
      <c r="AE550" s="9">
        <f t="shared" si="52"/>
        <v>0</v>
      </c>
      <c r="AF550" s="9">
        <f t="shared" si="53"/>
        <v>5.5000000000000007E-2</v>
      </c>
      <c r="AG550" s="9">
        <f t="shared" si="54"/>
        <v>5.5</v>
      </c>
      <c r="AH550" s="11">
        <f t="shared" si="57"/>
        <v>2</v>
      </c>
      <c r="AI550" s="11">
        <f t="shared" si="57"/>
        <v>3.5</v>
      </c>
      <c r="AJ550" s="11">
        <f t="shared" si="57"/>
        <v>14</v>
      </c>
      <c r="AK550" s="11">
        <f t="shared" si="57"/>
        <v>0</v>
      </c>
      <c r="AL550" s="11">
        <f t="shared" si="57"/>
        <v>0</v>
      </c>
      <c r="AM550" s="2"/>
      <c r="AN550" s="2"/>
      <c r="AO550" s="2"/>
    </row>
    <row r="551" spans="1:41" x14ac:dyDescent="0.2">
      <c r="A551" s="2" t="s">
        <v>1109</v>
      </c>
      <c r="B551" s="2" t="s">
        <v>1104</v>
      </c>
      <c r="C551" s="2" t="s">
        <v>38</v>
      </c>
      <c r="D551" s="2" t="s">
        <v>39</v>
      </c>
      <c r="E551" s="7" t="s">
        <v>40</v>
      </c>
      <c r="F551" s="2" t="s">
        <v>41</v>
      </c>
      <c r="G551" s="8" t="s">
        <v>1107</v>
      </c>
      <c r="H551" s="2">
        <v>1.35</v>
      </c>
      <c r="I551" s="2">
        <v>0.18</v>
      </c>
      <c r="J551" s="2">
        <v>2.67</v>
      </c>
      <c r="K551" s="2"/>
      <c r="L551" s="2"/>
      <c r="M551" s="2"/>
      <c r="N551" s="9">
        <f>36.14*(137.327/(137.327+96.06))</f>
        <v>21.265099512826335</v>
      </c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9">
        <f t="shared" si="48"/>
        <v>2.4299999999999999E-3</v>
      </c>
      <c r="AB551" s="9">
        <f t="shared" si="49"/>
        <v>3.6045000000000001E-2</v>
      </c>
      <c r="AC551" s="10">
        <f t="shared" si="50"/>
        <v>0</v>
      </c>
      <c r="AD551" s="10">
        <f t="shared" si="51"/>
        <v>0</v>
      </c>
      <c r="AE551" s="9">
        <f t="shared" si="52"/>
        <v>0</v>
      </c>
      <c r="AF551" s="9">
        <f t="shared" si="53"/>
        <v>3.8475000000000002E-2</v>
      </c>
      <c r="AG551" s="9">
        <f t="shared" si="54"/>
        <v>2.85</v>
      </c>
      <c r="AH551" s="11">
        <f t="shared" si="57"/>
        <v>0.24299999999999999</v>
      </c>
      <c r="AI551" s="11">
        <f t="shared" si="57"/>
        <v>3.6045000000000003</v>
      </c>
      <c r="AJ551" s="11">
        <f t="shared" si="57"/>
        <v>0</v>
      </c>
      <c r="AK551" s="11">
        <f t="shared" si="57"/>
        <v>0</v>
      </c>
      <c r="AL551" s="11">
        <f t="shared" si="57"/>
        <v>0</v>
      </c>
      <c r="AM551" s="2"/>
      <c r="AN551" s="2"/>
      <c r="AO551" s="2"/>
    </row>
    <row r="552" spans="1:41" x14ac:dyDescent="0.2">
      <c r="A552" s="2" t="s">
        <v>1110</v>
      </c>
      <c r="B552" s="2" t="s">
        <v>1104</v>
      </c>
      <c r="C552" s="2" t="s">
        <v>38</v>
      </c>
      <c r="D552" s="2" t="s">
        <v>39</v>
      </c>
      <c r="E552" s="7" t="s">
        <v>40</v>
      </c>
      <c r="F552" s="2" t="s">
        <v>41</v>
      </c>
      <c r="G552" s="8" t="s">
        <v>1107</v>
      </c>
      <c r="H552" s="2">
        <v>3.7</v>
      </c>
      <c r="I552" s="2">
        <v>1.1000000000000001</v>
      </c>
      <c r="J552" s="2">
        <v>8.8000000000000007</v>
      </c>
      <c r="K552" s="2">
        <v>10</v>
      </c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9">
        <f t="shared" si="48"/>
        <v>4.07E-2</v>
      </c>
      <c r="AB552" s="9">
        <f t="shared" si="49"/>
        <v>0.3256</v>
      </c>
      <c r="AC552" s="10">
        <f t="shared" si="50"/>
        <v>37</v>
      </c>
      <c r="AD552" s="10">
        <f t="shared" si="51"/>
        <v>0</v>
      </c>
      <c r="AE552" s="9">
        <f t="shared" si="52"/>
        <v>0</v>
      </c>
      <c r="AF552" s="9">
        <f t="shared" si="53"/>
        <v>0.36630000000000001</v>
      </c>
      <c r="AG552" s="9">
        <f t="shared" si="54"/>
        <v>9.9</v>
      </c>
      <c r="AH552" s="11">
        <f t="shared" si="57"/>
        <v>4.07</v>
      </c>
      <c r="AI552" s="11">
        <f t="shared" si="57"/>
        <v>32.56</v>
      </c>
      <c r="AJ552" s="11">
        <f t="shared" si="57"/>
        <v>37</v>
      </c>
      <c r="AK552" s="11">
        <f t="shared" si="57"/>
        <v>0</v>
      </c>
      <c r="AL552" s="11">
        <f t="shared" si="57"/>
        <v>0</v>
      </c>
      <c r="AM552" s="2"/>
      <c r="AN552" s="2"/>
      <c r="AO552" s="2"/>
    </row>
    <row r="553" spans="1:41" x14ac:dyDescent="0.2">
      <c r="A553" s="2" t="s">
        <v>1111</v>
      </c>
      <c r="B553" s="2" t="s">
        <v>1104</v>
      </c>
      <c r="C553" s="2" t="s">
        <v>38</v>
      </c>
      <c r="D553" s="2" t="s">
        <v>39</v>
      </c>
      <c r="E553" s="7" t="s">
        <v>40</v>
      </c>
      <c r="F553" s="2" t="s">
        <v>41</v>
      </c>
      <c r="G553" s="8" t="s">
        <v>1107</v>
      </c>
      <c r="H553" s="2">
        <v>1.85</v>
      </c>
      <c r="I553" s="2">
        <v>1.04</v>
      </c>
      <c r="J553" s="2">
        <v>7.71</v>
      </c>
      <c r="K553" s="2">
        <v>39.6</v>
      </c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>
        <v>0.12</v>
      </c>
      <c r="Z553" s="2" t="s">
        <v>416</v>
      </c>
      <c r="AA553" s="9">
        <f t="shared" si="48"/>
        <v>1.924E-2</v>
      </c>
      <c r="AB553" s="9">
        <f t="shared" si="49"/>
        <v>0.14263500000000001</v>
      </c>
      <c r="AC553" s="10">
        <f t="shared" si="50"/>
        <v>73.260000000000005</v>
      </c>
      <c r="AD553" s="10">
        <f t="shared" si="51"/>
        <v>0</v>
      </c>
      <c r="AE553" s="9">
        <f t="shared" si="52"/>
        <v>0</v>
      </c>
      <c r="AF553" s="9">
        <f t="shared" si="53"/>
        <v>0.16187500000000002</v>
      </c>
      <c r="AG553" s="9">
        <f t="shared" si="54"/>
        <v>8.75</v>
      </c>
      <c r="AH553" s="11">
        <f t="shared" si="57"/>
        <v>1.9240000000000002</v>
      </c>
      <c r="AI553" s="11">
        <f t="shared" si="57"/>
        <v>14.263500000000001</v>
      </c>
      <c r="AJ553" s="11">
        <f t="shared" si="57"/>
        <v>73.260000000000005</v>
      </c>
      <c r="AK553" s="11">
        <f t="shared" si="57"/>
        <v>0</v>
      </c>
      <c r="AL553" s="11">
        <f t="shared" si="57"/>
        <v>0</v>
      </c>
      <c r="AM553" s="2"/>
      <c r="AN553" s="2"/>
      <c r="AO553" s="2"/>
    </row>
    <row r="554" spans="1:41" x14ac:dyDescent="0.2">
      <c r="A554" s="2" t="s">
        <v>1112</v>
      </c>
      <c r="B554" s="2" t="s">
        <v>1104</v>
      </c>
      <c r="C554" s="2" t="s">
        <v>38</v>
      </c>
      <c r="D554" s="2" t="s">
        <v>39</v>
      </c>
      <c r="E554" s="2" t="s">
        <v>50</v>
      </c>
      <c r="F554" s="2" t="s">
        <v>1113</v>
      </c>
      <c r="G554" s="2" t="s">
        <v>1014</v>
      </c>
      <c r="H554" s="2">
        <f>1.9+0.2+1.7</f>
        <v>3.8</v>
      </c>
      <c r="I554" s="9">
        <f>(2.42*1.9+2.22*0.2+1.72*1.7)/$H554</f>
        <v>2.0963157894736839</v>
      </c>
      <c r="J554" s="9">
        <f>(14.23*1.9+14.45*0.2+10.46*1.7)/$H554</f>
        <v>12.555000000000001</v>
      </c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9">
        <f t="shared" si="48"/>
        <v>7.9659999999999981E-2</v>
      </c>
      <c r="AB554" s="9">
        <f t="shared" si="49"/>
        <v>0.47709000000000001</v>
      </c>
      <c r="AC554" s="10">
        <f t="shared" si="50"/>
        <v>0</v>
      </c>
      <c r="AD554" s="10">
        <f t="shared" si="51"/>
        <v>0</v>
      </c>
      <c r="AE554" s="9">
        <f t="shared" si="52"/>
        <v>0</v>
      </c>
      <c r="AF554" s="9">
        <f t="shared" si="53"/>
        <v>0.55674999999999997</v>
      </c>
      <c r="AG554" s="9">
        <f t="shared" si="54"/>
        <v>14.651315789473685</v>
      </c>
      <c r="AH554" s="11">
        <f t="shared" si="57"/>
        <v>7.9659999999999984</v>
      </c>
      <c r="AI554" s="11">
        <f t="shared" si="57"/>
        <v>47.709000000000003</v>
      </c>
      <c r="AJ554" s="11">
        <f t="shared" si="57"/>
        <v>0</v>
      </c>
      <c r="AK554" s="11">
        <f t="shared" si="57"/>
        <v>0</v>
      </c>
      <c r="AL554" s="11">
        <f t="shared" si="57"/>
        <v>0</v>
      </c>
      <c r="AM554" s="2"/>
      <c r="AN554" s="2"/>
      <c r="AO554" s="2"/>
    </row>
    <row r="555" spans="1:41" x14ac:dyDescent="0.2">
      <c r="A555" s="2" t="s">
        <v>1114</v>
      </c>
      <c r="B555" s="2" t="s">
        <v>1104</v>
      </c>
      <c r="C555" s="2" t="s">
        <v>38</v>
      </c>
      <c r="D555" s="2" t="s">
        <v>39</v>
      </c>
      <c r="E555" s="7" t="s">
        <v>40</v>
      </c>
      <c r="F555" s="2" t="s">
        <v>41</v>
      </c>
      <c r="G555" s="8" t="s">
        <v>1107</v>
      </c>
      <c r="H555" s="2">
        <v>0.125</v>
      </c>
      <c r="I555" s="13">
        <f>8/3</f>
        <v>2.6666666666666665</v>
      </c>
      <c r="J555" s="13">
        <f>8*(2/3)</f>
        <v>5.333333333333333</v>
      </c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9">
        <f t="shared" si="48"/>
        <v>3.3333333333333331E-3</v>
      </c>
      <c r="AB555" s="9">
        <f t="shared" si="49"/>
        <v>6.6666666666666662E-3</v>
      </c>
      <c r="AC555" s="10">
        <f t="shared" si="50"/>
        <v>0</v>
      </c>
      <c r="AD555" s="10">
        <f t="shared" si="51"/>
        <v>0</v>
      </c>
      <c r="AE555" s="9">
        <f t="shared" si="52"/>
        <v>0</v>
      </c>
      <c r="AF555" s="9">
        <f t="shared" si="53"/>
        <v>9.9999999999999985E-3</v>
      </c>
      <c r="AG555" s="9">
        <f t="shared" si="54"/>
        <v>8</v>
      </c>
      <c r="AH555" s="11">
        <f t="shared" si="57"/>
        <v>0.33333333333333331</v>
      </c>
      <c r="AI555" s="11">
        <f t="shared" si="57"/>
        <v>0.66666666666666663</v>
      </c>
      <c r="AJ555" s="11">
        <f t="shared" si="57"/>
        <v>0</v>
      </c>
      <c r="AK555" s="11">
        <f t="shared" si="57"/>
        <v>0</v>
      </c>
      <c r="AL555" s="11">
        <f t="shared" si="57"/>
        <v>0</v>
      </c>
      <c r="AM555" s="2"/>
      <c r="AN555" s="2"/>
      <c r="AO555" s="2"/>
    </row>
    <row r="556" spans="1:41" x14ac:dyDescent="0.2">
      <c r="A556" s="2" t="s">
        <v>1115</v>
      </c>
      <c r="B556" s="2" t="s">
        <v>1104</v>
      </c>
      <c r="C556" s="2" t="s">
        <v>38</v>
      </c>
      <c r="D556" s="2" t="s">
        <v>39</v>
      </c>
      <c r="E556" s="7" t="s">
        <v>40</v>
      </c>
      <c r="F556" s="2" t="s">
        <v>41</v>
      </c>
      <c r="G556" s="8" t="s">
        <v>1105</v>
      </c>
      <c r="H556" s="13">
        <v>3</v>
      </c>
      <c r="I556" s="2">
        <v>0.6</v>
      </c>
      <c r="J556" s="2">
        <v>4.3</v>
      </c>
      <c r="K556" s="2">
        <v>11</v>
      </c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9">
        <f t="shared" si="48"/>
        <v>1.7999999999999999E-2</v>
      </c>
      <c r="AB556" s="9">
        <f t="shared" si="49"/>
        <v>0.12899999999999998</v>
      </c>
      <c r="AC556" s="10">
        <f t="shared" si="50"/>
        <v>33</v>
      </c>
      <c r="AD556" s="10">
        <f t="shared" si="51"/>
        <v>0</v>
      </c>
      <c r="AE556" s="9">
        <f t="shared" si="52"/>
        <v>0</v>
      </c>
      <c r="AF556" s="9">
        <f t="shared" si="53"/>
        <v>0.14699999999999996</v>
      </c>
      <c r="AG556" s="9">
        <f t="shared" si="54"/>
        <v>4.8999999999999995</v>
      </c>
      <c r="AH556" s="11">
        <f t="shared" si="57"/>
        <v>1.7999999999999998</v>
      </c>
      <c r="AI556" s="11">
        <f t="shared" si="57"/>
        <v>12.899999999999999</v>
      </c>
      <c r="AJ556" s="11">
        <f t="shared" si="57"/>
        <v>33</v>
      </c>
      <c r="AK556" s="11">
        <f t="shared" si="57"/>
        <v>0</v>
      </c>
      <c r="AL556" s="11">
        <f t="shared" si="57"/>
        <v>0</v>
      </c>
      <c r="AM556" s="2"/>
      <c r="AN556" s="2"/>
      <c r="AO556" s="2"/>
    </row>
    <row r="557" spans="1:41" x14ac:dyDescent="0.2">
      <c r="A557" s="2" t="s">
        <v>1116</v>
      </c>
      <c r="B557" s="2" t="s">
        <v>1104</v>
      </c>
      <c r="C557" s="2" t="s">
        <v>38</v>
      </c>
      <c r="D557" s="2" t="s">
        <v>39</v>
      </c>
      <c r="E557" s="2" t="s">
        <v>50</v>
      </c>
      <c r="F557" s="2" t="s">
        <v>63</v>
      </c>
      <c r="G557" s="2" t="s">
        <v>64</v>
      </c>
      <c r="H557" s="2">
        <v>42</v>
      </c>
      <c r="I557" s="2">
        <v>1</v>
      </c>
      <c r="J557" s="2">
        <v>7</v>
      </c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9">
        <f t="shared" si="48"/>
        <v>0.42</v>
      </c>
      <c r="AB557" s="9">
        <f t="shared" si="49"/>
        <v>2.94</v>
      </c>
      <c r="AC557" s="10">
        <f t="shared" si="50"/>
        <v>0</v>
      </c>
      <c r="AD557" s="10">
        <f t="shared" si="51"/>
        <v>0</v>
      </c>
      <c r="AE557" s="9">
        <f t="shared" si="52"/>
        <v>0</v>
      </c>
      <c r="AF557" s="9">
        <f t="shared" si="53"/>
        <v>3.36</v>
      </c>
      <c r="AG557" s="9">
        <f t="shared" si="54"/>
        <v>8</v>
      </c>
      <c r="AH557" s="11">
        <f t="shared" si="57"/>
        <v>42</v>
      </c>
      <c r="AI557" s="11">
        <f t="shared" si="57"/>
        <v>294</v>
      </c>
      <c r="AJ557" s="11">
        <f t="shared" si="57"/>
        <v>0</v>
      </c>
      <c r="AK557" s="11">
        <f t="shared" si="57"/>
        <v>0</v>
      </c>
      <c r="AL557" s="11">
        <f t="shared" si="57"/>
        <v>0</v>
      </c>
      <c r="AM557" s="2"/>
      <c r="AN557" s="2"/>
      <c r="AO557" s="2"/>
    </row>
    <row r="558" spans="1:41" x14ac:dyDescent="0.2">
      <c r="A558" s="2" t="s">
        <v>1117</v>
      </c>
      <c r="B558" s="2" t="s">
        <v>1104</v>
      </c>
      <c r="C558" s="2" t="s">
        <v>38</v>
      </c>
      <c r="D558" s="2" t="s">
        <v>39</v>
      </c>
      <c r="E558" s="7" t="s">
        <v>40</v>
      </c>
      <c r="F558" s="2" t="s">
        <v>41</v>
      </c>
      <c r="G558" s="8" t="s">
        <v>1107</v>
      </c>
      <c r="H558" s="2">
        <v>3.5</v>
      </c>
      <c r="I558" s="2">
        <v>1.1000000000000001</v>
      </c>
      <c r="J558" s="2">
        <v>2.2000000000000002</v>
      </c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9">
        <f t="shared" si="48"/>
        <v>3.8500000000000006E-2</v>
      </c>
      <c r="AB558" s="9">
        <f t="shared" si="49"/>
        <v>7.7000000000000013E-2</v>
      </c>
      <c r="AC558" s="10">
        <f t="shared" si="50"/>
        <v>0</v>
      </c>
      <c r="AD558" s="10">
        <f t="shared" si="51"/>
        <v>0</v>
      </c>
      <c r="AE558" s="9">
        <f t="shared" si="52"/>
        <v>0</v>
      </c>
      <c r="AF558" s="9">
        <f t="shared" si="53"/>
        <v>0.11550000000000002</v>
      </c>
      <c r="AG558" s="9">
        <f t="shared" si="54"/>
        <v>3.3000000000000003</v>
      </c>
      <c r="AH558" s="11">
        <f t="shared" si="57"/>
        <v>3.8500000000000005</v>
      </c>
      <c r="AI558" s="11">
        <f t="shared" si="57"/>
        <v>7.7000000000000011</v>
      </c>
      <c r="AJ558" s="11">
        <f t="shared" si="57"/>
        <v>0</v>
      </c>
      <c r="AK558" s="11">
        <f t="shared" si="57"/>
        <v>0</v>
      </c>
      <c r="AL558" s="11">
        <f t="shared" si="57"/>
        <v>0</v>
      </c>
      <c r="AM558" s="2"/>
      <c r="AN558" s="2"/>
      <c r="AO558" s="2"/>
    </row>
    <row r="559" spans="1:41" x14ac:dyDescent="0.2">
      <c r="A559" s="2" t="s">
        <v>1118</v>
      </c>
      <c r="B559" s="2" t="s">
        <v>1104</v>
      </c>
      <c r="C559" s="2" t="s">
        <v>38</v>
      </c>
      <c r="D559" s="2" t="s">
        <v>39</v>
      </c>
      <c r="E559" s="7" t="s">
        <v>40</v>
      </c>
      <c r="F559" s="2" t="s">
        <v>41</v>
      </c>
      <c r="G559" s="8" t="s">
        <v>1107</v>
      </c>
      <c r="H559" s="2">
        <v>6.89</v>
      </c>
      <c r="I559" s="13">
        <f>11.5/3</f>
        <v>3.8333333333333335</v>
      </c>
      <c r="J559" s="13">
        <f>11.5*(2/3)</f>
        <v>7.6666666666666661</v>
      </c>
      <c r="K559" s="2">
        <v>70</v>
      </c>
      <c r="L559" s="2">
        <v>0.6</v>
      </c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9">
        <f t="shared" si="48"/>
        <v>0.26411666666666667</v>
      </c>
      <c r="AB559" s="9">
        <f t="shared" si="49"/>
        <v>0.52823333333333322</v>
      </c>
      <c r="AC559" s="10">
        <f t="shared" si="50"/>
        <v>482.29999999999995</v>
      </c>
      <c r="AD559" s="10">
        <f t="shared" si="51"/>
        <v>0</v>
      </c>
      <c r="AE559" s="9">
        <f t="shared" si="52"/>
        <v>4.1339999999999995E-2</v>
      </c>
      <c r="AF559" s="9">
        <f t="shared" si="53"/>
        <v>0.83368999999999993</v>
      </c>
      <c r="AG559" s="9">
        <f t="shared" si="54"/>
        <v>12.1</v>
      </c>
      <c r="AH559" s="11">
        <f t="shared" si="57"/>
        <v>26.411666666666665</v>
      </c>
      <c r="AI559" s="11">
        <f t="shared" si="57"/>
        <v>52.823333333333323</v>
      </c>
      <c r="AJ559" s="11">
        <f t="shared" si="57"/>
        <v>482.29999999999995</v>
      </c>
      <c r="AK559" s="11">
        <f t="shared" si="57"/>
        <v>4.1339999999999995</v>
      </c>
      <c r="AL559" s="11">
        <f t="shared" si="57"/>
        <v>0</v>
      </c>
      <c r="AM559" s="2"/>
      <c r="AN559" s="2"/>
      <c r="AO559" s="2"/>
    </row>
    <row r="560" spans="1:41" x14ac:dyDescent="0.2">
      <c r="A560" s="2" t="s">
        <v>1119</v>
      </c>
      <c r="B560" s="2" t="s">
        <v>1104</v>
      </c>
      <c r="C560" s="2" t="s">
        <v>38</v>
      </c>
      <c r="D560" s="2" t="s">
        <v>39</v>
      </c>
      <c r="E560" s="2" t="s">
        <v>50</v>
      </c>
      <c r="F560" s="2" t="s">
        <v>1120</v>
      </c>
      <c r="G560" s="2" t="s">
        <v>106</v>
      </c>
      <c r="H560" s="2">
        <f>3.4+9.7+0.6+7.3+5.4</f>
        <v>26.4</v>
      </c>
      <c r="I560" s="13">
        <f>(1.7*3.4+1.5*9.7+2.2*0.6+2*7.3+1.9*5.4)/$H560</f>
        <v>1.7617424242424242</v>
      </c>
      <c r="J560" s="13">
        <f>(7.3*3.4+6.9*9.7+6.3*0.6+6.5*7.3+6.6*5.4)/$H560</f>
        <v>6.7659090909090915</v>
      </c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9">
        <f t="shared" si="48"/>
        <v>0.46509999999999996</v>
      </c>
      <c r="AB560" s="9">
        <f t="shared" si="49"/>
        <v>1.7862</v>
      </c>
      <c r="AC560" s="10">
        <f t="shared" si="50"/>
        <v>0</v>
      </c>
      <c r="AD560" s="10">
        <f t="shared" si="51"/>
        <v>0</v>
      </c>
      <c r="AE560" s="9">
        <f t="shared" si="52"/>
        <v>0</v>
      </c>
      <c r="AF560" s="9">
        <f t="shared" si="53"/>
        <v>2.2513000000000001</v>
      </c>
      <c r="AG560" s="9">
        <f t="shared" si="54"/>
        <v>8.5276515151515149</v>
      </c>
      <c r="AH560" s="11">
        <f t="shared" si="57"/>
        <v>46.51</v>
      </c>
      <c r="AI560" s="11">
        <f t="shared" si="57"/>
        <v>178.62</v>
      </c>
      <c r="AJ560" s="11">
        <f t="shared" si="57"/>
        <v>0</v>
      </c>
      <c r="AK560" s="11">
        <f t="shared" si="57"/>
        <v>0</v>
      </c>
      <c r="AL560" s="11">
        <f t="shared" si="57"/>
        <v>0</v>
      </c>
      <c r="AM560" s="2"/>
      <c r="AN560" s="2"/>
      <c r="AO560" s="2"/>
    </row>
    <row r="561" spans="1:41" x14ac:dyDescent="0.2">
      <c r="A561" s="2" t="s">
        <v>1121</v>
      </c>
      <c r="B561" s="2" t="s">
        <v>1104</v>
      </c>
      <c r="C561" s="2" t="s">
        <v>38</v>
      </c>
      <c r="D561" s="2" t="s">
        <v>39</v>
      </c>
      <c r="E561" s="7" t="s">
        <v>40</v>
      </c>
      <c r="F561" s="2" t="s">
        <v>41</v>
      </c>
      <c r="G561" s="8" t="s">
        <v>1107</v>
      </c>
      <c r="H561" s="2">
        <v>3.6</v>
      </c>
      <c r="I561" s="13">
        <f>6.9/3</f>
        <v>2.3000000000000003</v>
      </c>
      <c r="J561" s="13">
        <f>6.9*(2/3)</f>
        <v>4.5999999999999996</v>
      </c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9">
        <f t="shared" si="48"/>
        <v>8.2800000000000012E-2</v>
      </c>
      <c r="AB561" s="9">
        <f t="shared" si="49"/>
        <v>0.1656</v>
      </c>
      <c r="AC561" s="10">
        <f t="shared" si="50"/>
        <v>0</v>
      </c>
      <c r="AD561" s="10">
        <f t="shared" si="51"/>
        <v>0</v>
      </c>
      <c r="AE561" s="9">
        <f t="shared" si="52"/>
        <v>0</v>
      </c>
      <c r="AF561" s="9">
        <f t="shared" si="53"/>
        <v>0.24840000000000001</v>
      </c>
      <c r="AG561" s="9">
        <f t="shared" si="54"/>
        <v>6.9</v>
      </c>
      <c r="AH561" s="11">
        <f t="shared" si="57"/>
        <v>8.2800000000000011</v>
      </c>
      <c r="AI561" s="11">
        <f t="shared" si="57"/>
        <v>16.559999999999999</v>
      </c>
      <c r="AJ561" s="11">
        <f t="shared" si="57"/>
        <v>0</v>
      </c>
      <c r="AK561" s="11">
        <f t="shared" si="57"/>
        <v>0</v>
      </c>
      <c r="AL561" s="11">
        <f t="shared" si="57"/>
        <v>0</v>
      </c>
      <c r="AM561" s="2"/>
      <c r="AN561" s="2"/>
      <c r="AO561" s="2"/>
    </row>
    <row r="562" spans="1:41" x14ac:dyDescent="0.2">
      <c r="A562" s="2" t="s">
        <v>1122</v>
      </c>
      <c r="B562" s="2" t="s">
        <v>1123</v>
      </c>
      <c r="C562" s="2" t="s">
        <v>618</v>
      </c>
      <c r="D562" s="2"/>
      <c r="E562" s="7" t="s">
        <v>40</v>
      </c>
      <c r="F562" s="2" t="s">
        <v>1124</v>
      </c>
      <c r="G562" s="2" t="s">
        <v>875</v>
      </c>
      <c r="H562" s="2">
        <v>50</v>
      </c>
      <c r="I562" s="2">
        <v>5</v>
      </c>
      <c r="J562" s="2"/>
      <c r="K562" s="2">
        <v>40</v>
      </c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9">
        <f t="shared" si="48"/>
        <v>2.5</v>
      </c>
      <c r="AB562" s="9">
        <f t="shared" si="49"/>
        <v>0</v>
      </c>
      <c r="AC562" s="10">
        <f t="shared" si="50"/>
        <v>2000</v>
      </c>
      <c r="AD562" s="10">
        <f t="shared" si="51"/>
        <v>0</v>
      </c>
      <c r="AE562" s="9">
        <f t="shared" si="52"/>
        <v>0</v>
      </c>
      <c r="AF562" s="9">
        <f t="shared" si="53"/>
        <v>2.5</v>
      </c>
      <c r="AG562" s="9">
        <f t="shared" si="54"/>
        <v>5</v>
      </c>
      <c r="AH562" s="11">
        <f t="shared" ref="AH562:AL577" si="58">$H562*I562</f>
        <v>250</v>
      </c>
      <c r="AI562" s="11">
        <f t="shared" si="58"/>
        <v>0</v>
      </c>
      <c r="AJ562" s="11">
        <f t="shared" si="58"/>
        <v>2000</v>
      </c>
      <c r="AK562" s="11">
        <f t="shared" si="58"/>
        <v>0</v>
      </c>
      <c r="AL562" s="11">
        <f t="shared" si="58"/>
        <v>0</v>
      </c>
      <c r="AM562" s="2"/>
      <c r="AN562" s="2"/>
      <c r="AO562" s="2"/>
    </row>
    <row r="563" spans="1:41" x14ac:dyDescent="0.2">
      <c r="A563" s="2" t="s">
        <v>1125</v>
      </c>
      <c r="B563" s="2" t="s">
        <v>1123</v>
      </c>
      <c r="C563" s="2" t="s">
        <v>1126</v>
      </c>
      <c r="D563" s="2"/>
      <c r="E563" s="2" t="s">
        <v>50</v>
      </c>
      <c r="F563" s="2" t="s">
        <v>1127</v>
      </c>
      <c r="G563" s="2" t="s">
        <v>106</v>
      </c>
      <c r="H563" s="10">
        <f>4566.354+830.412</f>
        <v>5396.7660000000005</v>
      </c>
      <c r="I563" s="2"/>
      <c r="J563" s="9">
        <f>(0.01*4566.354+0*830.412)/$H563</f>
        <v>8.4612784767766468E-3</v>
      </c>
      <c r="K563" s="9">
        <f>(1.43*4566.354+1.2*830.412)/$H563</f>
        <v>1.3946094049658628</v>
      </c>
      <c r="L563" s="9">
        <f>(0.42*4566.354+0.3*830.412)/$H563</f>
        <v>0.40153534172131972</v>
      </c>
      <c r="M563" s="9">
        <f>(0.08*4566.354+0.09*830.412)/$H563</f>
        <v>8.1538721523223348E-2</v>
      </c>
      <c r="N563" s="2"/>
      <c r="O563" s="2"/>
      <c r="P563" s="2"/>
      <c r="Q563" s="2"/>
      <c r="R563" s="2"/>
      <c r="S563" s="9">
        <f>(0.01*4566.354+0.01*830.412)/$H563</f>
        <v>0.01</v>
      </c>
      <c r="T563" s="2"/>
      <c r="U563" s="2"/>
      <c r="V563" s="2"/>
      <c r="W563" s="2"/>
      <c r="X563" s="2"/>
      <c r="Y563" s="2"/>
      <c r="Z563" s="2"/>
      <c r="AA563" s="9">
        <f t="shared" si="48"/>
        <v>0</v>
      </c>
      <c r="AB563" s="9">
        <f t="shared" si="49"/>
        <v>0.45663540000000002</v>
      </c>
      <c r="AC563" s="10">
        <f t="shared" si="50"/>
        <v>7526.3806200000008</v>
      </c>
      <c r="AD563" s="10">
        <f t="shared" si="51"/>
        <v>440.04540000000003</v>
      </c>
      <c r="AE563" s="9">
        <f t="shared" si="52"/>
        <v>21.669922799999998</v>
      </c>
      <c r="AF563" s="9">
        <f t="shared" si="53"/>
        <v>22.126558199999998</v>
      </c>
      <c r="AG563" s="9">
        <f t="shared" si="54"/>
        <v>0.40999662019809635</v>
      </c>
      <c r="AH563" s="11">
        <f t="shared" si="58"/>
        <v>0</v>
      </c>
      <c r="AI563" s="11">
        <f t="shared" si="58"/>
        <v>45.663540000000005</v>
      </c>
      <c r="AJ563" s="11">
        <f t="shared" si="58"/>
        <v>7526.3806200000008</v>
      </c>
      <c r="AK563" s="11">
        <f t="shared" si="58"/>
        <v>2166.9922799999999</v>
      </c>
      <c r="AL563" s="11">
        <f t="shared" si="58"/>
        <v>440.04540000000003</v>
      </c>
      <c r="AM563" s="2"/>
      <c r="AN563" s="2"/>
      <c r="AO563" s="2"/>
    </row>
    <row r="564" spans="1:41" x14ac:dyDescent="0.2">
      <c r="A564" s="2" t="s">
        <v>1128</v>
      </c>
      <c r="B564" s="2" t="s">
        <v>1123</v>
      </c>
      <c r="C564" s="16" t="s">
        <v>1129</v>
      </c>
      <c r="D564" s="2"/>
      <c r="E564" s="16" t="s">
        <v>196</v>
      </c>
      <c r="F564" s="2" t="s">
        <v>1130</v>
      </c>
      <c r="G564" s="2" t="s">
        <v>64</v>
      </c>
      <c r="H564" s="2">
        <f>58+30</f>
        <v>88</v>
      </c>
      <c r="I564" s="13">
        <f>(0.2*58+0.2*30)/$H564</f>
        <v>0.2</v>
      </c>
      <c r="J564" s="9">
        <f>(0.4*58+0.5*30)/$H564</f>
        <v>0.43409090909090914</v>
      </c>
      <c r="K564" s="13">
        <f>(5.2*58+5*30)/$H564</f>
        <v>5.1318181818181818</v>
      </c>
      <c r="L564" s="9">
        <f>(0.05*58+0.06*30)/$H564</f>
        <v>5.3409090909090913E-2</v>
      </c>
      <c r="M564" s="13">
        <f>(0.7*58+0.5*30)/$H564</f>
        <v>0.63181818181818172</v>
      </c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9">
        <f t="shared" si="48"/>
        <v>0.17600000000000002</v>
      </c>
      <c r="AB564" s="9">
        <f t="shared" si="49"/>
        <v>0.38200000000000001</v>
      </c>
      <c r="AC564" s="10">
        <f t="shared" si="50"/>
        <v>451.6</v>
      </c>
      <c r="AD564" s="10">
        <f t="shared" si="51"/>
        <v>55.599999999999994</v>
      </c>
      <c r="AE564" s="9">
        <f t="shared" si="52"/>
        <v>4.7E-2</v>
      </c>
      <c r="AF564" s="9">
        <f t="shared" si="53"/>
        <v>0.60500000000000009</v>
      </c>
      <c r="AG564" s="9">
        <f t="shared" si="54"/>
        <v>0.68750000000000011</v>
      </c>
      <c r="AH564" s="11">
        <f t="shared" si="58"/>
        <v>17.600000000000001</v>
      </c>
      <c r="AI564" s="11">
        <f t="shared" si="58"/>
        <v>38.200000000000003</v>
      </c>
      <c r="AJ564" s="11">
        <f t="shared" si="58"/>
        <v>451.6</v>
      </c>
      <c r="AK564" s="11">
        <f t="shared" si="58"/>
        <v>4.7</v>
      </c>
      <c r="AL564" s="11">
        <f t="shared" si="58"/>
        <v>55.599999999999994</v>
      </c>
      <c r="AM564" s="2"/>
      <c r="AN564" s="2"/>
      <c r="AO564" s="2"/>
    </row>
    <row r="565" spans="1:41" x14ac:dyDescent="0.2">
      <c r="A565" s="2" t="s">
        <v>1131</v>
      </c>
      <c r="B565" s="2" t="s">
        <v>1123</v>
      </c>
      <c r="C565" s="2" t="s">
        <v>618</v>
      </c>
      <c r="D565" s="2"/>
      <c r="E565" s="2" t="s">
        <v>50</v>
      </c>
      <c r="F565" s="2" t="s">
        <v>1130</v>
      </c>
      <c r="G565" s="2" t="s">
        <v>64</v>
      </c>
      <c r="H565" s="2">
        <f>0.71+1.1+1.2</f>
        <v>3.01</v>
      </c>
      <c r="I565" s="9">
        <f>(2.06*0.71+1.4*1.1+1*1.2)/$H565</f>
        <v>1.3962126245847177</v>
      </c>
      <c r="J565" s="9">
        <f>(4.13*0.71+2.7*1.1+2*1.2)/$H565</f>
        <v>2.7582392026578075</v>
      </c>
      <c r="K565" s="14">
        <f>(164*0.71+130*1.1+80*1.2)/$H565</f>
        <v>118.08637873754154</v>
      </c>
      <c r="L565" s="13">
        <f>(0.59*0.71+0.5*1.1+0.3*1.2)/$H565</f>
        <v>0.4414950166112957</v>
      </c>
      <c r="M565" s="13">
        <f>(11*0.71+8.1*1.1+6*1.2)/$H565</f>
        <v>7.9468438538205977</v>
      </c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9">
        <f t="shared" si="48"/>
        <v>4.2026000000000001E-2</v>
      </c>
      <c r="AB565" s="9">
        <f t="shared" si="49"/>
        <v>8.3023000000000013E-2</v>
      </c>
      <c r="AC565" s="10">
        <f t="shared" si="50"/>
        <v>355.44</v>
      </c>
      <c r="AD565" s="10">
        <f t="shared" si="51"/>
        <v>23.919999999999998</v>
      </c>
      <c r="AE565" s="9">
        <f t="shared" si="52"/>
        <v>1.3289E-2</v>
      </c>
      <c r="AF565" s="9">
        <f t="shared" si="53"/>
        <v>0.13833800000000002</v>
      </c>
      <c r="AG565" s="9">
        <f t="shared" si="54"/>
        <v>4.5959468438538211</v>
      </c>
      <c r="AH565" s="11">
        <f t="shared" si="58"/>
        <v>4.2026000000000003</v>
      </c>
      <c r="AI565" s="11">
        <f t="shared" si="58"/>
        <v>8.3023000000000007</v>
      </c>
      <c r="AJ565" s="11">
        <f t="shared" si="58"/>
        <v>355.44</v>
      </c>
      <c r="AK565" s="11">
        <f t="shared" si="58"/>
        <v>1.3289</v>
      </c>
      <c r="AL565" s="11">
        <f t="shared" si="58"/>
        <v>23.919999999999998</v>
      </c>
      <c r="AM565" s="2"/>
      <c r="AN565" s="2"/>
      <c r="AO565" s="2"/>
    </row>
    <row r="566" spans="1:41" x14ac:dyDescent="0.2">
      <c r="A566" s="2" t="s">
        <v>1132</v>
      </c>
      <c r="B566" s="2" t="s">
        <v>1123</v>
      </c>
      <c r="C566" s="2" t="s">
        <v>618</v>
      </c>
      <c r="D566" s="2"/>
      <c r="E566" s="2" t="s">
        <v>50</v>
      </c>
      <c r="F566" s="2" t="s">
        <v>1127</v>
      </c>
      <c r="G566" s="2" t="s">
        <v>106</v>
      </c>
      <c r="H566" s="2">
        <v>91.807000000000002</v>
      </c>
      <c r="I566" s="2">
        <v>0.87</v>
      </c>
      <c r="J566" s="2">
        <v>3.64</v>
      </c>
      <c r="K566" s="2">
        <v>55.49</v>
      </c>
      <c r="L566" s="2">
        <v>1.86</v>
      </c>
      <c r="M566" s="2">
        <v>0.87</v>
      </c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9">
        <f t="shared" si="48"/>
        <v>0.79872089999999996</v>
      </c>
      <c r="AB566" s="9">
        <f t="shared" si="49"/>
        <v>3.3417748</v>
      </c>
      <c r="AC566" s="10">
        <f t="shared" si="50"/>
        <v>5094.3704299999999</v>
      </c>
      <c r="AD566" s="10">
        <f t="shared" si="51"/>
        <v>79.87209</v>
      </c>
      <c r="AE566" s="9">
        <f t="shared" si="52"/>
        <v>1.7076102</v>
      </c>
      <c r="AF566" s="9">
        <f t="shared" si="53"/>
        <v>5.8481059000000002</v>
      </c>
      <c r="AG566" s="9">
        <f t="shared" si="54"/>
        <v>6.37</v>
      </c>
      <c r="AH566" s="11">
        <f t="shared" si="58"/>
        <v>79.87209</v>
      </c>
      <c r="AI566" s="11">
        <f t="shared" si="58"/>
        <v>334.17748</v>
      </c>
      <c r="AJ566" s="11">
        <f t="shared" si="58"/>
        <v>5094.3704299999999</v>
      </c>
      <c r="AK566" s="11">
        <f t="shared" si="58"/>
        <v>170.76102</v>
      </c>
      <c r="AL566" s="11">
        <f t="shared" si="58"/>
        <v>79.87209</v>
      </c>
      <c r="AM566" s="2"/>
      <c r="AN566" s="2"/>
      <c r="AO566" s="2"/>
    </row>
    <row r="567" spans="1:41" x14ac:dyDescent="0.2">
      <c r="A567" s="2" t="s">
        <v>1133</v>
      </c>
      <c r="B567" s="2" t="s">
        <v>1123</v>
      </c>
      <c r="C567" s="2" t="s">
        <v>48</v>
      </c>
      <c r="D567" s="2"/>
      <c r="E567" s="2" t="s">
        <v>50</v>
      </c>
      <c r="F567" s="2" t="s">
        <v>1130</v>
      </c>
      <c r="G567" s="2" t="s">
        <v>64</v>
      </c>
      <c r="H567" s="2">
        <f>10.4+5.8+6.4</f>
        <v>22.6</v>
      </c>
      <c r="I567" s="9">
        <f>(1.08*10.4+1.2*5.8+2*6.4)/$H567</f>
        <v>1.3713274336283185</v>
      </c>
      <c r="J567" s="9">
        <f>(7.06*10.4+6.8*5.8+8*6.4)/$H567</f>
        <v>7.2594690265486719</v>
      </c>
      <c r="K567" s="13">
        <f>(79*10.4+71*5.8+60*6.4)/$H567</f>
        <v>71.56637168141593</v>
      </c>
      <c r="L567" s="13">
        <f>(2.4*10.4+1.9*5.8+2*6.4)/$H567</f>
        <v>2.1584070796460177</v>
      </c>
      <c r="M567" s="13">
        <f>(0.62*10.4+0.6*5.8+0.4*6.4)/$H567</f>
        <v>0.55256637168141598</v>
      </c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9">
        <f t="shared" si="48"/>
        <v>0.30992000000000003</v>
      </c>
      <c r="AB567" s="9">
        <f t="shared" si="49"/>
        <v>1.6406399999999999</v>
      </c>
      <c r="AC567" s="10">
        <f t="shared" si="50"/>
        <v>1617.4</v>
      </c>
      <c r="AD567" s="10">
        <f t="shared" si="51"/>
        <v>12.488000000000001</v>
      </c>
      <c r="AE567" s="9">
        <f t="shared" si="52"/>
        <v>0.48780000000000001</v>
      </c>
      <c r="AF567" s="9">
        <f t="shared" si="53"/>
        <v>2.4383599999999999</v>
      </c>
      <c r="AG567" s="9">
        <f t="shared" si="54"/>
        <v>10.789203539823008</v>
      </c>
      <c r="AH567" s="11">
        <f t="shared" si="58"/>
        <v>30.992000000000001</v>
      </c>
      <c r="AI567" s="11">
        <f t="shared" si="58"/>
        <v>164.06399999999999</v>
      </c>
      <c r="AJ567" s="11">
        <f t="shared" si="58"/>
        <v>1617.4</v>
      </c>
      <c r="AK567" s="11">
        <f t="shared" si="58"/>
        <v>48.78</v>
      </c>
      <c r="AL567" s="11">
        <f t="shared" si="58"/>
        <v>12.488000000000001</v>
      </c>
      <c r="AM567" s="2"/>
      <c r="AN567" s="2"/>
      <c r="AO567" s="2"/>
    </row>
    <row r="568" spans="1:41" x14ac:dyDescent="0.2">
      <c r="A568" s="2" t="s">
        <v>1134</v>
      </c>
      <c r="B568" s="2" t="s">
        <v>1123</v>
      </c>
      <c r="C568" s="2" t="s">
        <v>48</v>
      </c>
      <c r="D568" s="2"/>
      <c r="E568" s="2" t="s">
        <v>50</v>
      </c>
      <c r="F568" s="2" t="s">
        <v>1130</v>
      </c>
      <c r="G568" s="2" t="s">
        <v>64</v>
      </c>
      <c r="H568" s="2">
        <v>40</v>
      </c>
      <c r="I568" s="2">
        <v>1</v>
      </c>
      <c r="J568" s="2">
        <v>4</v>
      </c>
      <c r="K568" s="2">
        <v>33</v>
      </c>
      <c r="L568" s="2">
        <v>0.2</v>
      </c>
      <c r="M568" s="2">
        <v>2</v>
      </c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9">
        <f t="shared" si="48"/>
        <v>0.4</v>
      </c>
      <c r="AB568" s="9">
        <f t="shared" si="49"/>
        <v>1.6</v>
      </c>
      <c r="AC568" s="10">
        <f t="shared" si="50"/>
        <v>1320</v>
      </c>
      <c r="AD568" s="10">
        <f t="shared" si="51"/>
        <v>80</v>
      </c>
      <c r="AE568" s="9">
        <f t="shared" si="52"/>
        <v>0.08</v>
      </c>
      <c r="AF568" s="9">
        <f t="shared" si="53"/>
        <v>2.08</v>
      </c>
      <c r="AG568" s="9">
        <f t="shared" si="54"/>
        <v>5.2</v>
      </c>
      <c r="AH568" s="11">
        <f t="shared" si="58"/>
        <v>40</v>
      </c>
      <c r="AI568" s="11">
        <f t="shared" si="58"/>
        <v>160</v>
      </c>
      <c r="AJ568" s="11">
        <f t="shared" si="58"/>
        <v>1320</v>
      </c>
      <c r="AK568" s="11">
        <f t="shared" si="58"/>
        <v>8</v>
      </c>
      <c r="AL568" s="11">
        <f t="shared" si="58"/>
        <v>80</v>
      </c>
      <c r="AM568" s="2"/>
      <c r="AN568" s="2"/>
      <c r="AO568" s="2"/>
    </row>
    <row r="569" spans="1:41" x14ac:dyDescent="0.2">
      <c r="A569" s="2" t="s">
        <v>1135</v>
      </c>
      <c r="B569" s="2" t="s">
        <v>1123</v>
      </c>
      <c r="C569" s="2" t="s">
        <v>618</v>
      </c>
      <c r="D569" s="2"/>
      <c r="E569" s="2" t="s">
        <v>50</v>
      </c>
      <c r="F569" s="2" t="s">
        <v>1130</v>
      </c>
      <c r="G569" s="2" t="s">
        <v>64</v>
      </c>
      <c r="H569" s="2">
        <f>2.66+1.4+1.1</f>
        <v>5.16</v>
      </c>
      <c r="I569" s="9">
        <f>(4.87*2.66+2.3*1.4+1*1.1)/$H569</f>
        <v>3.3477131782945735</v>
      </c>
      <c r="J569" s="9">
        <f>(11.1*2.66+7.1*1.4+4*1.1)/$H569</f>
        <v>8.5011627906976734</v>
      </c>
      <c r="K569" s="13">
        <f>(81.2*2.66+43*1.4+100*1.1)/$H569</f>
        <v>74.843410852713177</v>
      </c>
      <c r="L569" s="9">
        <f>(1.16*2.66+1.2*1.4+0.9*1.1)/$H569</f>
        <v>1.1154263565891473</v>
      </c>
      <c r="M569" s="13">
        <f>(2.2*2.66+0.7*1.4+0.9*1.1)/$H569</f>
        <v>1.5158914728682171</v>
      </c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9">
        <f t="shared" si="48"/>
        <v>0.17274200000000001</v>
      </c>
      <c r="AB569" s="9">
        <f t="shared" si="49"/>
        <v>0.43865999999999999</v>
      </c>
      <c r="AC569" s="10">
        <f t="shared" si="50"/>
        <v>386.19200000000001</v>
      </c>
      <c r="AD569" s="10">
        <f t="shared" si="51"/>
        <v>7.822000000000001</v>
      </c>
      <c r="AE569" s="9">
        <f t="shared" si="52"/>
        <v>5.7556000000000003E-2</v>
      </c>
      <c r="AF569" s="9">
        <f t="shared" si="53"/>
        <v>0.66895800000000005</v>
      </c>
      <c r="AG569" s="9">
        <f t="shared" si="54"/>
        <v>12.964302325581393</v>
      </c>
      <c r="AH569" s="11">
        <f t="shared" si="58"/>
        <v>17.2742</v>
      </c>
      <c r="AI569" s="11">
        <f t="shared" si="58"/>
        <v>43.866</v>
      </c>
      <c r="AJ569" s="11">
        <f t="shared" si="58"/>
        <v>386.19200000000001</v>
      </c>
      <c r="AK569" s="11">
        <f t="shared" si="58"/>
        <v>5.7556000000000003</v>
      </c>
      <c r="AL569" s="11">
        <f t="shared" si="58"/>
        <v>7.822000000000001</v>
      </c>
      <c r="AM569" s="2"/>
      <c r="AN569" s="2"/>
      <c r="AO569" s="2"/>
    </row>
    <row r="570" spans="1:41" x14ac:dyDescent="0.2">
      <c r="A570" s="2" t="s">
        <v>1136</v>
      </c>
      <c r="B570" s="2" t="s">
        <v>1123</v>
      </c>
      <c r="C570" s="2" t="s">
        <v>48</v>
      </c>
      <c r="D570" s="2"/>
      <c r="E570" s="2" t="s">
        <v>50</v>
      </c>
      <c r="F570" s="2" t="s">
        <v>1130</v>
      </c>
      <c r="G570" s="2" t="s">
        <v>64</v>
      </c>
      <c r="H570" s="2">
        <f>19+16+6.4</f>
        <v>41.4</v>
      </c>
      <c r="I570" s="9">
        <f>(0.66*19+0.5*16+0.5*6.4)/$H570</f>
        <v>0.57342995169082123</v>
      </c>
      <c r="J570" s="9">
        <f>(1.44*19+1.3*16+1*6.4)/$H570</f>
        <v>1.3178743961352657</v>
      </c>
      <c r="K570" s="13">
        <f>(22.8*19+25*16+22*6.4)/$H570</f>
        <v>23.526570048309178</v>
      </c>
      <c r="L570" s="13">
        <f>(0.76*19+0.7*16+1*6.4)/$H570</f>
        <v>0.77391304347826084</v>
      </c>
      <c r="M570" s="13">
        <f>(1.9*19+1.7*16+2*6.4)/$H570</f>
        <v>1.8381642512077294</v>
      </c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9">
        <f t="shared" si="48"/>
        <v>0.23739999999999997</v>
      </c>
      <c r="AB570" s="9">
        <f t="shared" si="49"/>
        <v>0.54559999999999997</v>
      </c>
      <c r="AC570" s="10">
        <f t="shared" si="50"/>
        <v>974</v>
      </c>
      <c r="AD570" s="10">
        <f t="shared" si="51"/>
        <v>76.099999999999994</v>
      </c>
      <c r="AE570" s="9">
        <f t="shared" si="52"/>
        <v>0.32040000000000002</v>
      </c>
      <c r="AF570" s="9">
        <f t="shared" si="53"/>
        <v>1.1033999999999999</v>
      </c>
      <c r="AG570" s="9">
        <f t="shared" si="54"/>
        <v>2.6652173913043478</v>
      </c>
      <c r="AH570" s="11">
        <f t="shared" si="58"/>
        <v>23.74</v>
      </c>
      <c r="AI570" s="11">
        <f t="shared" si="58"/>
        <v>54.559999999999995</v>
      </c>
      <c r="AJ570" s="11">
        <f t="shared" si="58"/>
        <v>974</v>
      </c>
      <c r="AK570" s="11">
        <f t="shared" si="58"/>
        <v>32.04</v>
      </c>
      <c r="AL570" s="11">
        <f t="shared" si="58"/>
        <v>76.099999999999994</v>
      </c>
      <c r="AM570" s="2"/>
      <c r="AN570" s="2"/>
      <c r="AO570" s="2"/>
    </row>
    <row r="571" spans="1:41" x14ac:dyDescent="0.2">
      <c r="A571" s="2" t="s">
        <v>1137</v>
      </c>
      <c r="B571" s="2" t="s">
        <v>1123</v>
      </c>
      <c r="C571" s="2" t="s">
        <v>618</v>
      </c>
      <c r="D571" s="2" t="s">
        <v>1138</v>
      </c>
      <c r="E571" s="16" t="s">
        <v>1139</v>
      </c>
      <c r="F571" s="2" t="s">
        <v>1130</v>
      </c>
      <c r="G571" s="2" t="s">
        <v>64</v>
      </c>
      <c r="H571" s="13">
        <v>2</v>
      </c>
      <c r="I571" s="2"/>
      <c r="J571" s="2">
        <v>22</v>
      </c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9">
        <f t="shared" si="48"/>
        <v>0</v>
      </c>
      <c r="AB571" s="9">
        <f t="shared" si="49"/>
        <v>0.44</v>
      </c>
      <c r="AC571" s="10">
        <f t="shared" si="50"/>
        <v>0</v>
      </c>
      <c r="AD571" s="10">
        <f t="shared" si="51"/>
        <v>0</v>
      </c>
      <c r="AE571" s="9">
        <f t="shared" si="52"/>
        <v>0</v>
      </c>
      <c r="AF571" s="9">
        <f t="shared" si="53"/>
        <v>0.44</v>
      </c>
      <c r="AG571" s="9">
        <f t="shared" si="54"/>
        <v>22</v>
      </c>
      <c r="AH571" s="11">
        <f t="shared" si="58"/>
        <v>0</v>
      </c>
      <c r="AI571" s="11">
        <f t="shared" si="58"/>
        <v>44</v>
      </c>
      <c r="AJ571" s="11">
        <f t="shared" si="58"/>
        <v>0</v>
      </c>
      <c r="AK571" s="11">
        <f t="shared" si="58"/>
        <v>0</v>
      </c>
      <c r="AL571" s="11">
        <f t="shared" si="58"/>
        <v>0</v>
      </c>
      <c r="AM571" s="2"/>
      <c r="AN571" s="2"/>
      <c r="AO571" s="2"/>
    </row>
    <row r="572" spans="1:41" x14ac:dyDescent="0.2">
      <c r="A572" s="2" t="s">
        <v>1140</v>
      </c>
      <c r="B572" s="2" t="s">
        <v>1123</v>
      </c>
      <c r="C572" s="2" t="s">
        <v>38</v>
      </c>
      <c r="D572" s="2" t="s">
        <v>62</v>
      </c>
      <c r="E572" s="2" t="s">
        <v>50</v>
      </c>
      <c r="F572" s="2" t="s">
        <v>1141</v>
      </c>
      <c r="G572" s="2" t="s">
        <v>1142</v>
      </c>
      <c r="H572" s="2">
        <f>59+206+9</f>
        <v>274</v>
      </c>
      <c r="I572" s="13">
        <f>(1*59+0.7*206+0.6*9)/$H572</f>
        <v>0.76131386861313866</v>
      </c>
      <c r="J572" s="13">
        <f>(3.2*59+3.1*206+2.2*9)/$H572</f>
        <v>3.0919708029197084</v>
      </c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9">
        <f t="shared" si="48"/>
        <v>2.0859999999999999</v>
      </c>
      <c r="AB572" s="9">
        <f t="shared" si="49"/>
        <v>8.4720000000000013</v>
      </c>
      <c r="AC572" s="10">
        <f t="shared" si="50"/>
        <v>0</v>
      </c>
      <c r="AD572" s="10">
        <f t="shared" si="51"/>
        <v>0</v>
      </c>
      <c r="AE572" s="9">
        <f t="shared" si="52"/>
        <v>0</v>
      </c>
      <c r="AF572" s="9">
        <f t="shared" si="53"/>
        <v>10.558000000000002</v>
      </c>
      <c r="AG572" s="9">
        <f t="shared" si="54"/>
        <v>3.853284671532847</v>
      </c>
      <c r="AH572" s="11">
        <f t="shared" si="58"/>
        <v>208.6</v>
      </c>
      <c r="AI572" s="11">
        <f t="shared" si="58"/>
        <v>847.2</v>
      </c>
      <c r="AJ572" s="11">
        <f t="shared" si="58"/>
        <v>0</v>
      </c>
      <c r="AK572" s="11">
        <f t="shared" si="58"/>
        <v>0</v>
      </c>
      <c r="AL572" s="11">
        <f t="shared" si="58"/>
        <v>0</v>
      </c>
      <c r="AM572" s="2"/>
      <c r="AN572" s="2"/>
      <c r="AO572" s="2"/>
    </row>
    <row r="573" spans="1:41" x14ac:dyDescent="0.2">
      <c r="A573" s="2" t="s">
        <v>1143</v>
      </c>
      <c r="B573" s="2" t="s">
        <v>1123</v>
      </c>
      <c r="C573" s="2" t="s">
        <v>48</v>
      </c>
      <c r="D573" s="2"/>
      <c r="E573" s="2" t="s">
        <v>50</v>
      </c>
      <c r="F573" s="2" t="s">
        <v>1130</v>
      </c>
      <c r="G573" s="2" t="s">
        <v>64</v>
      </c>
      <c r="H573" s="2">
        <f>1.81+0.94+1.1</f>
        <v>3.85</v>
      </c>
      <c r="I573" s="9">
        <f>(0.43*1.81+0.4*0.94+0.5*1.1)/$H573</f>
        <v>0.44267532467532472</v>
      </c>
      <c r="J573" s="9">
        <f>(2.37*1.81+1.9*0.94+2*1.1)/$H573</f>
        <v>2.1495324675324676</v>
      </c>
      <c r="K573" s="13">
        <f>(17.7*1.81+14*0.94+10*1.1)/$H573</f>
        <v>14.596623376623377</v>
      </c>
      <c r="L573" s="13">
        <f>(1.39*1.81+1.1*0.94+1*1.1)/$H573</f>
        <v>1.2077662337662338</v>
      </c>
      <c r="M573" s="13">
        <f>(0.54*1.81+0.4*0.94+0.4*1.1)/$H573</f>
        <v>0.46581818181818185</v>
      </c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9">
        <f t="shared" si="48"/>
        <v>1.7043000000000003E-2</v>
      </c>
      <c r="AB573" s="9">
        <f t="shared" si="49"/>
        <v>8.2757000000000011E-2</v>
      </c>
      <c r="AC573" s="10">
        <f t="shared" si="50"/>
        <v>56.197000000000003</v>
      </c>
      <c r="AD573" s="10">
        <f t="shared" si="51"/>
        <v>1.7934000000000001</v>
      </c>
      <c r="AE573" s="9">
        <f t="shared" si="52"/>
        <v>4.6499000000000006E-2</v>
      </c>
      <c r="AF573" s="9">
        <f t="shared" si="53"/>
        <v>0.14629900000000001</v>
      </c>
      <c r="AG573" s="9">
        <f t="shared" si="54"/>
        <v>3.7999740259740262</v>
      </c>
      <c r="AH573" s="11">
        <f t="shared" si="58"/>
        <v>1.7043000000000001</v>
      </c>
      <c r="AI573" s="11">
        <f t="shared" si="58"/>
        <v>8.2757000000000005</v>
      </c>
      <c r="AJ573" s="11">
        <f t="shared" si="58"/>
        <v>56.197000000000003</v>
      </c>
      <c r="AK573" s="11">
        <f t="shared" si="58"/>
        <v>4.6499000000000006</v>
      </c>
      <c r="AL573" s="11">
        <f t="shared" si="58"/>
        <v>1.7934000000000001</v>
      </c>
      <c r="AM573" s="2"/>
      <c r="AN573" s="2"/>
      <c r="AO573" s="2"/>
    </row>
    <row r="574" spans="1:41" x14ac:dyDescent="0.2">
      <c r="A574" s="2" t="s">
        <v>1144</v>
      </c>
      <c r="B574" s="2" t="s">
        <v>1123</v>
      </c>
      <c r="C574" s="16" t="s">
        <v>1129</v>
      </c>
      <c r="D574" s="2"/>
      <c r="E574" s="16" t="s">
        <v>196</v>
      </c>
      <c r="F574" s="2" t="s">
        <v>1130</v>
      </c>
      <c r="G574" s="2" t="s">
        <v>64</v>
      </c>
      <c r="H574" s="2">
        <f>2.9+3.8</f>
        <v>6.6999999999999993</v>
      </c>
      <c r="I574" s="9">
        <f>(0.4*2.9+0.3*3.8)/$H574</f>
        <v>0.34328358208955223</v>
      </c>
      <c r="J574" s="9">
        <f>(0.7*2.9+0.6*3.8)/$H574</f>
        <v>0.64328358208955227</v>
      </c>
      <c r="K574" s="13">
        <f>(12*2.9+11*3.8)/$H574</f>
        <v>11.432835820895523</v>
      </c>
      <c r="L574" s="9">
        <f>(0.03*2.9+0.04*3.8)/$H574</f>
        <v>3.5671641791044775E-2</v>
      </c>
      <c r="M574" s="13">
        <f>(1.1*2.9+1*3.8)/$H574</f>
        <v>1.0432835820895523</v>
      </c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9">
        <f t="shared" si="48"/>
        <v>2.3E-2</v>
      </c>
      <c r="AB574" s="9">
        <f t="shared" si="49"/>
        <v>4.3099999999999999E-2</v>
      </c>
      <c r="AC574" s="10">
        <f t="shared" si="50"/>
        <v>76.599999999999994</v>
      </c>
      <c r="AD574" s="10">
        <f t="shared" si="51"/>
        <v>6.9899999999999993</v>
      </c>
      <c r="AE574" s="9">
        <f t="shared" si="52"/>
        <v>2.3899999999999998E-3</v>
      </c>
      <c r="AF574" s="9">
        <f t="shared" si="53"/>
        <v>6.8489999999999995E-2</v>
      </c>
      <c r="AG574" s="9">
        <f t="shared" si="54"/>
        <v>1.0222388059701493</v>
      </c>
      <c r="AH574" s="11">
        <f t="shared" si="58"/>
        <v>2.2999999999999998</v>
      </c>
      <c r="AI574" s="11">
        <f t="shared" si="58"/>
        <v>4.3099999999999996</v>
      </c>
      <c r="AJ574" s="11">
        <f t="shared" si="58"/>
        <v>76.599999999999994</v>
      </c>
      <c r="AK574" s="11">
        <f t="shared" si="58"/>
        <v>0.23899999999999996</v>
      </c>
      <c r="AL574" s="11">
        <f t="shared" si="58"/>
        <v>6.9899999999999993</v>
      </c>
      <c r="AM574" s="2"/>
      <c r="AN574" s="2"/>
      <c r="AO574" s="2"/>
    </row>
    <row r="575" spans="1:41" x14ac:dyDescent="0.2">
      <c r="A575" s="2" t="s">
        <v>1145</v>
      </c>
      <c r="B575" s="2" t="s">
        <v>1123</v>
      </c>
      <c r="C575" s="2" t="s">
        <v>38</v>
      </c>
      <c r="D575" s="2" t="s">
        <v>62</v>
      </c>
      <c r="E575" s="2" t="s">
        <v>50</v>
      </c>
      <c r="F575" s="2" t="s">
        <v>1141</v>
      </c>
      <c r="G575" s="2" t="s">
        <v>1142</v>
      </c>
      <c r="H575" s="2">
        <f>7.557+3.583</f>
        <v>11.14</v>
      </c>
      <c r="I575" s="9">
        <f>(2.46*7.557+2.13*3.583)/$H575</f>
        <v>2.3538608617594257</v>
      </c>
      <c r="J575" s="9">
        <f>(4.78*7.557+4.55*3.583)/$H575</f>
        <v>4.7060242369838425</v>
      </c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9">
        <f t="shared" si="48"/>
        <v>0.26222010000000007</v>
      </c>
      <c r="AB575" s="9">
        <f t="shared" si="49"/>
        <v>0.52425110000000008</v>
      </c>
      <c r="AC575" s="10">
        <f t="shared" si="50"/>
        <v>0</v>
      </c>
      <c r="AD575" s="10">
        <f t="shared" si="51"/>
        <v>0</v>
      </c>
      <c r="AE575" s="9">
        <f t="shared" si="52"/>
        <v>0</v>
      </c>
      <c r="AF575" s="9">
        <f t="shared" si="53"/>
        <v>0.78647120000000015</v>
      </c>
      <c r="AG575" s="9">
        <f t="shared" si="54"/>
        <v>7.0598850987432682</v>
      </c>
      <c r="AH575" s="11">
        <f t="shared" si="58"/>
        <v>26.222010000000004</v>
      </c>
      <c r="AI575" s="11">
        <f t="shared" si="58"/>
        <v>52.425110000000011</v>
      </c>
      <c r="AJ575" s="11">
        <f t="shared" si="58"/>
        <v>0</v>
      </c>
      <c r="AK575" s="11">
        <f t="shared" si="58"/>
        <v>0</v>
      </c>
      <c r="AL575" s="11">
        <f t="shared" si="58"/>
        <v>0</v>
      </c>
      <c r="AM575" s="2"/>
      <c r="AN575" s="2"/>
      <c r="AO575" s="2"/>
    </row>
    <row r="576" spans="1:41" x14ac:dyDescent="0.2">
      <c r="A576" s="2" t="s">
        <v>1146</v>
      </c>
      <c r="B576" s="2" t="s">
        <v>1123</v>
      </c>
      <c r="C576" s="2" t="s">
        <v>48</v>
      </c>
      <c r="D576" s="2"/>
      <c r="E576" s="2" t="s">
        <v>50</v>
      </c>
      <c r="F576" s="2" t="s">
        <v>1130</v>
      </c>
      <c r="G576" s="2" t="s">
        <v>64</v>
      </c>
      <c r="H576" s="2">
        <f>11.8+5+1</f>
        <v>17.8</v>
      </c>
      <c r="I576" s="9">
        <f>(1.12*11.8+0.6*5+1*1)/$H576</f>
        <v>0.96719101123595508</v>
      </c>
      <c r="J576" s="9">
        <f>(4.94*11.8+3.5*5+4*1)/$H576</f>
        <v>4.4826966292134829</v>
      </c>
      <c r="K576" s="13">
        <f>(13.6*11.8+8.3*5+9*1)/$H576</f>
        <v>11.852808988764046</v>
      </c>
      <c r="L576" s="13">
        <f>(0.47*11.8+0.4*5+0.4*1)/$H576</f>
        <v>0.44640449438202251</v>
      </c>
      <c r="M576" s="13">
        <f>(0.64*11.8+0.6*5+0.6*1)/$H576</f>
        <v>0.62651685393258416</v>
      </c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9">
        <f t="shared" si="48"/>
        <v>0.17216000000000001</v>
      </c>
      <c r="AB576" s="9">
        <f t="shared" si="49"/>
        <v>0.79791999999999996</v>
      </c>
      <c r="AC576" s="10">
        <f t="shared" si="50"/>
        <v>210.98000000000002</v>
      </c>
      <c r="AD576" s="10">
        <f t="shared" si="51"/>
        <v>11.151999999999999</v>
      </c>
      <c r="AE576" s="9">
        <f t="shared" si="52"/>
        <v>7.9460000000000003E-2</v>
      </c>
      <c r="AF576" s="9">
        <f t="shared" si="53"/>
        <v>1.0495399999999999</v>
      </c>
      <c r="AG576" s="9">
        <f t="shared" si="54"/>
        <v>5.8962921348314605</v>
      </c>
      <c r="AH576" s="11">
        <f t="shared" si="58"/>
        <v>17.216000000000001</v>
      </c>
      <c r="AI576" s="11">
        <f t="shared" si="58"/>
        <v>79.792000000000002</v>
      </c>
      <c r="AJ576" s="11">
        <f t="shared" si="58"/>
        <v>210.98000000000002</v>
      </c>
      <c r="AK576" s="11">
        <f t="shared" si="58"/>
        <v>7.9460000000000006</v>
      </c>
      <c r="AL576" s="11">
        <f t="shared" si="58"/>
        <v>11.151999999999999</v>
      </c>
      <c r="AM576" s="2"/>
      <c r="AN576" s="2"/>
      <c r="AO576" s="2"/>
    </row>
    <row r="577" spans="1:41" x14ac:dyDescent="0.2">
      <c r="A577" s="2" t="s">
        <v>1147</v>
      </c>
      <c r="B577" s="2" t="s">
        <v>1123</v>
      </c>
      <c r="C577" s="16" t="s">
        <v>195</v>
      </c>
      <c r="D577" s="2"/>
      <c r="E577" s="16" t="s">
        <v>196</v>
      </c>
      <c r="F577" s="2" t="s">
        <v>1130</v>
      </c>
      <c r="G577" s="2" t="s">
        <v>1148</v>
      </c>
      <c r="H577" s="2">
        <v>1.1499999999999999</v>
      </c>
      <c r="I577" s="9">
        <v>0.44</v>
      </c>
      <c r="J577" s="9">
        <v>2.2599999999999998</v>
      </c>
      <c r="K577" s="13">
        <v>5.13</v>
      </c>
      <c r="L577" s="13">
        <v>0.23</v>
      </c>
      <c r="M577" s="13">
        <v>0.38</v>
      </c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9">
        <f t="shared" si="48"/>
        <v>5.0600000000000003E-3</v>
      </c>
      <c r="AB577" s="9">
        <f t="shared" si="49"/>
        <v>2.5989999999999999E-2</v>
      </c>
      <c r="AC577" s="10">
        <f t="shared" si="50"/>
        <v>5.8994999999999997</v>
      </c>
      <c r="AD577" s="10">
        <f t="shared" si="51"/>
        <v>0.43699999999999994</v>
      </c>
      <c r="AE577" s="9">
        <f t="shared" si="52"/>
        <v>2.6450000000000002E-3</v>
      </c>
      <c r="AF577" s="9">
        <f t="shared" si="53"/>
        <v>3.3695000000000003E-2</v>
      </c>
      <c r="AG577" s="9">
        <f t="shared" si="54"/>
        <v>2.9299999999999997</v>
      </c>
      <c r="AH577" s="11">
        <f t="shared" si="58"/>
        <v>0.50600000000000001</v>
      </c>
      <c r="AI577" s="11">
        <f t="shared" si="58"/>
        <v>2.5989999999999998</v>
      </c>
      <c r="AJ577" s="11">
        <f t="shared" si="58"/>
        <v>5.8994999999999997</v>
      </c>
      <c r="AK577" s="11">
        <f t="shared" si="58"/>
        <v>0.26450000000000001</v>
      </c>
      <c r="AL577" s="11">
        <f t="shared" si="58"/>
        <v>0.43699999999999994</v>
      </c>
      <c r="AM577" s="2"/>
      <c r="AN577" s="2"/>
      <c r="AO577" s="2"/>
    </row>
    <row r="578" spans="1:41" x14ac:dyDescent="0.2">
      <c r="A578" s="2" t="s">
        <v>1149</v>
      </c>
      <c r="B578" s="2" t="s">
        <v>1123</v>
      </c>
      <c r="C578" s="2" t="s">
        <v>38</v>
      </c>
      <c r="D578" s="2"/>
      <c r="E578" s="7" t="s">
        <v>40</v>
      </c>
      <c r="F578" s="2" t="s">
        <v>41</v>
      </c>
      <c r="G578" s="8" t="s">
        <v>461</v>
      </c>
      <c r="H578" s="2">
        <v>20</v>
      </c>
      <c r="I578" s="2">
        <v>2</v>
      </c>
      <c r="J578" s="2">
        <v>5</v>
      </c>
      <c r="K578" s="2"/>
      <c r="L578" s="2">
        <v>0.5</v>
      </c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9">
        <f t="shared" si="48"/>
        <v>0.4</v>
      </c>
      <c r="AB578" s="9">
        <f t="shared" si="49"/>
        <v>1</v>
      </c>
      <c r="AC578" s="10">
        <f t="shared" si="50"/>
        <v>0</v>
      </c>
      <c r="AD578" s="10">
        <f t="shared" si="51"/>
        <v>0</v>
      </c>
      <c r="AE578" s="9">
        <f t="shared" si="52"/>
        <v>0.1</v>
      </c>
      <c r="AF578" s="9">
        <f t="shared" si="53"/>
        <v>1.5</v>
      </c>
      <c r="AG578" s="9">
        <f t="shared" si="54"/>
        <v>7.5</v>
      </c>
      <c r="AH578" s="11">
        <f t="shared" ref="AH578:AL593" si="59">$H578*I578</f>
        <v>40</v>
      </c>
      <c r="AI578" s="11">
        <f t="shared" si="59"/>
        <v>100</v>
      </c>
      <c r="AJ578" s="11">
        <f t="shared" si="59"/>
        <v>0</v>
      </c>
      <c r="AK578" s="11">
        <f t="shared" si="59"/>
        <v>10</v>
      </c>
      <c r="AL578" s="11">
        <f t="shared" si="59"/>
        <v>0</v>
      </c>
      <c r="AM578" s="2"/>
      <c r="AN578" s="2"/>
      <c r="AO578" s="2"/>
    </row>
    <row r="579" spans="1:41" x14ac:dyDescent="0.2">
      <c r="A579" s="2" t="s">
        <v>1150</v>
      </c>
      <c r="B579" s="2" t="s">
        <v>1151</v>
      </c>
      <c r="C579" s="2" t="s">
        <v>38</v>
      </c>
      <c r="D579" s="2" t="s">
        <v>62</v>
      </c>
      <c r="E579" s="2" t="s">
        <v>50</v>
      </c>
      <c r="F579" s="2" t="s">
        <v>1152</v>
      </c>
      <c r="G579" s="2" t="s">
        <v>1153</v>
      </c>
      <c r="H579" s="2">
        <v>1.58</v>
      </c>
      <c r="I579" s="2"/>
      <c r="J579" s="9">
        <v>4.5</v>
      </c>
      <c r="K579" s="2">
        <v>33.770000000000003</v>
      </c>
      <c r="L579" s="2">
        <v>2.08</v>
      </c>
      <c r="M579" s="2">
        <v>0.56000000000000005</v>
      </c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9">
        <f t="shared" si="48"/>
        <v>0</v>
      </c>
      <c r="AB579" s="9">
        <f t="shared" si="49"/>
        <v>7.1099999999999997E-2</v>
      </c>
      <c r="AC579" s="10">
        <f t="shared" si="50"/>
        <v>53.356600000000007</v>
      </c>
      <c r="AD579" s="10">
        <f t="shared" si="51"/>
        <v>0.88480000000000014</v>
      </c>
      <c r="AE579" s="9">
        <f t="shared" si="52"/>
        <v>3.2864000000000004E-2</v>
      </c>
      <c r="AF579" s="9">
        <f t="shared" si="53"/>
        <v>0.103964</v>
      </c>
      <c r="AG579" s="9">
        <f t="shared" si="54"/>
        <v>6.58</v>
      </c>
      <c r="AH579" s="11">
        <f t="shared" si="59"/>
        <v>0</v>
      </c>
      <c r="AI579" s="11">
        <f t="shared" si="59"/>
        <v>7.11</v>
      </c>
      <c r="AJ579" s="11">
        <f t="shared" si="59"/>
        <v>53.356600000000007</v>
      </c>
      <c r="AK579" s="11">
        <f t="shared" si="59"/>
        <v>3.2864000000000004</v>
      </c>
      <c r="AL579" s="11">
        <f t="shared" si="59"/>
        <v>0.88480000000000014</v>
      </c>
      <c r="AM579" s="2"/>
      <c r="AN579" s="2"/>
      <c r="AO579" s="2"/>
    </row>
    <row r="580" spans="1:41" x14ac:dyDescent="0.2">
      <c r="A580" s="2" t="s">
        <v>1154</v>
      </c>
      <c r="B580" s="2" t="s">
        <v>1155</v>
      </c>
      <c r="C580" s="2" t="s">
        <v>157</v>
      </c>
      <c r="D580" s="2"/>
      <c r="E580" s="7" t="s">
        <v>40</v>
      </c>
      <c r="F580" s="2" t="s">
        <v>41</v>
      </c>
      <c r="G580" s="8" t="s">
        <v>1156</v>
      </c>
      <c r="H580" s="9">
        <f>(0.2034/(1.14/100))</f>
        <v>17.842105263157897</v>
      </c>
      <c r="I580" s="13">
        <v>4</v>
      </c>
      <c r="J580" s="2">
        <v>4.3</v>
      </c>
      <c r="K580" s="2">
        <v>13.2</v>
      </c>
      <c r="L580" s="2">
        <v>1.1399999999999999</v>
      </c>
      <c r="M580" s="2">
        <v>1.93</v>
      </c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9">
        <f t="shared" si="48"/>
        <v>0.71368421052631592</v>
      </c>
      <c r="AB580" s="9">
        <f t="shared" si="49"/>
        <v>0.76721052631578956</v>
      </c>
      <c r="AC580" s="10">
        <f t="shared" si="50"/>
        <v>235.51578947368424</v>
      </c>
      <c r="AD580" s="10">
        <f t="shared" si="51"/>
        <v>34.435263157894738</v>
      </c>
      <c r="AE580" s="9">
        <f t="shared" si="52"/>
        <v>0.2034</v>
      </c>
      <c r="AF580" s="9">
        <f t="shared" si="53"/>
        <v>1.6842947368421055</v>
      </c>
      <c r="AG580" s="9">
        <f t="shared" si="54"/>
        <v>9.4400000000000013</v>
      </c>
      <c r="AH580" s="11">
        <f t="shared" si="59"/>
        <v>71.368421052631589</v>
      </c>
      <c r="AI580" s="11">
        <f t="shared" si="59"/>
        <v>76.721052631578956</v>
      </c>
      <c r="AJ580" s="11">
        <f t="shared" si="59"/>
        <v>235.51578947368424</v>
      </c>
      <c r="AK580" s="11">
        <f t="shared" si="59"/>
        <v>20.34</v>
      </c>
      <c r="AL580" s="11">
        <f t="shared" si="59"/>
        <v>34.435263157894738</v>
      </c>
      <c r="AM580" s="2"/>
      <c r="AN580" s="2"/>
      <c r="AO580" s="2"/>
    </row>
    <row r="581" spans="1:41" x14ac:dyDescent="0.2">
      <c r="A581" s="2" t="s">
        <v>1157</v>
      </c>
      <c r="B581" s="2" t="s">
        <v>1155</v>
      </c>
      <c r="C581" s="2" t="s">
        <v>608</v>
      </c>
      <c r="D581" s="2"/>
      <c r="E581" s="2" t="s">
        <v>50</v>
      </c>
      <c r="F581" s="2" t="s">
        <v>1158</v>
      </c>
      <c r="G581" s="2" t="s">
        <v>615</v>
      </c>
      <c r="H581" s="12">
        <v>1.58223</v>
      </c>
      <c r="I581" s="2">
        <v>0.52</v>
      </c>
      <c r="J581" s="2"/>
      <c r="K581" s="2">
        <v>48.05</v>
      </c>
      <c r="L581" s="2">
        <v>1.49</v>
      </c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>
        <v>0.12</v>
      </c>
      <c r="Z581" s="2" t="s">
        <v>698</v>
      </c>
      <c r="AA581" s="9">
        <f t="shared" si="48"/>
        <v>8.2275960000000002E-3</v>
      </c>
      <c r="AB581" s="9">
        <f t="shared" si="49"/>
        <v>0</v>
      </c>
      <c r="AC581" s="10">
        <f t="shared" si="50"/>
        <v>76.026151499999997</v>
      </c>
      <c r="AD581" s="10">
        <f t="shared" si="51"/>
        <v>0</v>
      </c>
      <c r="AE581" s="9">
        <f t="shared" si="52"/>
        <v>2.3575227000000001E-2</v>
      </c>
      <c r="AF581" s="9">
        <f t="shared" si="53"/>
        <v>3.1802823000000001E-2</v>
      </c>
      <c r="AG581" s="9">
        <f t="shared" si="54"/>
        <v>2.0099999999999998</v>
      </c>
      <c r="AH581" s="11">
        <f t="shared" si="59"/>
        <v>0.82275960000000004</v>
      </c>
      <c r="AI581" s="11">
        <f t="shared" si="59"/>
        <v>0</v>
      </c>
      <c r="AJ581" s="11">
        <f t="shared" si="59"/>
        <v>76.026151499999997</v>
      </c>
      <c r="AK581" s="11">
        <f t="shared" si="59"/>
        <v>2.3575227000000001</v>
      </c>
      <c r="AL581" s="11">
        <f t="shared" si="59"/>
        <v>0</v>
      </c>
      <c r="AM581" s="2"/>
      <c r="AN581" s="2"/>
      <c r="AO581" s="2"/>
    </row>
    <row r="582" spans="1:41" x14ac:dyDescent="0.2">
      <c r="A582" s="2" t="s">
        <v>1159</v>
      </c>
      <c r="B582" s="2" t="s">
        <v>1160</v>
      </c>
      <c r="C582" s="2" t="s">
        <v>166</v>
      </c>
      <c r="D582" s="2" t="s">
        <v>361</v>
      </c>
      <c r="E582" s="2" t="s">
        <v>50</v>
      </c>
      <c r="F582" s="2" t="s">
        <v>1161</v>
      </c>
      <c r="G582" s="2" t="s">
        <v>106</v>
      </c>
      <c r="H582" s="2">
        <v>0.9</v>
      </c>
      <c r="I582" s="2">
        <v>1.9</v>
      </c>
      <c r="J582" s="2">
        <v>9</v>
      </c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9">
        <f t="shared" si="48"/>
        <v>1.7100000000000001E-2</v>
      </c>
      <c r="AB582" s="9">
        <f t="shared" si="49"/>
        <v>8.1000000000000003E-2</v>
      </c>
      <c r="AC582" s="10">
        <f t="shared" si="50"/>
        <v>0</v>
      </c>
      <c r="AD582" s="10">
        <f t="shared" si="51"/>
        <v>0</v>
      </c>
      <c r="AE582" s="9">
        <f t="shared" si="52"/>
        <v>0</v>
      </c>
      <c r="AF582" s="9">
        <f t="shared" si="53"/>
        <v>9.8100000000000007E-2</v>
      </c>
      <c r="AG582" s="9">
        <f t="shared" si="54"/>
        <v>10.9</v>
      </c>
      <c r="AH582" s="11">
        <f t="shared" si="59"/>
        <v>1.71</v>
      </c>
      <c r="AI582" s="11">
        <f t="shared" si="59"/>
        <v>8.1</v>
      </c>
      <c r="AJ582" s="11">
        <f t="shared" si="59"/>
        <v>0</v>
      </c>
      <c r="AK582" s="11">
        <f t="shared" si="59"/>
        <v>0</v>
      </c>
      <c r="AL582" s="11">
        <f t="shared" si="59"/>
        <v>0</v>
      </c>
      <c r="AM582" s="2"/>
      <c r="AN582" s="2"/>
      <c r="AO582" s="2"/>
    </row>
    <row r="583" spans="1:41" x14ac:dyDescent="0.2">
      <c r="A583" s="2" t="s">
        <v>1162</v>
      </c>
      <c r="B583" s="2" t="s">
        <v>1160</v>
      </c>
      <c r="C583" s="2" t="s">
        <v>38</v>
      </c>
      <c r="D583" s="2" t="s">
        <v>39</v>
      </c>
      <c r="E583" s="2" t="s">
        <v>50</v>
      </c>
      <c r="F583" s="2" t="s">
        <v>1161</v>
      </c>
      <c r="G583" s="2" t="s">
        <v>106</v>
      </c>
      <c r="H583" s="2">
        <v>2.1</v>
      </c>
      <c r="I583" s="2">
        <v>1.2</v>
      </c>
      <c r="J583" s="2">
        <v>7.2</v>
      </c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9">
        <f t="shared" si="48"/>
        <v>2.52E-2</v>
      </c>
      <c r="AB583" s="9">
        <f t="shared" si="49"/>
        <v>0.1512</v>
      </c>
      <c r="AC583" s="10">
        <f t="shared" si="50"/>
        <v>0</v>
      </c>
      <c r="AD583" s="10">
        <f t="shared" si="51"/>
        <v>0</v>
      </c>
      <c r="AE583" s="9">
        <f t="shared" si="52"/>
        <v>0</v>
      </c>
      <c r="AF583" s="9">
        <f t="shared" si="53"/>
        <v>0.1764</v>
      </c>
      <c r="AG583" s="9">
        <f t="shared" si="54"/>
        <v>8.4</v>
      </c>
      <c r="AH583" s="11">
        <f t="shared" si="59"/>
        <v>2.52</v>
      </c>
      <c r="AI583" s="11">
        <f t="shared" si="59"/>
        <v>15.120000000000001</v>
      </c>
      <c r="AJ583" s="11">
        <f t="shared" si="59"/>
        <v>0</v>
      </c>
      <c r="AK583" s="11">
        <f t="shared" si="59"/>
        <v>0</v>
      </c>
      <c r="AL583" s="11">
        <f t="shared" si="59"/>
        <v>0</v>
      </c>
      <c r="AM583" s="2"/>
      <c r="AN583" s="2"/>
      <c r="AO583" s="2"/>
    </row>
    <row r="584" spans="1:41" x14ac:dyDescent="0.2">
      <c r="A584" s="2" t="s">
        <v>1163</v>
      </c>
      <c r="B584" s="2" t="s">
        <v>1164</v>
      </c>
      <c r="C584" s="2" t="s">
        <v>54</v>
      </c>
      <c r="D584" s="2" t="s">
        <v>1165</v>
      </c>
      <c r="E584" s="2" t="s">
        <v>50</v>
      </c>
      <c r="F584" s="2" t="s">
        <v>1166</v>
      </c>
      <c r="G584" s="2" t="s">
        <v>1167</v>
      </c>
      <c r="H584" s="2">
        <v>6.6360000000000001</v>
      </c>
      <c r="I584" s="9">
        <v>0.438</v>
      </c>
      <c r="J584" s="2">
        <v>2.63</v>
      </c>
      <c r="K584" s="2"/>
      <c r="L584" s="2">
        <v>1.39</v>
      </c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9">
        <f t="shared" si="48"/>
        <v>2.906568E-2</v>
      </c>
      <c r="AB584" s="9">
        <f t="shared" si="49"/>
        <v>0.17452680000000001</v>
      </c>
      <c r="AC584" s="10">
        <f t="shared" si="50"/>
        <v>0</v>
      </c>
      <c r="AD584" s="10">
        <f t="shared" si="51"/>
        <v>0</v>
      </c>
      <c r="AE584" s="9">
        <f t="shared" si="52"/>
        <v>9.2240399999999986E-2</v>
      </c>
      <c r="AF584" s="9">
        <f t="shared" si="53"/>
        <v>0.29583288000000002</v>
      </c>
      <c r="AG584" s="9">
        <f t="shared" si="54"/>
        <v>4.4580000000000002</v>
      </c>
      <c r="AH584" s="11">
        <f t="shared" si="59"/>
        <v>2.906568</v>
      </c>
      <c r="AI584" s="11">
        <f t="shared" si="59"/>
        <v>17.452680000000001</v>
      </c>
      <c r="AJ584" s="11">
        <f t="shared" si="59"/>
        <v>0</v>
      </c>
      <c r="AK584" s="11">
        <f t="shared" si="59"/>
        <v>9.2240399999999987</v>
      </c>
      <c r="AL584" s="11">
        <f t="shared" si="59"/>
        <v>0</v>
      </c>
      <c r="AM584" s="2"/>
      <c r="AN584" s="2"/>
      <c r="AO584" s="2"/>
    </row>
    <row r="585" spans="1:41" x14ac:dyDescent="0.2">
      <c r="A585" s="2" t="s">
        <v>1168</v>
      </c>
      <c r="B585" s="2" t="s">
        <v>1164</v>
      </c>
      <c r="C585" s="2" t="s">
        <v>1169</v>
      </c>
      <c r="D585" s="2"/>
      <c r="E585" s="2" t="s">
        <v>50</v>
      </c>
      <c r="F585" s="2" t="s">
        <v>1170</v>
      </c>
      <c r="G585" s="2" t="s">
        <v>1171</v>
      </c>
      <c r="H585" s="2">
        <f>92.398+432.112+80.175</f>
        <v>604.68499999999995</v>
      </c>
      <c r="I585" s="2"/>
      <c r="J585" s="9">
        <f>(0.44*92.398+0.57*432.112+0.45*80.175)/$H585</f>
        <v>0.53422477819029746</v>
      </c>
      <c r="K585" s="9">
        <f>(3.86*92.398+4.07*432.112+3.11*80.175)/$H585</f>
        <v>3.9106251519386142</v>
      </c>
      <c r="L585" s="9">
        <f>(0.47*92.398+0.38*432.112+0.38*80.175)/$H585</f>
        <v>0.3937523173222422</v>
      </c>
      <c r="M585" s="9">
        <f>(0.05*92.398+0.03*432.112+0.02*80.175)/$H585</f>
        <v>3.1730173561441082E-2</v>
      </c>
      <c r="N585" s="2"/>
      <c r="O585" s="2"/>
      <c r="P585" s="2"/>
      <c r="Q585" s="2"/>
      <c r="R585" s="2"/>
      <c r="S585" s="12">
        <f>(0.008*92.398+0.008*432.112+0.007*80.175)/$H585</f>
        <v>7.8674103045387276E-3</v>
      </c>
      <c r="T585" s="2"/>
      <c r="U585" s="2"/>
      <c r="V585" s="2"/>
      <c r="W585" s="2"/>
      <c r="X585" s="2"/>
      <c r="Y585" s="2"/>
      <c r="Z585" s="2"/>
      <c r="AA585" s="9">
        <f t="shared" si="48"/>
        <v>0</v>
      </c>
      <c r="AB585" s="9">
        <f t="shared" si="49"/>
        <v>3.2303771000000001</v>
      </c>
      <c r="AC585" s="10">
        <f t="shared" si="50"/>
        <v>2364.6963700000006</v>
      </c>
      <c r="AD585" s="10">
        <f t="shared" si="51"/>
        <v>19.18676</v>
      </c>
      <c r="AE585" s="9">
        <f t="shared" si="52"/>
        <v>2.3809612000000002</v>
      </c>
      <c r="AF585" s="9">
        <f t="shared" si="53"/>
        <v>5.6113382999999999</v>
      </c>
      <c r="AG585" s="9">
        <f t="shared" si="54"/>
        <v>0.92797709551253971</v>
      </c>
      <c r="AH585" s="11">
        <f t="shared" si="59"/>
        <v>0</v>
      </c>
      <c r="AI585" s="11">
        <f t="shared" si="59"/>
        <v>323.03771</v>
      </c>
      <c r="AJ585" s="11">
        <f t="shared" si="59"/>
        <v>2364.6963700000006</v>
      </c>
      <c r="AK585" s="11">
        <f t="shared" si="59"/>
        <v>238.09612000000001</v>
      </c>
      <c r="AL585" s="11">
        <f t="shared" si="59"/>
        <v>19.18676</v>
      </c>
      <c r="AM585" s="2"/>
      <c r="AN585" s="2"/>
      <c r="AO585" s="2"/>
    </row>
    <row r="586" spans="1:41" x14ac:dyDescent="0.2">
      <c r="A586" s="2" t="s">
        <v>1172</v>
      </c>
      <c r="B586" s="2" t="s">
        <v>1164</v>
      </c>
      <c r="C586" s="2" t="s">
        <v>157</v>
      </c>
      <c r="D586" s="2"/>
      <c r="E586" s="2" t="s">
        <v>50</v>
      </c>
      <c r="F586" s="2" t="s">
        <v>1173</v>
      </c>
      <c r="G586" s="2" t="s">
        <v>389</v>
      </c>
      <c r="H586" s="2">
        <f>10.62+0.43</f>
        <v>11.049999999999999</v>
      </c>
      <c r="I586" s="9">
        <f>(2*10.62+1.73*0.43)/$H586</f>
        <v>1.9894932126696834</v>
      </c>
      <c r="J586" s="9">
        <f>(2.13*10.62+1.44*0.43)/$H586</f>
        <v>2.1031493212669683</v>
      </c>
      <c r="K586" s="13">
        <f>(53.81*10.62+46.39*0.43)/$H586</f>
        <v>53.521257918552038</v>
      </c>
      <c r="L586" s="9">
        <f>(0.19*10.62+0.18*0.43)/$H586</f>
        <v>0.18961085972850678</v>
      </c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9">
        <f t="shared" si="48"/>
        <v>0.21983899999999998</v>
      </c>
      <c r="AB586" s="9">
        <f t="shared" si="49"/>
        <v>0.23239799999999999</v>
      </c>
      <c r="AC586" s="10">
        <f t="shared" si="50"/>
        <v>591.40989999999999</v>
      </c>
      <c r="AD586" s="10">
        <f t="shared" si="51"/>
        <v>0</v>
      </c>
      <c r="AE586" s="9">
        <f t="shared" si="52"/>
        <v>2.0951999999999998E-2</v>
      </c>
      <c r="AF586" s="9">
        <f t="shared" si="53"/>
        <v>0.47318899999999997</v>
      </c>
      <c r="AG586" s="9">
        <f t="shared" si="54"/>
        <v>4.282253393665159</v>
      </c>
      <c r="AH586" s="11">
        <f t="shared" si="59"/>
        <v>21.983899999999998</v>
      </c>
      <c r="AI586" s="11">
        <f t="shared" si="59"/>
        <v>23.239799999999999</v>
      </c>
      <c r="AJ586" s="11">
        <f t="shared" si="59"/>
        <v>591.40989999999999</v>
      </c>
      <c r="AK586" s="11">
        <f t="shared" si="59"/>
        <v>2.0951999999999997</v>
      </c>
      <c r="AL586" s="11">
        <f t="shared" si="59"/>
        <v>0</v>
      </c>
      <c r="AM586" s="2"/>
      <c r="AN586" s="2"/>
      <c r="AO586" s="2"/>
    </row>
    <row r="587" spans="1:41" x14ac:dyDescent="0.2">
      <c r="A587" s="2" t="s">
        <v>1174</v>
      </c>
      <c r="B587" s="2" t="s">
        <v>1164</v>
      </c>
      <c r="C587" s="2" t="s">
        <v>157</v>
      </c>
      <c r="D587" s="2"/>
      <c r="E587" s="2" t="s">
        <v>50</v>
      </c>
      <c r="F587" s="2" t="s">
        <v>1175</v>
      </c>
      <c r="G587" s="2" t="s">
        <v>106</v>
      </c>
      <c r="H587" s="2">
        <v>6.1420000000000003</v>
      </c>
      <c r="I587" s="2">
        <v>0.55000000000000004</v>
      </c>
      <c r="J587" s="2">
        <v>6.11</v>
      </c>
      <c r="K587" s="13">
        <v>40.25</v>
      </c>
      <c r="L587" s="2">
        <v>0.32</v>
      </c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9">
        <f t="shared" si="48"/>
        <v>3.3781000000000005E-2</v>
      </c>
      <c r="AB587" s="9">
        <f t="shared" si="49"/>
        <v>0.37527620000000006</v>
      </c>
      <c r="AC587" s="10">
        <f t="shared" si="50"/>
        <v>247.21550000000002</v>
      </c>
      <c r="AD587" s="10">
        <f t="shared" si="51"/>
        <v>0</v>
      </c>
      <c r="AE587" s="9">
        <f t="shared" si="52"/>
        <v>1.9654400000000002E-2</v>
      </c>
      <c r="AF587" s="9">
        <f t="shared" si="53"/>
        <v>0.42871160000000008</v>
      </c>
      <c r="AG587" s="9">
        <f t="shared" si="54"/>
        <v>6.98</v>
      </c>
      <c r="AH587" s="11">
        <f t="shared" si="59"/>
        <v>3.3781000000000003</v>
      </c>
      <c r="AI587" s="11">
        <f t="shared" si="59"/>
        <v>37.527620000000006</v>
      </c>
      <c r="AJ587" s="11">
        <f t="shared" si="59"/>
        <v>247.21550000000002</v>
      </c>
      <c r="AK587" s="11">
        <f t="shared" si="59"/>
        <v>1.9654400000000001</v>
      </c>
      <c r="AL587" s="11">
        <f t="shared" si="59"/>
        <v>0</v>
      </c>
      <c r="AM587" s="2"/>
      <c r="AN587" s="2"/>
      <c r="AO587" s="2"/>
    </row>
    <row r="588" spans="1:41" x14ac:dyDescent="0.2">
      <c r="A588" s="2" t="s">
        <v>1176</v>
      </c>
      <c r="B588" s="2" t="s">
        <v>1164</v>
      </c>
      <c r="C588" s="2" t="s">
        <v>489</v>
      </c>
      <c r="D588" s="2"/>
      <c r="E588" s="2" t="s">
        <v>50</v>
      </c>
      <c r="F588" s="2" t="s">
        <v>1177</v>
      </c>
      <c r="G588" s="2" t="s">
        <v>1178</v>
      </c>
      <c r="H588" s="2">
        <f>85.82+178.86+159.85</f>
        <v>424.53</v>
      </c>
      <c r="I588" s="2"/>
      <c r="J588" s="9">
        <f>(0.5*85.82+0.71*178.86+0.7*159.85)/H588</f>
        <v>0.66378253598096715</v>
      </c>
      <c r="K588" s="13"/>
      <c r="L588" s="9">
        <f>(0.82*85.82+0.74*178.86+0.47*159.85)/H588</f>
        <v>0.65450804419004549</v>
      </c>
      <c r="M588" s="2"/>
      <c r="N588" s="2"/>
      <c r="O588" s="2"/>
      <c r="P588" s="12">
        <f>(0.074*85.82+0.053*178.86+0.045*159.85)/H588</f>
        <v>5.4232939957129057E-2</v>
      </c>
      <c r="Q588" s="2"/>
      <c r="R588" s="2"/>
      <c r="S588" s="2"/>
      <c r="T588" s="2"/>
      <c r="U588" s="2"/>
      <c r="V588" s="2"/>
      <c r="W588" s="2"/>
      <c r="X588" s="2"/>
      <c r="Y588" s="9">
        <f>(3.04*85.82+3.32*178.86+2.93*159.85)/H588</f>
        <v>3.116548889359998</v>
      </c>
      <c r="Z588" s="2" t="s">
        <v>1179</v>
      </c>
      <c r="AA588" s="9">
        <f t="shared" si="48"/>
        <v>0</v>
      </c>
      <c r="AB588" s="9">
        <f t="shared" si="49"/>
        <v>2.8179559999999997</v>
      </c>
      <c r="AC588" s="10">
        <f t="shared" si="50"/>
        <v>0</v>
      </c>
      <c r="AD588" s="10">
        <f t="shared" si="51"/>
        <v>0</v>
      </c>
      <c r="AE588" s="9">
        <f t="shared" si="52"/>
        <v>2.7785829999999998</v>
      </c>
      <c r="AF588" s="9">
        <f t="shared" si="53"/>
        <v>5.5965389999999999</v>
      </c>
      <c r="AG588" s="9">
        <f t="shared" si="54"/>
        <v>1.3182905801710127</v>
      </c>
      <c r="AH588" s="11">
        <f t="shared" si="59"/>
        <v>0</v>
      </c>
      <c r="AI588" s="11">
        <f t="shared" si="59"/>
        <v>281.79559999999998</v>
      </c>
      <c r="AJ588" s="11">
        <f t="shared" si="59"/>
        <v>0</v>
      </c>
      <c r="AK588" s="11">
        <f t="shared" si="59"/>
        <v>277.85829999999999</v>
      </c>
      <c r="AL588" s="11">
        <f t="shared" si="59"/>
        <v>0</v>
      </c>
      <c r="AM588" s="2"/>
      <c r="AN588" s="2"/>
      <c r="AO588" s="2"/>
    </row>
    <row r="589" spans="1:41" x14ac:dyDescent="0.2">
      <c r="A589" s="2" t="s">
        <v>1180</v>
      </c>
      <c r="B589" s="2" t="s">
        <v>1164</v>
      </c>
      <c r="C589" s="2" t="s">
        <v>157</v>
      </c>
      <c r="D589" s="2"/>
      <c r="E589" s="2" t="s">
        <v>50</v>
      </c>
      <c r="F589" s="2" t="s">
        <v>1181</v>
      </c>
      <c r="G589" s="2" t="s">
        <v>626</v>
      </c>
      <c r="H589" s="2">
        <f>12.927+12.611+9.12</f>
        <v>34.658000000000001</v>
      </c>
      <c r="I589" s="2"/>
      <c r="J589" s="9">
        <f>(0.76*12.927+0.75*12.611+0.74*9.12)/$H589</f>
        <v>0.75109844768884526</v>
      </c>
      <c r="K589" s="13">
        <f>(17.8*12.927+11.9*12.611+15.1*9.12)/$H589</f>
        <v>14.942682786081136</v>
      </c>
      <c r="L589" s="9">
        <f>(0.72*12.927+0.52*12.611+1.27*9.12)/$H589</f>
        <v>0.79195452709331171</v>
      </c>
      <c r="M589" s="13">
        <f>(0.2*12.927+0.2*12.611+0.2*9.12)/$H589</f>
        <v>0.19999999999999998</v>
      </c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9">
        <f t="shared" si="48"/>
        <v>0</v>
      </c>
      <c r="AB589" s="9">
        <f t="shared" si="49"/>
        <v>0.26031569999999998</v>
      </c>
      <c r="AC589" s="10">
        <f t="shared" si="50"/>
        <v>517.88350000000003</v>
      </c>
      <c r="AD589" s="10">
        <f t="shared" si="51"/>
        <v>6.9315999999999995</v>
      </c>
      <c r="AE589" s="9">
        <f t="shared" si="52"/>
        <v>0.27447559999999999</v>
      </c>
      <c r="AF589" s="9">
        <f t="shared" si="53"/>
        <v>0.53479129999999997</v>
      </c>
      <c r="AG589" s="9">
        <f t="shared" si="54"/>
        <v>1.5430529747821571</v>
      </c>
      <c r="AH589" s="11">
        <f t="shared" si="59"/>
        <v>0</v>
      </c>
      <c r="AI589" s="11">
        <f t="shared" si="59"/>
        <v>26.031569999999999</v>
      </c>
      <c r="AJ589" s="11">
        <f t="shared" si="59"/>
        <v>517.88350000000003</v>
      </c>
      <c r="AK589" s="11">
        <f t="shared" si="59"/>
        <v>27.447559999999999</v>
      </c>
      <c r="AL589" s="11">
        <f t="shared" si="59"/>
        <v>6.9315999999999995</v>
      </c>
      <c r="AM589" s="2"/>
      <c r="AN589" s="2"/>
      <c r="AO589" s="2"/>
    </row>
    <row r="590" spans="1:41" x14ac:dyDescent="0.2">
      <c r="A590" s="2" t="s">
        <v>1182</v>
      </c>
      <c r="B590" s="2" t="s">
        <v>1164</v>
      </c>
      <c r="C590" s="2" t="s">
        <v>608</v>
      </c>
      <c r="D590" s="2"/>
      <c r="E590" s="2" t="s">
        <v>50</v>
      </c>
      <c r="F590" s="2" t="s">
        <v>1183</v>
      </c>
      <c r="G590" s="2" t="s">
        <v>1167</v>
      </c>
      <c r="H590" s="2">
        <v>36</v>
      </c>
      <c r="I590" s="2"/>
      <c r="J590" s="2">
        <v>3.3</v>
      </c>
      <c r="K590" s="2">
        <v>29</v>
      </c>
      <c r="L590" s="2">
        <v>0.69</v>
      </c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9">
        <f t="shared" si="48"/>
        <v>0</v>
      </c>
      <c r="AB590" s="9">
        <f t="shared" si="49"/>
        <v>1.1879999999999999</v>
      </c>
      <c r="AC590" s="10">
        <f t="shared" si="50"/>
        <v>1044</v>
      </c>
      <c r="AD590" s="10">
        <f t="shared" si="51"/>
        <v>0</v>
      </c>
      <c r="AE590" s="9">
        <f t="shared" si="52"/>
        <v>0.24839999999999995</v>
      </c>
      <c r="AF590" s="9">
        <f t="shared" si="53"/>
        <v>1.4363999999999999</v>
      </c>
      <c r="AG590" s="9">
        <f t="shared" si="54"/>
        <v>3.9899999999999998</v>
      </c>
      <c r="AH590" s="11">
        <f t="shared" si="59"/>
        <v>0</v>
      </c>
      <c r="AI590" s="11">
        <f t="shared" si="59"/>
        <v>118.8</v>
      </c>
      <c r="AJ590" s="11">
        <f t="shared" si="59"/>
        <v>1044</v>
      </c>
      <c r="AK590" s="11">
        <f t="shared" si="59"/>
        <v>24.839999999999996</v>
      </c>
      <c r="AL590" s="11">
        <f t="shared" si="59"/>
        <v>0</v>
      </c>
      <c r="AM590" s="2"/>
      <c r="AN590" s="2"/>
      <c r="AO590" s="2"/>
    </row>
    <row r="591" spans="1:41" x14ac:dyDescent="0.2">
      <c r="A591" s="2" t="s">
        <v>1184</v>
      </c>
      <c r="B591" s="2" t="s">
        <v>1164</v>
      </c>
      <c r="C591" s="2" t="s">
        <v>157</v>
      </c>
      <c r="D591" s="2"/>
      <c r="E591" s="2" t="s">
        <v>50</v>
      </c>
      <c r="F591" s="2" t="s">
        <v>1185</v>
      </c>
      <c r="G591" s="2" t="s">
        <v>106</v>
      </c>
      <c r="H591" s="9">
        <f>182.94+181.04</f>
        <v>363.98</v>
      </c>
      <c r="I591" s="9">
        <f>(0.08*182.94+0.07*181.04)/$H591</f>
        <v>7.5026100335183254E-2</v>
      </c>
      <c r="J591" s="9">
        <f>(0.26*182.94+0.26*181.04)/$H591</f>
        <v>0.26</v>
      </c>
      <c r="K591" s="13">
        <f>(9.63*182.94+7.25*181.04)/$H591</f>
        <v>8.4462118797736139</v>
      </c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9">
        <f t="shared" si="48"/>
        <v>0.27308000000000004</v>
      </c>
      <c r="AB591" s="9">
        <f t="shared" si="49"/>
        <v>0.94634800000000008</v>
      </c>
      <c r="AC591" s="10">
        <f t="shared" si="50"/>
        <v>3074.2522000000004</v>
      </c>
      <c r="AD591" s="10">
        <f t="shared" si="51"/>
        <v>0</v>
      </c>
      <c r="AE591" s="9">
        <f t="shared" si="52"/>
        <v>0</v>
      </c>
      <c r="AF591" s="9">
        <f t="shared" si="53"/>
        <v>1.2194280000000002</v>
      </c>
      <c r="AG591" s="9">
        <f t="shared" si="54"/>
        <v>0.33502610033518326</v>
      </c>
      <c r="AH591" s="11">
        <f t="shared" si="59"/>
        <v>27.308000000000003</v>
      </c>
      <c r="AI591" s="11">
        <f t="shared" si="59"/>
        <v>94.634800000000013</v>
      </c>
      <c r="AJ591" s="11">
        <f t="shared" si="59"/>
        <v>3074.2522000000004</v>
      </c>
      <c r="AK591" s="11">
        <f t="shared" si="59"/>
        <v>0</v>
      </c>
      <c r="AL591" s="11">
        <f t="shared" si="59"/>
        <v>0</v>
      </c>
      <c r="AM591" s="2"/>
      <c r="AN591" s="2"/>
      <c r="AO591" s="2"/>
    </row>
    <row r="592" spans="1:41" x14ac:dyDescent="0.2">
      <c r="A592" s="2" t="s">
        <v>1186</v>
      </c>
      <c r="B592" s="2" t="s">
        <v>1164</v>
      </c>
      <c r="C592" s="2" t="s">
        <v>48</v>
      </c>
      <c r="D592" s="2"/>
      <c r="E592" s="2" t="s">
        <v>50</v>
      </c>
      <c r="F592" s="2" t="s">
        <v>657</v>
      </c>
      <c r="G592" s="2" t="s">
        <v>64</v>
      </c>
      <c r="H592" s="9">
        <f>10.26+6.7+2.14</f>
        <v>19.100000000000001</v>
      </c>
      <c r="I592" s="9">
        <f>(0.9*10.26+0.84*6.7+0.81*2.14)/$H592</f>
        <v>0.86886910994764399</v>
      </c>
      <c r="J592" s="9">
        <f>(4.31*10.26+3.14*6.7+2.44*2.14)/$H592</f>
        <v>3.6900628272251303</v>
      </c>
      <c r="K592" s="14">
        <f>(114*10.26+110*6.7+105*2.14)/$H592</f>
        <v>111.58848167539264</v>
      </c>
      <c r="L592" s="9">
        <f>(0.73*10.26+0.71*6.7+0.71*2.14)/$H592</f>
        <v>0.72074345549738217</v>
      </c>
      <c r="M592" s="9">
        <f>(1.34*10.26+1.72*6.7+1.88*2.14)/$H592</f>
        <v>1.5338010471204186</v>
      </c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9">
        <f t="shared" si="48"/>
        <v>0.16595400000000002</v>
      </c>
      <c r="AB592" s="9">
        <f t="shared" si="49"/>
        <v>0.70480199999999993</v>
      </c>
      <c r="AC592" s="10">
        <f t="shared" si="50"/>
        <v>2131.3399999999997</v>
      </c>
      <c r="AD592" s="10">
        <f t="shared" si="51"/>
        <v>29.295599999999997</v>
      </c>
      <c r="AE592" s="9">
        <f t="shared" si="52"/>
        <v>0.13766200000000001</v>
      </c>
      <c r="AF592" s="9">
        <f t="shared" si="53"/>
        <v>1.008418</v>
      </c>
      <c r="AG592" s="9">
        <f t="shared" si="54"/>
        <v>5.279675392670157</v>
      </c>
      <c r="AH592" s="11">
        <f t="shared" si="59"/>
        <v>16.595400000000001</v>
      </c>
      <c r="AI592" s="11">
        <f t="shared" si="59"/>
        <v>70.480199999999996</v>
      </c>
      <c r="AJ592" s="11">
        <f t="shared" si="59"/>
        <v>2131.3399999999997</v>
      </c>
      <c r="AK592" s="11">
        <f t="shared" si="59"/>
        <v>13.766200000000001</v>
      </c>
      <c r="AL592" s="11">
        <f t="shared" si="59"/>
        <v>29.295599999999997</v>
      </c>
      <c r="AM592" s="2"/>
      <c r="AN592" s="2"/>
      <c r="AO592" s="2"/>
    </row>
    <row r="593" spans="1:41" x14ac:dyDescent="0.2">
      <c r="A593" s="2" t="s">
        <v>1187</v>
      </c>
      <c r="B593" s="2" t="s">
        <v>1164</v>
      </c>
      <c r="C593" s="2" t="s">
        <v>48</v>
      </c>
      <c r="D593" s="2"/>
      <c r="E593" s="2" t="s">
        <v>50</v>
      </c>
      <c r="F593" s="2" t="s">
        <v>1188</v>
      </c>
      <c r="G593" s="2" t="s">
        <v>1189</v>
      </c>
      <c r="H593" s="12">
        <f>3.104944+1.807302+0.371066</f>
        <v>5.2833119999999996</v>
      </c>
      <c r="I593" s="9">
        <f>(0.33*3.104944+0.36*1.807302+0.28*0.371066)/$H593</f>
        <v>0.33675064429282242</v>
      </c>
      <c r="J593" s="9">
        <f>(0.93*3.104944+0.8*1.807302+0.71*0.371066)/$H593</f>
        <v>0.87007853785655676</v>
      </c>
      <c r="K593" s="13">
        <f>(46.46*3.104944+44.5*1.807302+36.54*0.371066)/$H593</f>
        <v>45.092810888321573</v>
      </c>
      <c r="L593" s="9">
        <f>(0.06*3.104944+0.07*1.807302+0.06*0.371066)/$H593</f>
        <v>6.3420774695872609E-2</v>
      </c>
      <c r="M593" s="9">
        <f>(0.19*3.104944+0.199*1.807302+0.161*0.371066)/$H593</f>
        <v>0.19104192294530403</v>
      </c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9">
        <f t="shared" si="48"/>
        <v>1.77915872E-2</v>
      </c>
      <c r="AB593" s="9">
        <f t="shared" si="49"/>
        <v>4.5968963800000005E-2</v>
      </c>
      <c r="AC593" s="10">
        <f t="shared" si="50"/>
        <v>238.23938888000001</v>
      </c>
      <c r="AD593" s="10">
        <f t="shared" si="51"/>
        <v>1.009334084</v>
      </c>
      <c r="AE593" s="9">
        <f t="shared" si="52"/>
        <v>3.3507174000000006E-3</v>
      </c>
      <c r="AF593" s="9">
        <f t="shared" si="53"/>
        <v>6.7111268399999993E-2</v>
      </c>
      <c r="AG593" s="9">
        <f t="shared" si="54"/>
        <v>1.2702499568452517</v>
      </c>
      <c r="AH593" s="11">
        <f t="shared" si="59"/>
        <v>1.7791587200000001</v>
      </c>
      <c r="AI593" s="11">
        <f t="shared" si="59"/>
        <v>4.5968963800000004</v>
      </c>
      <c r="AJ593" s="11">
        <f t="shared" si="59"/>
        <v>238.23938888000001</v>
      </c>
      <c r="AK593" s="11">
        <f t="shared" si="59"/>
        <v>0.33507174000000006</v>
      </c>
      <c r="AL593" s="11">
        <f t="shared" si="59"/>
        <v>1.009334084</v>
      </c>
      <c r="AM593" s="2"/>
      <c r="AN593" s="2"/>
      <c r="AO593" s="2"/>
    </row>
    <row r="594" spans="1:41" x14ac:dyDescent="0.2">
      <c r="A594" s="2" t="s">
        <v>1190</v>
      </c>
      <c r="B594" s="2" t="s">
        <v>1164</v>
      </c>
      <c r="C594" s="2" t="s">
        <v>54</v>
      </c>
      <c r="D594" s="2" t="s">
        <v>1191</v>
      </c>
      <c r="E594" s="2" t="s">
        <v>50</v>
      </c>
      <c r="F594" s="2" t="s">
        <v>1192</v>
      </c>
      <c r="G594" s="2" t="s">
        <v>719</v>
      </c>
      <c r="H594" s="2">
        <f>1.97+10.38+10.806</f>
        <v>23.155999999999999</v>
      </c>
      <c r="I594" s="9">
        <f>(0.11*1.97+0.2*10.38+0.29*10.806)/$H594</f>
        <v>0.23434271894973224</v>
      </c>
      <c r="J594" s="9">
        <f>(0.26*1.97+0.55*10.38+0.82*10.806)/$H594</f>
        <v>0.65132665399896361</v>
      </c>
      <c r="K594" s="13">
        <f>(19.99*1.97+13.52*10.38+11.21*10.806)/$H594</f>
        <v>12.992449473138713</v>
      </c>
      <c r="L594" s="2"/>
      <c r="M594" s="9">
        <f>(0.91*1.97+0.53*10.38+0.38*10.806)/$H594</f>
        <v>0.49232941786146145</v>
      </c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9">
        <f t="shared" si="48"/>
        <v>5.4264399999999997E-2</v>
      </c>
      <c r="AB594" s="9">
        <f t="shared" si="49"/>
        <v>0.15082119999999999</v>
      </c>
      <c r="AC594" s="10">
        <f t="shared" si="50"/>
        <v>300.85316</v>
      </c>
      <c r="AD594" s="10">
        <f t="shared" si="51"/>
        <v>11.40038</v>
      </c>
      <c r="AE594" s="9">
        <f t="shared" si="52"/>
        <v>0</v>
      </c>
      <c r="AF594" s="9">
        <f t="shared" si="53"/>
        <v>0.20508559999999998</v>
      </c>
      <c r="AG594" s="9">
        <f t="shared" si="54"/>
        <v>0.88566937294869585</v>
      </c>
      <c r="AH594" s="11">
        <f t="shared" ref="AH594:AL609" si="60">$H594*I594</f>
        <v>5.4264399999999995</v>
      </c>
      <c r="AI594" s="11">
        <f t="shared" si="60"/>
        <v>15.08212</v>
      </c>
      <c r="AJ594" s="11">
        <f t="shared" si="60"/>
        <v>300.85316</v>
      </c>
      <c r="AK594" s="11">
        <f t="shared" si="60"/>
        <v>0</v>
      </c>
      <c r="AL594" s="11">
        <f t="shared" si="60"/>
        <v>11.40038</v>
      </c>
      <c r="AM594" s="2"/>
      <c r="AN594" s="2"/>
      <c r="AO594" s="2"/>
    </row>
    <row r="595" spans="1:41" x14ac:dyDescent="0.2">
      <c r="A595" s="2" t="s">
        <v>1193</v>
      </c>
      <c r="B595" s="2" t="s">
        <v>1164</v>
      </c>
      <c r="C595" s="2" t="s">
        <v>54</v>
      </c>
      <c r="D595" s="2"/>
      <c r="E595" s="2" t="s">
        <v>50</v>
      </c>
      <c r="F595" s="2" t="s">
        <v>1183</v>
      </c>
      <c r="G595" s="2" t="s">
        <v>1167</v>
      </c>
      <c r="H595" s="2">
        <v>16</v>
      </c>
      <c r="I595" s="2">
        <v>0.36</v>
      </c>
      <c r="J595" s="2">
        <v>3.08</v>
      </c>
      <c r="K595" s="2">
        <v>95</v>
      </c>
      <c r="L595" s="2">
        <v>0.69</v>
      </c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9">
        <f t="shared" si="48"/>
        <v>5.7599999999999998E-2</v>
      </c>
      <c r="AB595" s="9">
        <f t="shared" si="49"/>
        <v>0.49280000000000002</v>
      </c>
      <c r="AC595" s="10">
        <f t="shared" si="50"/>
        <v>1520</v>
      </c>
      <c r="AD595" s="10">
        <f t="shared" si="51"/>
        <v>0</v>
      </c>
      <c r="AE595" s="9">
        <f t="shared" si="52"/>
        <v>0.1104</v>
      </c>
      <c r="AF595" s="9">
        <f t="shared" si="53"/>
        <v>0.66080000000000005</v>
      </c>
      <c r="AG595" s="9">
        <f t="shared" si="54"/>
        <v>4.13</v>
      </c>
      <c r="AH595" s="11">
        <f t="shared" si="60"/>
        <v>5.76</v>
      </c>
      <c r="AI595" s="11">
        <f t="shared" si="60"/>
        <v>49.28</v>
      </c>
      <c r="AJ595" s="11">
        <f t="shared" si="60"/>
        <v>1520</v>
      </c>
      <c r="AK595" s="11">
        <f t="shared" si="60"/>
        <v>11.04</v>
      </c>
      <c r="AL595" s="11">
        <f t="shared" si="60"/>
        <v>0</v>
      </c>
      <c r="AM595" s="2"/>
      <c r="AN595" s="2"/>
      <c r="AO595" s="2"/>
    </row>
    <row r="596" spans="1:41" x14ac:dyDescent="0.2">
      <c r="A596" s="2" t="s">
        <v>1194</v>
      </c>
      <c r="B596" s="2" t="s">
        <v>1164</v>
      </c>
      <c r="C596" s="2" t="s">
        <v>54</v>
      </c>
      <c r="D596" s="2"/>
      <c r="E596" s="2" t="s">
        <v>50</v>
      </c>
      <c r="F596" s="2" t="s">
        <v>1195</v>
      </c>
      <c r="G596" s="2" t="s">
        <v>291</v>
      </c>
      <c r="H596" s="2">
        <f>4.429+30.614+22.92</f>
        <v>57.963000000000001</v>
      </c>
      <c r="I596" s="9">
        <f>(0.179*4.429+0.152*30.614+0.133*22.92)/$H596</f>
        <v>0.14655002329071995</v>
      </c>
      <c r="J596" s="9">
        <f>(0.277*4.429+0.244*30.614+0.22*22.92)/$H596</f>
        <v>0.23703136483618861</v>
      </c>
      <c r="K596" s="13">
        <f>(37.44*4.429+32.77*30.614+28.55*22.92)/$H596</f>
        <v>31.458146403740322</v>
      </c>
      <c r="L596" s="2"/>
      <c r="M596" s="9">
        <f>(0.497*4.429+0.446*30.614+0.478*22.92)/$H596</f>
        <v>0.46255054086227421</v>
      </c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9">
        <f t="shared" si="48"/>
        <v>8.4944790000000006E-2</v>
      </c>
      <c r="AB596" s="9">
        <f t="shared" si="49"/>
        <v>0.13739049</v>
      </c>
      <c r="AC596" s="10">
        <f t="shared" si="50"/>
        <v>1823.4085400000004</v>
      </c>
      <c r="AD596" s="10">
        <f t="shared" si="51"/>
        <v>26.810817</v>
      </c>
      <c r="AE596" s="9">
        <f t="shared" si="52"/>
        <v>0</v>
      </c>
      <c r="AF596" s="9">
        <f t="shared" si="53"/>
        <v>0.22233528000000002</v>
      </c>
      <c r="AG596" s="9">
        <f t="shared" si="54"/>
        <v>0.38358138812690856</v>
      </c>
      <c r="AH596" s="11">
        <f t="shared" si="60"/>
        <v>8.4944790000000001</v>
      </c>
      <c r="AI596" s="11">
        <f t="shared" si="60"/>
        <v>13.739049000000001</v>
      </c>
      <c r="AJ596" s="11">
        <f t="shared" si="60"/>
        <v>1823.4085400000004</v>
      </c>
      <c r="AK596" s="11">
        <f t="shared" si="60"/>
        <v>0</v>
      </c>
      <c r="AL596" s="11">
        <f t="shared" si="60"/>
        <v>26.810817</v>
      </c>
      <c r="AM596" s="2"/>
      <c r="AN596" s="2"/>
      <c r="AO596" s="2"/>
    </row>
    <row r="597" spans="1:41" x14ac:dyDescent="0.2">
      <c r="A597" s="2" t="s">
        <v>1196</v>
      </c>
      <c r="B597" s="2" t="s">
        <v>1164</v>
      </c>
      <c r="C597" s="2" t="s">
        <v>157</v>
      </c>
      <c r="D597" s="2"/>
      <c r="E597" s="2" t="s">
        <v>50</v>
      </c>
      <c r="F597" s="2" t="s">
        <v>1197</v>
      </c>
      <c r="G597" s="2" t="s">
        <v>1198</v>
      </c>
      <c r="H597" s="2">
        <v>14.93</v>
      </c>
      <c r="I597" s="2">
        <v>2.5499999999999998</v>
      </c>
      <c r="J597" s="2">
        <v>5.77</v>
      </c>
      <c r="K597" s="2">
        <v>117</v>
      </c>
      <c r="L597" s="2"/>
      <c r="M597" s="2">
        <v>0.23</v>
      </c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9">
        <f t="shared" si="48"/>
        <v>0.38071499999999991</v>
      </c>
      <c r="AB597" s="9">
        <f t="shared" si="49"/>
        <v>0.86146099999999992</v>
      </c>
      <c r="AC597" s="10">
        <f t="shared" si="50"/>
        <v>1746.81</v>
      </c>
      <c r="AD597" s="10">
        <f t="shared" si="51"/>
        <v>3.4339</v>
      </c>
      <c r="AE597" s="9">
        <f t="shared" si="52"/>
        <v>0</v>
      </c>
      <c r="AF597" s="9">
        <f t="shared" si="53"/>
        <v>1.2421759999999997</v>
      </c>
      <c r="AG597" s="9">
        <f t="shared" si="54"/>
        <v>8.32</v>
      </c>
      <c r="AH597" s="11">
        <f t="shared" si="60"/>
        <v>38.071499999999993</v>
      </c>
      <c r="AI597" s="11">
        <f t="shared" si="60"/>
        <v>86.14609999999999</v>
      </c>
      <c r="AJ597" s="11">
        <f t="shared" si="60"/>
        <v>1746.81</v>
      </c>
      <c r="AK597" s="11">
        <f t="shared" si="60"/>
        <v>0</v>
      </c>
      <c r="AL597" s="11">
        <f t="shared" si="60"/>
        <v>3.4339</v>
      </c>
      <c r="AM597" s="2"/>
      <c r="AN597" s="2"/>
      <c r="AO597" s="2"/>
    </row>
    <row r="598" spans="1:41" x14ac:dyDescent="0.2">
      <c r="A598" s="2" t="s">
        <v>1199</v>
      </c>
      <c r="B598" s="2" t="s">
        <v>1164</v>
      </c>
      <c r="C598" s="2" t="s">
        <v>66</v>
      </c>
      <c r="D598" s="2"/>
      <c r="E598" s="2" t="s">
        <v>50</v>
      </c>
      <c r="F598" s="2" t="s">
        <v>1200</v>
      </c>
      <c r="G598" s="2" t="s">
        <v>1201</v>
      </c>
      <c r="H598" s="2">
        <f>848.462+92.158</f>
        <v>940.62</v>
      </c>
      <c r="I598" s="12">
        <f>(0.254*848.462+0.195*92.158)/$H598</f>
        <v>0.24821942761157534</v>
      </c>
      <c r="J598" s="12">
        <f>(0.479*848.462+0.327*92.158)/$H598</f>
        <v>0.46410767791456697</v>
      </c>
      <c r="K598" s="13">
        <f>(17.91*848.462+15*92.158)/$H598</f>
        <v>17.624890412706513</v>
      </c>
      <c r="L598" s="9"/>
      <c r="M598" s="12">
        <f>(0.05*848.462+0.029*92.158)/$H598</f>
        <v>4.7942508132933603E-2</v>
      </c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9">
        <f t="shared" si="48"/>
        <v>2.3348015799999997</v>
      </c>
      <c r="AB598" s="9">
        <f t="shared" si="49"/>
        <v>4.3654896399999998</v>
      </c>
      <c r="AC598" s="10">
        <f t="shared" si="50"/>
        <v>16578.324420000001</v>
      </c>
      <c r="AD598" s="10">
        <f t="shared" si="51"/>
        <v>45.095682000000004</v>
      </c>
      <c r="AE598" s="9">
        <f t="shared" si="52"/>
        <v>0</v>
      </c>
      <c r="AF598" s="9">
        <f t="shared" si="53"/>
        <v>6.7002912199999995</v>
      </c>
      <c r="AG598" s="9">
        <f t="shared" si="54"/>
        <v>0.71232710552614231</v>
      </c>
      <c r="AH598" s="11">
        <f t="shared" si="60"/>
        <v>233.48015799999999</v>
      </c>
      <c r="AI598" s="11">
        <f t="shared" si="60"/>
        <v>436.54896400000001</v>
      </c>
      <c r="AJ598" s="11">
        <f t="shared" si="60"/>
        <v>16578.324420000001</v>
      </c>
      <c r="AK598" s="11">
        <f t="shared" si="60"/>
        <v>0</v>
      </c>
      <c r="AL598" s="11">
        <f t="shared" si="60"/>
        <v>45.095682000000004</v>
      </c>
      <c r="AM598" s="2"/>
      <c r="AN598" s="2"/>
      <c r="AO598" s="2"/>
    </row>
    <row r="599" spans="1:41" x14ac:dyDescent="0.2">
      <c r="A599" s="2" t="s">
        <v>1202</v>
      </c>
      <c r="B599" s="2" t="s">
        <v>1164</v>
      </c>
      <c r="C599" s="2" t="s">
        <v>1203</v>
      </c>
      <c r="D599" s="2" t="s">
        <v>1204</v>
      </c>
      <c r="E599" s="2" t="s">
        <v>50</v>
      </c>
      <c r="F599" s="2" t="s">
        <v>652</v>
      </c>
      <c r="G599" s="2" t="s">
        <v>71</v>
      </c>
      <c r="H599" s="2">
        <f>3.29+8.53+3.34+1.15+0.75</f>
        <v>17.059999999999999</v>
      </c>
      <c r="I599" s="9">
        <f>(0.53*3.29+0.16*8.53+0.1*3.34+0.49*1.15+0.77*0.75)/$H599</f>
        <v>0.2686694021101993</v>
      </c>
      <c r="J599" s="9">
        <f>(1.44*3.29+0.98*8.53+0.91*3.34+3.64*1.15+3.62*0.75)/$H599</f>
        <v>1.3503751465416178</v>
      </c>
      <c r="K599" s="14">
        <f>(65*3.29+43*8.53+36*3.34+49.3*1.15+37.8*0.75)/$H599</f>
        <v>46.068288393903877</v>
      </c>
      <c r="L599" s="9">
        <f>(1.57*3.29+1.43*8.53+1.39*3.34+0.33*1.15+0.13*0.75)/$H599</f>
        <v>1.3178663540445488</v>
      </c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9">
        <f t="shared" si="48"/>
        <v>4.5835000000000001E-2</v>
      </c>
      <c r="AB599" s="9">
        <f t="shared" si="49"/>
        <v>0.23037399999999997</v>
      </c>
      <c r="AC599" s="10">
        <f t="shared" si="50"/>
        <v>785.92500000000007</v>
      </c>
      <c r="AD599" s="10">
        <f t="shared" si="51"/>
        <v>0</v>
      </c>
      <c r="AE599" s="9">
        <f t="shared" si="52"/>
        <v>0.224828</v>
      </c>
      <c r="AF599" s="9">
        <f t="shared" si="53"/>
        <v>0.50103699999999995</v>
      </c>
      <c r="AG599" s="9">
        <f t="shared" si="54"/>
        <v>2.9369109026963658</v>
      </c>
      <c r="AH599" s="11">
        <f t="shared" si="60"/>
        <v>4.5834999999999999</v>
      </c>
      <c r="AI599" s="11">
        <f t="shared" si="60"/>
        <v>23.037399999999998</v>
      </c>
      <c r="AJ599" s="11">
        <f t="shared" si="60"/>
        <v>785.92500000000007</v>
      </c>
      <c r="AK599" s="11">
        <f t="shared" si="60"/>
        <v>22.482800000000001</v>
      </c>
      <c r="AL599" s="11">
        <f t="shared" si="60"/>
        <v>0</v>
      </c>
      <c r="AM599" s="2"/>
      <c r="AN599" s="2"/>
      <c r="AO599" s="2"/>
    </row>
    <row r="600" spans="1:41" x14ac:dyDescent="0.2">
      <c r="A600" s="2" t="s">
        <v>1205</v>
      </c>
      <c r="B600" s="2" t="s">
        <v>1164</v>
      </c>
      <c r="C600" s="2" t="s">
        <v>54</v>
      </c>
      <c r="D600" s="2"/>
      <c r="E600" s="2" t="s">
        <v>50</v>
      </c>
      <c r="F600" s="2" t="s">
        <v>1181</v>
      </c>
      <c r="G600" s="2" t="s">
        <v>774</v>
      </c>
      <c r="H600" s="12">
        <f>1.765954+1.04368+0.782287+0.005314+0.595069+0.424732</f>
        <v>4.6170359999999997</v>
      </c>
      <c r="I600" s="9">
        <f>(0.147*1.765954+0.175*1.04368+0.49*0.782287+1.004*0.005314+0.048*0.595069+0.101*0.424732)/$H600</f>
        <v>0.19544061774697014</v>
      </c>
      <c r="J600" s="9">
        <f>(0.177*1.765954+0.093*1.04368+0.432*0.782287+1.612*0.005314+0.028*0.595069+0.141*0.424732)/$H600</f>
        <v>0.18035367148967432</v>
      </c>
      <c r="K600" s="13">
        <f>(123.08*1.765954+300.256*1.04368+123.513*0.782287+152.158*0.005314+194.76*0.595069+120.258*0.424732)/$H600</f>
        <v>172.21633999366694</v>
      </c>
      <c r="L600" s="2"/>
      <c r="M600" s="12">
        <f>(0.028*1.765954+0.062*1.04368+0.118*0.782287+0.273*0.005314+0.093*0.595069+0.066*0.424732)/$H600</f>
        <v>6.3090083984616963E-2</v>
      </c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9">
        <f t="shared" si="48"/>
        <v>9.0235636799999991E-3</v>
      </c>
      <c r="AB600" s="9">
        <f t="shared" si="49"/>
        <v>8.3269939399999993E-3</v>
      </c>
      <c r="AC600" s="10">
        <f t="shared" si="50"/>
        <v>795.12904153900001</v>
      </c>
      <c r="AD600" s="10">
        <f t="shared" si="51"/>
        <v>0.29128918899999995</v>
      </c>
      <c r="AE600" s="9">
        <f t="shared" si="52"/>
        <v>0</v>
      </c>
      <c r="AF600" s="9">
        <f t="shared" si="53"/>
        <v>1.7350557619999998E-2</v>
      </c>
      <c r="AG600" s="9">
        <f t="shared" si="54"/>
        <v>0.37579428923664449</v>
      </c>
      <c r="AH600" s="11">
        <f t="shared" si="60"/>
        <v>0.90235636799999996</v>
      </c>
      <c r="AI600" s="11">
        <f t="shared" si="60"/>
        <v>0.83269939399999993</v>
      </c>
      <c r="AJ600" s="11">
        <f t="shared" si="60"/>
        <v>795.12904153900001</v>
      </c>
      <c r="AK600" s="11">
        <f t="shared" si="60"/>
        <v>0</v>
      </c>
      <c r="AL600" s="11">
        <f t="shared" si="60"/>
        <v>0.29128918899999995</v>
      </c>
      <c r="AM600" s="2"/>
      <c r="AN600" s="2"/>
      <c r="AO600" s="2"/>
    </row>
    <row r="601" spans="1:41" x14ac:dyDescent="0.2">
      <c r="A601" s="2" t="s">
        <v>1206</v>
      </c>
      <c r="B601" s="2" t="s">
        <v>1164</v>
      </c>
      <c r="C601" s="2" t="s">
        <v>157</v>
      </c>
      <c r="D601" s="2"/>
      <c r="E601" s="2" t="s">
        <v>50</v>
      </c>
      <c r="F601" s="2" t="s">
        <v>1207</v>
      </c>
      <c r="G601" s="2" t="s">
        <v>615</v>
      </c>
      <c r="H601" s="12">
        <f>1.151831+2.890322+1.439486+0.842282+6.886886+4.181904</f>
        <v>17.392710999999998</v>
      </c>
      <c r="I601" s="13">
        <f>(2.2*1.151831+3.9*2.890322+1.6*1.439486+3.6*0.842282+3.3*6.886886+0.2*4.181904)/$H601</f>
        <v>2.4553263375675018</v>
      </c>
      <c r="J601" s="13">
        <f>(2.2*1.151831+4*2.890322+1.4*1.439486+2*0.842282+4.6*6.886886+3.1*4.181904)/$H601</f>
        <v>3.5899371064119912</v>
      </c>
      <c r="K601" s="14">
        <f>(147*1.151831+219*2.890322+150*1.439486+173*0.842282+172*6.886886+7*4.181904)/$H601</f>
        <v>136.70985972227103</v>
      </c>
      <c r="L601" s="2"/>
      <c r="M601" s="9">
        <f>(0.01*1.151831+0.14*2.890322+0.02*1.439486+0.03*0.842282+0.1*6.886886+0.01*4.181904)/$H601</f>
        <v>6.9036345742765473E-2</v>
      </c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9">
        <f t="shared" si="48"/>
        <v>0.42704781400000003</v>
      </c>
      <c r="AB601" s="9">
        <f t="shared" si="49"/>
        <v>0.62438738599999999</v>
      </c>
      <c r="AC601" s="10">
        <f t="shared" si="50"/>
        <v>2377.7550810000002</v>
      </c>
      <c r="AD601" s="10">
        <f t="shared" si="51"/>
        <v>1.2007292100000002</v>
      </c>
      <c r="AE601" s="9">
        <f t="shared" si="52"/>
        <v>0</v>
      </c>
      <c r="AF601" s="9">
        <f t="shared" si="53"/>
        <v>1.0514352</v>
      </c>
      <c r="AG601" s="9">
        <f t="shared" si="54"/>
        <v>6.0452634439794934</v>
      </c>
      <c r="AH601" s="11">
        <f t="shared" si="60"/>
        <v>42.704781400000002</v>
      </c>
      <c r="AI601" s="11">
        <f t="shared" si="60"/>
        <v>62.438738600000001</v>
      </c>
      <c r="AJ601" s="11">
        <f t="shared" si="60"/>
        <v>2377.7550810000002</v>
      </c>
      <c r="AK601" s="11">
        <f t="shared" si="60"/>
        <v>0</v>
      </c>
      <c r="AL601" s="11">
        <f t="shared" si="60"/>
        <v>1.2007292100000002</v>
      </c>
      <c r="AM601" s="2"/>
      <c r="AN601" s="2"/>
      <c r="AO601" s="2"/>
    </row>
    <row r="602" spans="1:41" x14ac:dyDescent="0.2">
      <c r="A602" s="2" t="s">
        <v>1208</v>
      </c>
      <c r="B602" s="2" t="s">
        <v>1164</v>
      </c>
      <c r="C602" s="16" t="s">
        <v>1209</v>
      </c>
      <c r="D602" s="2"/>
      <c r="E602" s="16" t="s">
        <v>1210</v>
      </c>
      <c r="F602" s="2" t="s">
        <v>1211</v>
      </c>
      <c r="G602" s="2" t="s">
        <v>1212</v>
      </c>
      <c r="H602" s="2">
        <v>1</v>
      </c>
      <c r="I602" s="2"/>
      <c r="J602" s="2">
        <v>2.2999999999999998</v>
      </c>
      <c r="K602" s="2">
        <v>21</v>
      </c>
      <c r="L602" s="2">
        <v>0.4</v>
      </c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9">
        <f t="shared" si="48"/>
        <v>0</v>
      </c>
      <c r="AB602" s="9">
        <f t="shared" si="49"/>
        <v>2.3E-2</v>
      </c>
      <c r="AC602" s="10">
        <f t="shared" si="50"/>
        <v>21</v>
      </c>
      <c r="AD602" s="10">
        <f t="shared" si="51"/>
        <v>0</v>
      </c>
      <c r="AE602" s="9">
        <f t="shared" si="52"/>
        <v>4.0000000000000001E-3</v>
      </c>
      <c r="AF602" s="9">
        <f t="shared" si="53"/>
        <v>2.7E-2</v>
      </c>
      <c r="AG602" s="9">
        <f t="shared" si="54"/>
        <v>2.6999999999999997</v>
      </c>
      <c r="AH602" s="11">
        <f t="shared" si="60"/>
        <v>0</v>
      </c>
      <c r="AI602" s="11">
        <f t="shared" si="60"/>
        <v>2.2999999999999998</v>
      </c>
      <c r="AJ602" s="11">
        <f t="shared" si="60"/>
        <v>21</v>
      </c>
      <c r="AK602" s="11">
        <f t="shared" si="60"/>
        <v>0.4</v>
      </c>
      <c r="AL602" s="11">
        <f t="shared" si="60"/>
        <v>0</v>
      </c>
      <c r="AM602" s="2"/>
      <c r="AN602" s="2"/>
      <c r="AO602" s="2"/>
    </row>
    <row r="603" spans="1:41" x14ac:dyDescent="0.2">
      <c r="A603" s="2" t="s">
        <v>1213</v>
      </c>
      <c r="B603" s="2" t="s">
        <v>1164</v>
      </c>
      <c r="C603" s="2" t="s">
        <v>157</v>
      </c>
      <c r="D603" s="2"/>
      <c r="E603" s="2" t="s">
        <v>50</v>
      </c>
      <c r="F603" s="2" t="s">
        <v>1175</v>
      </c>
      <c r="G603" s="2" t="s">
        <v>106</v>
      </c>
      <c r="H603" s="2">
        <v>47.225000000000001</v>
      </c>
      <c r="I603" s="2">
        <v>0.74</v>
      </c>
      <c r="J603" s="2">
        <v>2.17</v>
      </c>
      <c r="K603" s="13">
        <v>20.73</v>
      </c>
      <c r="L603" s="2">
        <v>7.0000000000000007E-2</v>
      </c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9">
        <f t="shared" si="48"/>
        <v>0.34946500000000003</v>
      </c>
      <c r="AB603" s="9">
        <f t="shared" si="49"/>
        <v>1.0247824999999999</v>
      </c>
      <c r="AC603" s="10">
        <f t="shared" si="50"/>
        <v>978.9742500000001</v>
      </c>
      <c r="AD603" s="10">
        <f t="shared" si="51"/>
        <v>0</v>
      </c>
      <c r="AE603" s="9">
        <f t="shared" si="52"/>
        <v>3.3057500000000004E-2</v>
      </c>
      <c r="AF603" s="9">
        <f t="shared" si="53"/>
        <v>1.407305</v>
      </c>
      <c r="AG603" s="9">
        <f t="shared" si="54"/>
        <v>2.98</v>
      </c>
      <c r="AH603" s="11">
        <f t="shared" si="60"/>
        <v>34.9465</v>
      </c>
      <c r="AI603" s="11">
        <f t="shared" si="60"/>
        <v>102.47825</v>
      </c>
      <c r="AJ603" s="11">
        <f t="shared" si="60"/>
        <v>978.9742500000001</v>
      </c>
      <c r="AK603" s="11">
        <f t="shared" si="60"/>
        <v>3.3057500000000006</v>
      </c>
      <c r="AL603" s="11">
        <f t="shared" si="60"/>
        <v>0</v>
      </c>
      <c r="AM603" s="2"/>
      <c r="AN603" s="2"/>
      <c r="AO603" s="2"/>
    </row>
    <row r="604" spans="1:41" x14ac:dyDescent="0.2">
      <c r="A604" s="2" t="s">
        <v>1214</v>
      </c>
      <c r="B604" s="2" t="s">
        <v>1164</v>
      </c>
      <c r="C604" s="2" t="s">
        <v>54</v>
      </c>
      <c r="D604" s="2" t="s">
        <v>935</v>
      </c>
      <c r="E604" s="2" t="s">
        <v>50</v>
      </c>
      <c r="F604" s="2" t="s">
        <v>1215</v>
      </c>
      <c r="G604" s="2" t="s">
        <v>106</v>
      </c>
      <c r="H604" s="2">
        <f>8.605+12.664+0.03</f>
        <v>21.298999999999999</v>
      </c>
      <c r="I604" s="9">
        <f>(0.67*8.605+0.47*12.664+0.09*0.03)/$H604</f>
        <v>0.55026667918681638</v>
      </c>
      <c r="J604" s="9">
        <f>(1.61*8.605+1.29*12.664+2.1*0.03)/$H604</f>
        <v>1.4204239635663645</v>
      </c>
      <c r="K604" s="14">
        <f>(267*8.605+136*12.664+46*0.03)/$H604</f>
        <v>188.7984881919339</v>
      </c>
      <c r="L604" s="2"/>
      <c r="M604" s="9">
        <f>(0.09*8.605+0.06*12.664+0.05*0.03)/$H604</f>
        <v>7.2106202169115924E-2</v>
      </c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9">
        <f t="shared" si="48"/>
        <v>0.11720130000000001</v>
      </c>
      <c r="AB604" s="9">
        <f t="shared" si="49"/>
        <v>0.30253609999999997</v>
      </c>
      <c r="AC604" s="10">
        <f t="shared" si="50"/>
        <v>4021.2190000000001</v>
      </c>
      <c r="AD604" s="10">
        <f t="shared" si="51"/>
        <v>1.53579</v>
      </c>
      <c r="AE604" s="9">
        <f t="shared" si="52"/>
        <v>0</v>
      </c>
      <c r="AF604" s="9">
        <f t="shared" si="53"/>
        <v>0.41973739999999998</v>
      </c>
      <c r="AG604" s="9">
        <f t="shared" si="54"/>
        <v>1.9706906427531807</v>
      </c>
      <c r="AH604" s="11">
        <f t="shared" si="60"/>
        <v>11.720130000000001</v>
      </c>
      <c r="AI604" s="11">
        <f t="shared" si="60"/>
        <v>30.253609999999995</v>
      </c>
      <c r="AJ604" s="11">
        <f t="shared" si="60"/>
        <v>4021.2190000000001</v>
      </c>
      <c r="AK604" s="11">
        <f t="shared" si="60"/>
        <v>0</v>
      </c>
      <c r="AL604" s="11">
        <f t="shared" si="60"/>
        <v>1.53579</v>
      </c>
      <c r="AM604" s="2"/>
      <c r="AN604" s="2"/>
      <c r="AO604" s="2"/>
    </row>
    <row r="605" spans="1:41" x14ac:dyDescent="0.2">
      <c r="A605" s="2" t="s">
        <v>1216</v>
      </c>
      <c r="B605" s="2" t="s">
        <v>1164</v>
      </c>
      <c r="C605" s="2" t="s">
        <v>54</v>
      </c>
      <c r="D605" s="2"/>
      <c r="E605" s="2" t="s">
        <v>50</v>
      </c>
      <c r="F605" s="2" t="s">
        <v>1217</v>
      </c>
      <c r="G605" s="2" t="s">
        <v>706</v>
      </c>
      <c r="H605" s="2">
        <f>1.012+3.468</f>
        <v>4.4800000000000004</v>
      </c>
      <c r="I605" s="13">
        <f>(1.2*1.012+1.2*3.468)/$H605</f>
        <v>1.1999999999999997</v>
      </c>
      <c r="J605" s="13">
        <f>(4.1*1.012+4.1*3.468)/$H605</f>
        <v>4.0999999999999996</v>
      </c>
      <c r="K605" s="14">
        <f>(280*1.012+190*3.468)/$H605</f>
        <v>210.33035714285711</v>
      </c>
      <c r="L605" s="9">
        <f>(0.39*1.012+0.3*3.468)/$H605</f>
        <v>0.32033035714285713</v>
      </c>
      <c r="M605" s="13">
        <f>(3.2*1.012+1.8*3.468)/$H605</f>
        <v>2.11625</v>
      </c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9">
        <f t="shared" si="48"/>
        <v>5.3759999999999995E-2</v>
      </c>
      <c r="AB605" s="9">
        <f t="shared" si="49"/>
        <v>0.18367999999999998</v>
      </c>
      <c r="AC605" s="10">
        <f t="shared" si="50"/>
        <v>942.28</v>
      </c>
      <c r="AD605" s="10">
        <f t="shared" si="51"/>
        <v>9.4808000000000003</v>
      </c>
      <c r="AE605" s="9">
        <f t="shared" si="52"/>
        <v>1.4350800000000002E-2</v>
      </c>
      <c r="AF605" s="9">
        <f t="shared" si="53"/>
        <v>0.25179079999999998</v>
      </c>
      <c r="AG605" s="9">
        <f t="shared" si="54"/>
        <v>5.6203303571428558</v>
      </c>
      <c r="AH605" s="11">
        <f t="shared" si="60"/>
        <v>5.3759999999999994</v>
      </c>
      <c r="AI605" s="11">
        <f t="shared" si="60"/>
        <v>18.367999999999999</v>
      </c>
      <c r="AJ605" s="11">
        <f t="shared" si="60"/>
        <v>942.28</v>
      </c>
      <c r="AK605" s="11">
        <f t="shared" si="60"/>
        <v>1.4350800000000001</v>
      </c>
      <c r="AL605" s="11">
        <f t="shared" si="60"/>
        <v>9.4808000000000003</v>
      </c>
      <c r="AM605" s="2"/>
      <c r="AN605" s="2"/>
      <c r="AO605" s="2"/>
    </row>
    <row r="606" spans="1:41" x14ac:dyDescent="0.2">
      <c r="A606" s="2" t="s">
        <v>1218</v>
      </c>
      <c r="B606" s="2" t="s">
        <v>1164</v>
      </c>
      <c r="C606" s="2" t="s">
        <v>54</v>
      </c>
      <c r="D606" s="2" t="s">
        <v>73</v>
      </c>
      <c r="E606" s="2" t="s">
        <v>50</v>
      </c>
      <c r="F606" s="2" t="s">
        <v>70</v>
      </c>
      <c r="G606" s="2" t="s">
        <v>71</v>
      </c>
      <c r="H606" s="2">
        <f>2.4+4.1+0.4+1.7+2.9</f>
        <v>11.5</v>
      </c>
      <c r="I606" s="9">
        <f>(1.35*2.4+1.3*4.1+0.4*0.4+0.51*1.7+1.34*2.9)/$H606</f>
        <v>1.1724347826086956</v>
      </c>
      <c r="J606" s="9">
        <f>(2.47*2.4+2.35*4.1+0.65*0.4+0.83*1.7+2.17*2.9)/$H606</f>
        <v>2.0458260869565215</v>
      </c>
      <c r="K606" s="14">
        <f>(406*2.4+378*4.1+164*0.4+255*1.7+265*2.9)/$H606</f>
        <v>329.72173913043474</v>
      </c>
      <c r="L606" s="2"/>
      <c r="M606" s="9">
        <f>(0.31*2.4+0.39*4.1+0.15*0.4+0.29*1.7+0.42*2.9)/$H606</f>
        <v>0.35773913043478262</v>
      </c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9">
        <f t="shared" si="48"/>
        <v>0.13482999999999998</v>
      </c>
      <c r="AB606" s="9">
        <f t="shared" si="49"/>
        <v>0.23526999999999998</v>
      </c>
      <c r="AC606" s="10">
        <f t="shared" si="50"/>
        <v>3791.7999999999997</v>
      </c>
      <c r="AD606" s="10">
        <f t="shared" si="51"/>
        <v>4.1139999999999999</v>
      </c>
      <c r="AE606" s="9">
        <f t="shared" si="52"/>
        <v>0</v>
      </c>
      <c r="AF606" s="9">
        <f t="shared" si="53"/>
        <v>0.37009999999999998</v>
      </c>
      <c r="AG606" s="9">
        <f t="shared" si="54"/>
        <v>3.2182608695652171</v>
      </c>
      <c r="AH606" s="11">
        <f t="shared" si="60"/>
        <v>13.482999999999999</v>
      </c>
      <c r="AI606" s="11">
        <f t="shared" si="60"/>
        <v>23.526999999999997</v>
      </c>
      <c r="AJ606" s="11">
        <f t="shared" si="60"/>
        <v>3791.7999999999997</v>
      </c>
      <c r="AK606" s="11">
        <f t="shared" si="60"/>
        <v>0</v>
      </c>
      <c r="AL606" s="11">
        <f t="shared" si="60"/>
        <v>4.1139999999999999</v>
      </c>
      <c r="AM606" s="2"/>
      <c r="AN606" s="2"/>
      <c r="AO606" s="2"/>
    </row>
    <row r="607" spans="1:41" x14ac:dyDescent="0.2">
      <c r="A607" s="2" t="s">
        <v>1219</v>
      </c>
      <c r="B607" s="2" t="s">
        <v>1164</v>
      </c>
      <c r="C607" s="2" t="s">
        <v>38</v>
      </c>
      <c r="D607" s="2" t="s">
        <v>39</v>
      </c>
      <c r="E607" s="2" t="s">
        <v>50</v>
      </c>
      <c r="F607" s="2" t="s">
        <v>1207</v>
      </c>
      <c r="G607" s="2" t="s">
        <v>615</v>
      </c>
      <c r="H607" s="12">
        <f>1.023409+1.030341+3.185423+4.348724</f>
        <v>9.5878969999999999</v>
      </c>
      <c r="I607" s="13">
        <f>(2.9*1.023409+2.6*1.030341+1.6*3.185423+1.1*4.348724)/$H607</f>
        <v>1.6194422927154934</v>
      </c>
      <c r="J607" s="13">
        <f>(1.6*1.023409+1.2*1.030341+4.4*3.185423+1.5*4.348724)/$H607</f>
        <v>2.4419130493370966</v>
      </c>
      <c r="K607" s="14">
        <f>(316*1.023409+269*1.030341+213*3.185423+156*4.348724)/$H607</f>
        <v>204.15895331374543</v>
      </c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9">
        <f t="shared" si="48"/>
        <v>0.155270459</v>
      </c>
      <c r="AB607" s="9">
        <f t="shared" si="49"/>
        <v>0.234128108</v>
      </c>
      <c r="AC607" s="10">
        <f t="shared" si="50"/>
        <v>1957.4550159999999</v>
      </c>
      <c r="AD607" s="10">
        <f t="shared" si="51"/>
        <v>0</v>
      </c>
      <c r="AE607" s="9">
        <f t="shared" si="52"/>
        <v>0</v>
      </c>
      <c r="AF607" s="9">
        <f t="shared" si="53"/>
        <v>0.38939856699999997</v>
      </c>
      <c r="AG607" s="9">
        <f t="shared" si="54"/>
        <v>4.0613553420525896</v>
      </c>
      <c r="AH607" s="11">
        <f t="shared" si="60"/>
        <v>15.527045900000001</v>
      </c>
      <c r="AI607" s="11">
        <f t="shared" si="60"/>
        <v>23.412810799999999</v>
      </c>
      <c r="AJ607" s="11">
        <f t="shared" si="60"/>
        <v>1957.4550159999999</v>
      </c>
      <c r="AK607" s="11">
        <f t="shared" si="60"/>
        <v>0</v>
      </c>
      <c r="AL607" s="11">
        <f t="shared" si="60"/>
        <v>0</v>
      </c>
      <c r="AM607" s="2"/>
      <c r="AN607" s="2"/>
      <c r="AO607" s="2"/>
    </row>
    <row r="608" spans="1:41" x14ac:dyDescent="0.2">
      <c r="A608" s="2" t="s">
        <v>1220</v>
      </c>
      <c r="B608" s="2" t="s">
        <v>1164</v>
      </c>
      <c r="C608" s="2" t="s">
        <v>924</v>
      </c>
      <c r="D608" s="2" t="s">
        <v>39</v>
      </c>
      <c r="E608" s="16" t="s">
        <v>196</v>
      </c>
      <c r="F608" s="2" t="s">
        <v>1207</v>
      </c>
      <c r="G608" s="2" t="s">
        <v>615</v>
      </c>
      <c r="H608" s="12">
        <f>5.304946</f>
        <v>5.3049460000000002</v>
      </c>
      <c r="I608" s="13">
        <f>(0.6*5.304946)/$H608</f>
        <v>0.6</v>
      </c>
      <c r="J608" s="13">
        <f>(0.2*5.304946)/$H608</f>
        <v>0.2</v>
      </c>
      <c r="K608" s="14">
        <f>(105*5.304946)/$H608</f>
        <v>104.99999999999999</v>
      </c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9">
        <f t="shared" si="48"/>
        <v>3.1829676000000001E-2</v>
      </c>
      <c r="AB608" s="9">
        <f t="shared" si="49"/>
        <v>1.0609892000000001E-2</v>
      </c>
      <c r="AC608" s="10">
        <f t="shared" si="50"/>
        <v>557.01932999999997</v>
      </c>
      <c r="AD608" s="10">
        <f t="shared" si="51"/>
        <v>0</v>
      </c>
      <c r="AE608" s="9">
        <f t="shared" si="52"/>
        <v>0</v>
      </c>
      <c r="AF608" s="9">
        <f t="shared" si="53"/>
        <v>4.2439568000000004E-2</v>
      </c>
      <c r="AG608" s="9">
        <f t="shared" si="54"/>
        <v>0.8</v>
      </c>
      <c r="AH608" s="11">
        <f t="shared" si="60"/>
        <v>3.1829676</v>
      </c>
      <c r="AI608" s="11">
        <f t="shared" si="60"/>
        <v>1.0609892000000001</v>
      </c>
      <c r="AJ608" s="11">
        <f t="shared" si="60"/>
        <v>557.01932999999997</v>
      </c>
      <c r="AK608" s="11">
        <f t="shared" si="60"/>
        <v>0</v>
      </c>
      <c r="AL608" s="11">
        <f t="shared" si="60"/>
        <v>0</v>
      </c>
      <c r="AM608" s="2"/>
      <c r="AN608" s="2"/>
      <c r="AO608" s="2"/>
    </row>
    <row r="609" spans="1:41" x14ac:dyDescent="0.2">
      <c r="A609" s="2" t="s">
        <v>1221</v>
      </c>
      <c r="B609" s="2" t="s">
        <v>1164</v>
      </c>
      <c r="C609" s="2" t="s">
        <v>54</v>
      </c>
      <c r="D609" s="2"/>
      <c r="E609" s="2" t="s">
        <v>50</v>
      </c>
      <c r="F609" s="2" t="s">
        <v>1207</v>
      </c>
      <c r="G609" s="2" t="s">
        <v>1222</v>
      </c>
      <c r="H609" s="2">
        <f>0.583+0.534</f>
        <v>1.117</v>
      </c>
      <c r="I609" s="9">
        <f>(0.869*0.583+0.923*0.534)/$H609</f>
        <v>0.8948155774395703</v>
      </c>
      <c r="J609" s="9">
        <f>(2.44*0.583+2.62*0.534)/$H609</f>
        <v>2.5260519247985678</v>
      </c>
      <c r="K609" s="13">
        <f>(250.5*0.583+224.9*0.534)/$H609</f>
        <v>238.26150402864818</v>
      </c>
      <c r="L609" s="12">
        <f>(0.092*0.583+0.089*0.534)/$H609</f>
        <v>9.0565801253357212E-2</v>
      </c>
      <c r="M609" s="9">
        <f>(0.17*0.583+0.178*0.534)/$H609</f>
        <v>0.17382452999104744</v>
      </c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9">
        <f t="shared" si="48"/>
        <v>9.9950899999999999E-3</v>
      </c>
      <c r="AB609" s="9">
        <f t="shared" si="49"/>
        <v>2.8216000000000001E-2</v>
      </c>
      <c r="AC609" s="10">
        <f t="shared" si="50"/>
        <v>266.13810000000001</v>
      </c>
      <c r="AD609" s="10">
        <f t="shared" si="51"/>
        <v>0.194162</v>
      </c>
      <c r="AE609" s="9">
        <f t="shared" si="52"/>
        <v>1.01162E-3</v>
      </c>
      <c r="AF609" s="9">
        <f t="shared" si="53"/>
        <v>3.9222710000000001E-2</v>
      </c>
      <c r="AG609" s="9">
        <f t="shared" si="54"/>
        <v>3.5114333034914953</v>
      </c>
      <c r="AH609" s="11">
        <f t="shared" si="60"/>
        <v>0.99950899999999998</v>
      </c>
      <c r="AI609" s="11">
        <f t="shared" si="60"/>
        <v>2.8216000000000001</v>
      </c>
      <c r="AJ609" s="11">
        <f t="shared" si="60"/>
        <v>266.13810000000001</v>
      </c>
      <c r="AK609" s="11">
        <f t="shared" si="60"/>
        <v>0.101162</v>
      </c>
      <c r="AL609" s="11">
        <f t="shared" si="60"/>
        <v>0.194162</v>
      </c>
      <c r="AM609" s="2"/>
      <c r="AN609" s="2"/>
      <c r="AO609" s="2"/>
    </row>
    <row r="610" spans="1:41" x14ac:dyDescent="0.2">
      <c r="A610" s="2" t="s">
        <v>1223</v>
      </c>
      <c r="B610" s="2" t="s">
        <v>1164</v>
      </c>
      <c r="C610" s="2" t="s">
        <v>157</v>
      </c>
      <c r="D610" s="2"/>
      <c r="E610" s="2" t="s">
        <v>50</v>
      </c>
      <c r="F610" s="2" t="s">
        <v>1224</v>
      </c>
      <c r="G610" s="2" t="s">
        <v>626</v>
      </c>
      <c r="H610" s="2">
        <f>11.862+15.159+13.278</f>
        <v>40.298999999999999</v>
      </c>
      <c r="I610" s="9">
        <f>(0.9*11.862+0.92*15.159+0.88*13.278)/$H610</f>
        <v>0.90093352192362108</v>
      </c>
      <c r="J610" s="9">
        <f>(2.6*11.862+2.19*15.159+2.14*13.278)/$H610</f>
        <v>2.2942090374450981</v>
      </c>
      <c r="K610" s="13">
        <f>(133.42*11.862+130.12*15.159+126.05*13.278)/$H610</f>
        <v>129.75034169582372</v>
      </c>
      <c r="L610" s="9">
        <f>(0.5*11.862+0.41*15.159+0.42*13.278)/$H610</f>
        <v>0.43978634705575825</v>
      </c>
      <c r="M610" s="9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9">
        <f t="shared" si="48"/>
        <v>0.36306720000000003</v>
      </c>
      <c r="AB610" s="9">
        <f t="shared" si="49"/>
        <v>0.92454330000000018</v>
      </c>
      <c r="AC610" s="10">
        <f t="shared" si="50"/>
        <v>5228.8090199999997</v>
      </c>
      <c r="AD610" s="10">
        <f t="shared" si="51"/>
        <v>0</v>
      </c>
      <c r="AE610" s="9">
        <f t="shared" si="52"/>
        <v>0.17722950000000001</v>
      </c>
      <c r="AF610" s="9">
        <f t="shared" si="53"/>
        <v>1.4648400000000001</v>
      </c>
      <c r="AG610" s="9">
        <f t="shared" si="54"/>
        <v>3.6349289064244772</v>
      </c>
      <c r="AH610" s="11">
        <f t="shared" ref="AH610:AL625" si="61">$H610*I610</f>
        <v>36.306720000000006</v>
      </c>
      <c r="AI610" s="11">
        <f t="shared" si="61"/>
        <v>92.454330000000013</v>
      </c>
      <c r="AJ610" s="11">
        <f t="shared" si="61"/>
        <v>5228.8090199999997</v>
      </c>
      <c r="AK610" s="11">
        <f t="shared" si="61"/>
        <v>17.722950000000001</v>
      </c>
      <c r="AL610" s="11">
        <f t="shared" si="61"/>
        <v>0</v>
      </c>
      <c r="AM610" s="2"/>
      <c r="AN610" s="2"/>
      <c r="AO610" s="2"/>
    </row>
    <row r="611" spans="1:41" x14ac:dyDescent="0.2">
      <c r="A611" s="2" t="s">
        <v>1225</v>
      </c>
      <c r="B611" s="2" t="s">
        <v>1164</v>
      </c>
      <c r="C611" s="2" t="s">
        <v>157</v>
      </c>
      <c r="D611" s="2"/>
      <c r="E611" s="2" t="s">
        <v>50</v>
      </c>
      <c r="F611" s="2" t="s">
        <v>1207</v>
      </c>
      <c r="G611" s="2" t="s">
        <v>615</v>
      </c>
      <c r="H611" s="12">
        <f>2.05717+2.134451+1.134326+0.576248+13.254005</f>
        <v>19.156199999999998</v>
      </c>
      <c r="I611" s="13">
        <f>(0.3*2.05717+1.9*2.134451+0.2*1.134326+1.5*0.576248+1.3*13.254005)/$H611</f>
        <v>1.2003451415207609</v>
      </c>
      <c r="J611" s="13">
        <f>(0.3*2.05717+2.7*2.134451+0.1*1.134326+1.4*0.576248+1.5*13.254005)/$H611</f>
        <v>1.4189325649137097</v>
      </c>
      <c r="K611" s="14">
        <f>(157*2.05717+186*2.134451+123*1.134326+185*0.576248+172*13.254005)/$H611</f>
        <v>169.43863678600141</v>
      </c>
      <c r="L611" s="2"/>
      <c r="M611" s="9">
        <f>(0*2.05717+0*2.134451+0*1.134326+0*0.576248+0.02*13.254005)/$H611</f>
        <v>1.3837822741462294E-2</v>
      </c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9">
        <f t="shared" si="48"/>
        <v>0.22994051599999998</v>
      </c>
      <c r="AB611" s="9">
        <f t="shared" si="49"/>
        <v>0.27181356000000007</v>
      </c>
      <c r="AC611" s="10">
        <f t="shared" si="50"/>
        <v>3245.8004139999998</v>
      </c>
      <c r="AD611" s="10">
        <f t="shared" si="51"/>
        <v>0.26508009999999999</v>
      </c>
      <c r="AE611" s="9">
        <f t="shared" si="52"/>
        <v>0</v>
      </c>
      <c r="AF611" s="9">
        <f t="shared" si="53"/>
        <v>0.5017540760000001</v>
      </c>
      <c r="AG611" s="9">
        <f t="shared" si="54"/>
        <v>2.6192777064344703</v>
      </c>
      <c r="AH611" s="11">
        <f t="shared" si="61"/>
        <v>22.994051599999999</v>
      </c>
      <c r="AI611" s="11">
        <f t="shared" si="61"/>
        <v>27.181356000000005</v>
      </c>
      <c r="AJ611" s="11">
        <f t="shared" si="61"/>
        <v>3245.8004139999998</v>
      </c>
      <c r="AK611" s="11">
        <f t="shared" si="61"/>
        <v>0</v>
      </c>
      <c r="AL611" s="11">
        <f t="shared" si="61"/>
        <v>0.26508009999999999</v>
      </c>
      <c r="AM611" s="2"/>
      <c r="AN611" s="2"/>
      <c r="AO611" s="2"/>
    </row>
    <row r="612" spans="1:41" x14ac:dyDescent="0.2">
      <c r="A612" s="2" t="s">
        <v>1226</v>
      </c>
      <c r="B612" s="2" t="s">
        <v>1164</v>
      </c>
      <c r="C612" s="2" t="s">
        <v>54</v>
      </c>
      <c r="D612" s="2"/>
      <c r="E612" s="2" t="s">
        <v>50</v>
      </c>
      <c r="F612" s="2" t="s">
        <v>1227</v>
      </c>
      <c r="G612" s="2" t="s">
        <v>1228</v>
      </c>
      <c r="H612" s="2">
        <f>6.37+19.12</f>
        <v>25.490000000000002</v>
      </c>
      <c r="I612" s="13">
        <f>(1.7*6.37+1.2*19.12)/$H612</f>
        <v>1.3249509611612393</v>
      </c>
      <c r="J612" s="13">
        <f>(3.7*6.37+2.4*19.12)/$H612</f>
        <v>2.7248724990192228</v>
      </c>
      <c r="K612" s="14">
        <f>(167*6.37+99*19.12)/$H612</f>
        <v>115.99333071792859</v>
      </c>
      <c r="L612" s="13">
        <f>(0.1*6.37+0.1*19.12)/$H612</f>
        <v>0.1</v>
      </c>
      <c r="M612" s="9">
        <f>(0.27*6.37+0.13*19.12)/$H612</f>
        <v>0.16498626912514713</v>
      </c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9">
        <f t="shared" si="48"/>
        <v>0.33772999999999997</v>
      </c>
      <c r="AB612" s="9">
        <f t="shared" si="49"/>
        <v>0.69456999999999991</v>
      </c>
      <c r="AC612" s="10">
        <f t="shared" si="50"/>
        <v>2956.67</v>
      </c>
      <c r="AD612" s="10">
        <f t="shared" si="51"/>
        <v>4.2055000000000007</v>
      </c>
      <c r="AE612" s="9">
        <f t="shared" si="52"/>
        <v>2.5490000000000002E-2</v>
      </c>
      <c r="AF612" s="9">
        <f t="shared" si="53"/>
        <v>1.0577899999999998</v>
      </c>
      <c r="AG612" s="9">
        <f t="shared" si="54"/>
        <v>4.1498234601804622</v>
      </c>
      <c r="AH612" s="11">
        <f t="shared" si="61"/>
        <v>33.772999999999996</v>
      </c>
      <c r="AI612" s="11">
        <f t="shared" si="61"/>
        <v>69.456999999999994</v>
      </c>
      <c r="AJ612" s="11">
        <f t="shared" si="61"/>
        <v>2956.67</v>
      </c>
      <c r="AK612" s="11">
        <f t="shared" si="61"/>
        <v>2.5490000000000004</v>
      </c>
      <c r="AL612" s="11">
        <f t="shared" si="61"/>
        <v>4.2055000000000007</v>
      </c>
      <c r="AM612" s="2"/>
      <c r="AN612" s="2"/>
      <c r="AO612" s="2"/>
    </row>
    <row r="613" spans="1:41" x14ac:dyDescent="0.2">
      <c r="A613" s="2" t="s">
        <v>1229</v>
      </c>
      <c r="B613" s="2" t="s">
        <v>1164</v>
      </c>
      <c r="C613" s="2" t="s">
        <v>157</v>
      </c>
      <c r="D613" s="2"/>
      <c r="E613" s="2" t="s">
        <v>50</v>
      </c>
      <c r="F613" s="2" t="s">
        <v>1230</v>
      </c>
      <c r="G613" s="2" t="s">
        <v>291</v>
      </c>
      <c r="H613" s="12">
        <f>0.344832+0.834527+0.067557</f>
        <v>1.2469160000000001</v>
      </c>
      <c r="I613" s="2"/>
      <c r="J613" s="9">
        <f>(0.179*0.344832+0.153*0.834527+0.088*0.067557)/$H613</f>
        <v>0.15666859275203782</v>
      </c>
      <c r="K613" s="13">
        <f>(15.9*0.344832+12.8*0.834527+9.7*0.067557)/$H613</f>
        <v>13.489342746423977</v>
      </c>
      <c r="L613" s="2"/>
      <c r="M613" s="9">
        <f>(0.601*0.344832+0.46*0.834527+0.543*0.067557)/$H613</f>
        <v>0.50349013325677106</v>
      </c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9">
        <f t="shared" si="48"/>
        <v>0</v>
      </c>
      <c r="AB613" s="9">
        <f t="shared" si="49"/>
        <v>1.9535257499999998E-3</v>
      </c>
      <c r="AC613" s="10">
        <f t="shared" si="50"/>
        <v>16.820077300000001</v>
      </c>
      <c r="AD613" s="10">
        <f t="shared" si="51"/>
        <v>0.62780990300000006</v>
      </c>
      <c r="AE613" s="9">
        <f t="shared" si="52"/>
        <v>0</v>
      </c>
      <c r="AF613" s="9">
        <f t="shared" si="53"/>
        <v>1.9535257499999998E-3</v>
      </c>
      <c r="AG613" s="9">
        <f t="shared" si="54"/>
        <v>0.15666859275203782</v>
      </c>
      <c r="AH613" s="11">
        <f t="shared" si="61"/>
        <v>0</v>
      </c>
      <c r="AI613" s="11">
        <f t="shared" si="61"/>
        <v>0.195352575</v>
      </c>
      <c r="AJ613" s="11">
        <f t="shared" si="61"/>
        <v>16.820077300000001</v>
      </c>
      <c r="AK613" s="11">
        <f t="shared" si="61"/>
        <v>0</v>
      </c>
      <c r="AL613" s="11">
        <f t="shared" si="61"/>
        <v>0.62780990300000006</v>
      </c>
      <c r="AM613" s="2"/>
      <c r="AN613" s="2"/>
      <c r="AO613" s="2"/>
    </row>
    <row r="614" spans="1:41" x14ac:dyDescent="0.2">
      <c r="A614" s="2" t="s">
        <v>1231</v>
      </c>
      <c r="B614" s="2" t="s">
        <v>1164</v>
      </c>
      <c r="C614" s="2" t="s">
        <v>54</v>
      </c>
      <c r="D614" s="2" t="s">
        <v>1232</v>
      </c>
      <c r="E614" s="7" t="s">
        <v>40</v>
      </c>
      <c r="F614" s="2" t="s">
        <v>1233</v>
      </c>
      <c r="G614" s="2" t="s">
        <v>875</v>
      </c>
      <c r="H614" s="13">
        <v>2</v>
      </c>
      <c r="I614" s="2">
        <v>2.2000000000000002</v>
      </c>
      <c r="J614" s="2">
        <v>2.2999999999999998</v>
      </c>
      <c r="K614" s="2">
        <v>137</v>
      </c>
      <c r="L614" s="2"/>
      <c r="M614" s="2">
        <v>0.2</v>
      </c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9">
        <f t="shared" si="48"/>
        <v>4.4000000000000004E-2</v>
      </c>
      <c r="AB614" s="9">
        <f t="shared" si="49"/>
        <v>4.5999999999999999E-2</v>
      </c>
      <c r="AC614" s="10">
        <f t="shared" si="50"/>
        <v>274</v>
      </c>
      <c r="AD614" s="10">
        <f t="shared" si="51"/>
        <v>0.4</v>
      </c>
      <c r="AE614" s="9">
        <f t="shared" si="52"/>
        <v>0</v>
      </c>
      <c r="AF614" s="9">
        <f t="shared" si="53"/>
        <v>0.09</v>
      </c>
      <c r="AG614" s="9">
        <f t="shared" si="54"/>
        <v>4.5</v>
      </c>
      <c r="AH614" s="11">
        <f t="shared" si="61"/>
        <v>4.4000000000000004</v>
      </c>
      <c r="AI614" s="11">
        <f t="shared" si="61"/>
        <v>4.5999999999999996</v>
      </c>
      <c r="AJ614" s="11">
        <f t="shared" si="61"/>
        <v>274</v>
      </c>
      <c r="AK614" s="11">
        <f t="shared" si="61"/>
        <v>0</v>
      </c>
      <c r="AL614" s="11">
        <f t="shared" si="61"/>
        <v>0.4</v>
      </c>
      <c r="AM614" s="2"/>
      <c r="AN614" s="2"/>
      <c r="AO614" s="2"/>
    </row>
    <row r="615" spans="1:41" x14ac:dyDescent="0.2">
      <c r="A615" s="2" t="s">
        <v>1234</v>
      </c>
      <c r="B615" s="2" t="s">
        <v>1164</v>
      </c>
      <c r="C615" s="2" t="s">
        <v>54</v>
      </c>
      <c r="D615" s="2" t="s">
        <v>73</v>
      </c>
      <c r="E615" s="2" t="s">
        <v>50</v>
      </c>
      <c r="F615" s="2" t="s">
        <v>1215</v>
      </c>
      <c r="G615" s="2" t="s">
        <v>106</v>
      </c>
      <c r="H615" s="2">
        <f>5.59+16.65+9.51</f>
        <v>31.75</v>
      </c>
      <c r="I615" s="9">
        <f>(0.85*5.59+0.49*16.65+0.43*9.51)/$H615</f>
        <v>0.53541102362204718</v>
      </c>
      <c r="J615" s="9">
        <f>(1.3*5.59+0.83*16.65+0.97*9.51)/$H615</f>
        <v>0.9546834645669291</v>
      </c>
      <c r="K615" s="14">
        <f>(125*5.59+144*16.65+146*9.51)/$H615</f>
        <v>141.25385826771651</v>
      </c>
      <c r="L615" s="2"/>
      <c r="M615" s="9">
        <f>(2.66*5.59+1.46*16.65+1.15*9.51)/$H615</f>
        <v>1.5784220472440942</v>
      </c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9">
        <f t="shared" si="48"/>
        <v>0.16999299999999998</v>
      </c>
      <c r="AB615" s="9">
        <f t="shared" si="49"/>
        <v>0.30311199999999999</v>
      </c>
      <c r="AC615" s="10">
        <f t="shared" si="50"/>
        <v>4484.8099999999995</v>
      </c>
      <c r="AD615" s="10">
        <f t="shared" si="51"/>
        <v>50.114899999999992</v>
      </c>
      <c r="AE615" s="9">
        <f t="shared" si="52"/>
        <v>0</v>
      </c>
      <c r="AF615" s="9">
        <f t="shared" si="53"/>
        <v>0.473105</v>
      </c>
      <c r="AG615" s="9">
        <f t="shared" si="54"/>
        <v>1.4900944881889764</v>
      </c>
      <c r="AH615" s="11">
        <f t="shared" si="61"/>
        <v>16.999299999999998</v>
      </c>
      <c r="AI615" s="11">
        <f t="shared" si="61"/>
        <v>30.311199999999999</v>
      </c>
      <c r="AJ615" s="11">
        <f t="shared" si="61"/>
        <v>4484.8099999999995</v>
      </c>
      <c r="AK615" s="11">
        <f t="shared" si="61"/>
        <v>0</v>
      </c>
      <c r="AL615" s="11">
        <f t="shared" si="61"/>
        <v>50.114899999999992</v>
      </c>
      <c r="AM615" s="2"/>
      <c r="AN615" s="2"/>
      <c r="AO615" s="2"/>
    </row>
    <row r="616" spans="1:41" x14ac:dyDescent="0.2">
      <c r="A616" s="2" t="s">
        <v>1235</v>
      </c>
      <c r="B616" s="2" t="s">
        <v>1164</v>
      </c>
      <c r="C616" s="2" t="s">
        <v>54</v>
      </c>
      <c r="D616" s="2" t="s">
        <v>73</v>
      </c>
      <c r="E616" s="2" t="s">
        <v>50</v>
      </c>
      <c r="F616" s="2" t="s">
        <v>1215</v>
      </c>
      <c r="G616" s="2" t="s">
        <v>106</v>
      </c>
      <c r="H616" s="2">
        <f>9.66+26.27+33.56</f>
        <v>69.490000000000009</v>
      </c>
      <c r="I616" s="9">
        <f>(0.83*9.66+1.95*26.27+1.24*33.56)/$H616</f>
        <v>1.4514131529716503</v>
      </c>
      <c r="J616" s="9">
        <f>(1.41*9.66+3.68*26.27+2.56*33.56)/$H616</f>
        <v>2.8235400777090227</v>
      </c>
      <c r="K616" s="14">
        <f>(657*9.66+307*26.27+312*33.56)/$H616</f>
        <v>358.06921859260319</v>
      </c>
      <c r="L616" s="2"/>
      <c r="M616" s="9">
        <f>(0.78*9.66+0.8*26.27+0.71*33.56)/$H616</f>
        <v>0.75375449704993513</v>
      </c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9">
        <f t="shared" si="48"/>
        <v>1.0085869999999999</v>
      </c>
      <c r="AB616" s="9">
        <f t="shared" si="49"/>
        <v>1.9620780000000002</v>
      </c>
      <c r="AC616" s="10">
        <f t="shared" si="50"/>
        <v>24882.23</v>
      </c>
      <c r="AD616" s="10">
        <f t="shared" si="51"/>
        <v>52.378399999999999</v>
      </c>
      <c r="AE616" s="9">
        <f t="shared" si="52"/>
        <v>0</v>
      </c>
      <c r="AF616" s="9">
        <f t="shared" si="53"/>
        <v>2.9706650000000003</v>
      </c>
      <c r="AG616" s="9">
        <f t="shared" si="54"/>
        <v>4.2749532306806728</v>
      </c>
      <c r="AH616" s="11">
        <f t="shared" si="61"/>
        <v>100.8587</v>
      </c>
      <c r="AI616" s="11">
        <f t="shared" si="61"/>
        <v>196.20780000000002</v>
      </c>
      <c r="AJ616" s="11">
        <f t="shared" si="61"/>
        <v>24882.23</v>
      </c>
      <c r="AK616" s="11">
        <f t="shared" si="61"/>
        <v>0</v>
      </c>
      <c r="AL616" s="11">
        <f t="shared" si="61"/>
        <v>52.378399999999999</v>
      </c>
      <c r="AM616" s="2"/>
      <c r="AN616" s="2"/>
      <c r="AO616" s="2"/>
    </row>
    <row r="617" spans="1:41" x14ac:dyDescent="0.2">
      <c r="A617" s="2" t="s">
        <v>1236</v>
      </c>
      <c r="B617" s="2" t="s">
        <v>1164</v>
      </c>
      <c r="C617" s="2" t="s">
        <v>54</v>
      </c>
      <c r="D617" s="2"/>
      <c r="E617" s="2" t="s">
        <v>50</v>
      </c>
      <c r="F617" s="2" t="s">
        <v>1237</v>
      </c>
      <c r="G617" s="2" t="s">
        <v>1238</v>
      </c>
      <c r="H617" s="2">
        <f>4.816+3.205</f>
        <v>8.0210000000000008</v>
      </c>
      <c r="I617" s="9">
        <f>(2.09*4.816+1.66*3.205)/$H617</f>
        <v>1.9181822715372143</v>
      </c>
      <c r="J617" s="9">
        <f>(3.97*4.816+2.76*3.205)/$H617</f>
        <v>3.4865129036279758</v>
      </c>
      <c r="K617" s="14">
        <f>(516*4.816+343*3.205)/$H617</f>
        <v>446.87333250218177</v>
      </c>
      <c r="L617" s="2"/>
      <c r="M617" s="9">
        <f>(1.91*4.816+1.52*3.205)/$H617</f>
        <v>1.7541653160453805</v>
      </c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9">
        <f t="shared" si="48"/>
        <v>0.15385739999999998</v>
      </c>
      <c r="AB617" s="9">
        <f t="shared" si="49"/>
        <v>0.27965319999999999</v>
      </c>
      <c r="AC617" s="10">
        <f t="shared" si="50"/>
        <v>3584.3710000000001</v>
      </c>
      <c r="AD617" s="10">
        <f t="shared" si="51"/>
        <v>14.070159999999998</v>
      </c>
      <c r="AE617" s="9">
        <f t="shared" si="52"/>
        <v>0</v>
      </c>
      <c r="AF617" s="9">
        <f t="shared" si="53"/>
        <v>0.43351059999999997</v>
      </c>
      <c r="AG617" s="9">
        <f t="shared" si="54"/>
        <v>5.4046951751651902</v>
      </c>
      <c r="AH617" s="11">
        <f t="shared" si="61"/>
        <v>15.385739999999998</v>
      </c>
      <c r="AI617" s="11">
        <f t="shared" si="61"/>
        <v>27.965319999999998</v>
      </c>
      <c r="AJ617" s="11">
        <f t="shared" si="61"/>
        <v>3584.3710000000001</v>
      </c>
      <c r="AK617" s="11">
        <f t="shared" si="61"/>
        <v>0</v>
      </c>
      <c r="AL617" s="11">
        <f t="shared" si="61"/>
        <v>14.070159999999998</v>
      </c>
      <c r="AM617" s="2"/>
      <c r="AN617" s="2"/>
      <c r="AO617" s="2"/>
    </row>
    <row r="618" spans="1:41" x14ac:dyDescent="0.2">
      <c r="A618" s="2" t="s">
        <v>1239</v>
      </c>
      <c r="B618" s="2" t="s">
        <v>1164</v>
      </c>
      <c r="C618" s="2" t="s">
        <v>187</v>
      </c>
      <c r="D618" s="2" t="s">
        <v>77</v>
      </c>
      <c r="E618" s="2" t="s">
        <v>50</v>
      </c>
      <c r="F618" s="2" t="s">
        <v>1215</v>
      </c>
      <c r="G618" s="2" t="s">
        <v>106</v>
      </c>
      <c r="H618" s="2">
        <v>44.25</v>
      </c>
      <c r="I618" s="2">
        <v>0.11</v>
      </c>
      <c r="J618" s="2">
        <v>0.17</v>
      </c>
      <c r="K618" s="2">
        <v>10</v>
      </c>
      <c r="L618" s="2"/>
      <c r="M618" s="2">
        <v>0.68</v>
      </c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9">
        <f t="shared" si="48"/>
        <v>4.8674999999999996E-2</v>
      </c>
      <c r="AB618" s="9">
        <f t="shared" si="49"/>
        <v>7.5225000000000014E-2</v>
      </c>
      <c r="AC618" s="10">
        <f t="shared" si="50"/>
        <v>442.5</v>
      </c>
      <c r="AD618" s="10">
        <f t="shared" si="51"/>
        <v>30.090000000000003</v>
      </c>
      <c r="AE618" s="9">
        <f t="shared" si="52"/>
        <v>0</v>
      </c>
      <c r="AF618" s="9">
        <f t="shared" si="53"/>
        <v>0.12390000000000001</v>
      </c>
      <c r="AG618" s="9">
        <f t="shared" si="54"/>
        <v>0.28000000000000003</v>
      </c>
      <c r="AH618" s="11">
        <f t="shared" si="61"/>
        <v>4.8674999999999997</v>
      </c>
      <c r="AI618" s="11">
        <f t="shared" si="61"/>
        <v>7.5225000000000009</v>
      </c>
      <c r="AJ618" s="11">
        <f t="shared" si="61"/>
        <v>442.5</v>
      </c>
      <c r="AK618" s="11">
        <f t="shared" si="61"/>
        <v>0</v>
      </c>
      <c r="AL618" s="11">
        <f t="shared" si="61"/>
        <v>30.090000000000003</v>
      </c>
      <c r="AM618" s="2"/>
      <c r="AN618" s="2"/>
      <c r="AO618" s="2"/>
    </row>
    <row r="619" spans="1:41" x14ac:dyDescent="0.2">
      <c r="A619" s="2" t="s">
        <v>1240</v>
      </c>
      <c r="B619" s="2" t="s">
        <v>1164</v>
      </c>
      <c r="C619" s="2" t="s">
        <v>187</v>
      </c>
      <c r="D619" s="2" t="s">
        <v>77</v>
      </c>
      <c r="E619" s="2" t="s">
        <v>50</v>
      </c>
      <c r="F619" s="2" t="s">
        <v>1215</v>
      </c>
      <c r="G619" s="2" t="s">
        <v>106</v>
      </c>
      <c r="H619" s="2">
        <v>7.0490000000000004</v>
      </c>
      <c r="I619" s="2">
        <v>1.46</v>
      </c>
      <c r="J619" s="2">
        <v>1.27</v>
      </c>
      <c r="K619" s="2">
        <v>113</v>
      </c>
      <c r="L619" s="2"/>
      <c r="M619" s="2">
        <v>0.01</v>
      </c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9">
        <f t="shared" si="48"/>
        <v>0.10291539999999999</v>
      </c>
      <c r="AB619" s="9">
        <f t="shared" si="49"/>
        <v>8.9522299999999999E-2</v>
      </c>
      <c r="AC619" s="10">
        <f t="shared" si="50"/>
        <v>796.53700000000003</v>
      </c>
      <c r="AD619" s="10">
        <f t="shared" si="51"/>
        <v>7.0490000000000011E-2</v>
      </c>
      <c r="AE619" s="9">
        <f t="shared" si="52"/>
        <v>0</v>
      </c>
      <c r="AF619" s="9">
        <f t="shared" si="53"/>
        <v>0.19243769999999999</v>
      </c>
      <c r="AG619" s="9">
        <f t="shared" si="54"/>
        <v>2.73</v>
      </c>
      <c r="AH619" s="11">
        <f t="shared" si="61"/>
        <v>10.291539999999999</v>
      </c>
      <c r="AI619" s="11">
        <f t="shared" si="61"/>
        <v>8.9522300000000001</v>
      </c>
      <c r="AJ619" s="11">
        <f t="shared" si="61"/>
        <v>796.53700000000003</v>
      </c>
      <c r="AK619" s="11">
        <f t="shared" si="61"/>
        <v>0</v>
      </c>
      <c r="AL619" s="11">
        <f t="shared" si="61"/>
        <v>7.0490000000000011E-2</v>
      </c>
      <c r="AM619" s="2"/>
      <c r="AN619" s="2"/>
      <c r="AO619" s="2"/>
    </row>
    <row r="620" spans="1:41" x14ac:dyDescent="0.2">
      <c r="A620" s="2" t="s">
        <v>1241</v>
      </c>
      <c r="B620" s="2" t="s">
        <v>1164</v>
      </c>
      <c r="C620" s="2" t="s">
        <v>187</v>
      </c>
      <c r="D620" s="2" t="s">
        <v>77</v>
      </c>
      <c r="E620" s="2" t="s">
        <v>50</v>
      </c>
      <c r="F620" s="2" t="s">
        <v>1215</v>
      </c>
      <c r="G620" s="2" t="s">
        <v>106</v>
      </c>
      <c r="H620" s="2">
        <f>128.674+34.042</f>
        <v>162.71600000000001</v>
      </c>
      <c r="I620" s="9">
        <f>(0.27*128.674+0.21*34.042)/$H620</f>
        <v>0.25744733154698984</v>
      </c>
      <c r="J620" s="9">
        <f>(0.43*128.674+0.35*34.042)/$H620</f>
        <v>0.41326310872931982</v>
      </c>
      <c r="K620" s="14">
        <f>(25*128.674+37*34.042)/$H620</f>
        <v>27.510533690602031</v>
      </c>
      <c r="L620" s="2"/>
      <c r="M620" s="9">
        <f>(0.38*128.674+0.43*34.042)/$H620</f>
        <v>0.39046055704417515</v>
      </c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9">
        <f t="shared" si="48"/>
        <v>0.418908</v>
      </c>
      <c r="AB620" s="9">
        <f t="shared" si="49"/>
        <v>0.67244520000000008</v>
      </c>
      <c r="AC620" s="10">
        <f t="shared" si="50"/>
        <v>4476.4040000000005</v>
      </c>
      <c r="AD620" s="10">
        <f t="shared" si="51"/>
        <v>63.534180000000006</v>
      </c>
      <c r="AE620" s="9">
        <f t="shared" si="52"/>
        <v>0</v>
      </c>
      <c r="AF620" s="9">
        <f t="shared" si="53"/>
        <v>1.0913532000000001</v>
      </c>
      <c r="AG620" s="9">
        <f t="shared" si="54"/>
        <v>0.67071044027630966</v>
      </c>
      <c r="AH620" s="11">
        <f t="shared" si="61"/>
        <v>41.890799999999999</v>
      </c>
      <c r="AI620" s="11">
        <f t="shared" si="61"/>
        <v>67.244520000000009</v>
      </c>
      <c r="AJ620" s="11">
        <f t="shared" si="61"/>
        <v>4476.4040000000005</v>
      </c>
      <c r="AK620" s="11">
        <f t="shared" si="61"/>
        <v>0</v>
      </c>
      <c r="AL620" s="11">
        <f t="shared" si="61"/>
        <v>63.534180000000006</v>
      </c>
      <c r="AM620" s="2"/>
      <c r="AN620" s="2"/>
      <c r="AO620" s="2"/>
    </row>
    <row r="621" spans="1:41" x14ac:dyDescent="0.2">
      <c r="A621" s="2" t="s">
        <v>1242</v>
      </c>
      <c r="B621" s="2" t="s">
        <v>1164</v>
      </c>
      <c r="C621" s="2" t="s">
        <v>54</v>
      </c>
      <c r="D621" s="2" t="s">
        <v>935</v>
      </c>
      <c r="E621" s="2" t="s">
        <v>50</v>
      </c>
      <c r="F621" s="2" t="s">
        <v>1215</v>
      </c>
      <c r="G621" s="2" t="s">
        <v>106</v>
      </c>
      <c r="H621" s="2">
        <f>1.37+9.44+33.58</f>
        <v>44.39</v>
      </c>
      <c r="I621" s="9">
        <f>(0.72*1.37+2.19*9.44+1.17*33.58)/$H621</f>
        <v>1.3730254561838249</v>
      </c>
      <c r="J621" s="9">
        <f>(1.2*1.37+3.68*9.44+2.07*33.58)/$H621</f>
        <v>2.3855327776526245</v>
      </c>
      <c r="K621" s="14">
        <f>(523*1.37+435*9.44+336*33.58)/$H621</f>
        <v>362.82473530074338</v>
      </c>
      <c r="L621" s="2"/>
      <c r="M621" s="9">
        <f>(2.88*1.37+2.12*9.44+1.19*33.58)/$H621</f>
        <v>1.4399324172110834</v>
      </c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9">
        <f t="shared" si="48"/>
        <v>0.60948599999999986</v>
      </c>
      <c r="AB621" s="9">
        <f t="shared" si="49"/>
        <v>1.0589379999999999</v>
      </c>
      <c r="AC621" s="10">
        <f t="shared" si="50"/>
        <v>16105.789999999999</v>
      </c>
      <c r="AD621" s="10">
        <f t="shared" si="51"/>
        <v>63.918599999999998</v>
      </c>
      <c r="AE621" s="9">
        <f t="shared" si="52"/>
        <v>0</v>
      </c>
      <c r="AF621" s="9">
        <f t="shared" si="53"/>
        <v>1.6684239999999999</v>
      </c>
      <c r="AG621" s="9">
        <f t="shared" si="54"/>
        <v>3.7585582338364496</v>
      </c>
      <c r="AH621" s="11">
        <f t="shared" si="61"/>
        <v>60.948599999999985</v>
      </c>
      <c r="AI621" s="11">
        <f t="shared" si="61"/>
        <v>105.8938</v>
      </c>
      <c r="AJ621" s="11">
        <f t="shared" si="61"/>
        <v>16105.789999999999</v>
      </c>
      <c r="AK621" s="11">
        <f t="shared" si="61"/>
        <v>0</v>
      </c>
      <c r="AL621" s="11">
        <f t="shared" si="61"/>
        <v>63.918599999999998</v>
      </c>
      <c r="AM621" s="2"/>
      <c r="AN621" s="2"/>
      <c r="AO621" s="2"/>
    </row>
    <row r="622" spans="1:41" x14ac:dyDescent="0.2">
      <c r="A622" s="2" t="s">
        <v>1243</v>
      </c>
      <c r="B622" s="2" t="s">
        <v>1164</v>
      </c>
      <c r="C622" s="2" t="s">
        <v>157</v>
      </c>
      <c r="D622" s="2"/>
      <c r="E622" s="2" t="s">
        <v>50</v>
      </c>
      <c r="F622" s="2" t="s">
        <v>1175</v>
      </c>
      <c r="G622" s="2" t="s">
        <v>106</v>
      </c>
      <c r="H622" s="2">
        <v>13.536</v>
      </c>
      <c r="I622" s="2">
        <v>2.19</v>
      </c>
      <c r="J622" s="2">
        <v>5.18</v>
      </c>
      <c r="K622" s="13">
        <v>92.96</v>
      </c>
      <c r="L622" s="2">
        <v>0.09</v>
      </c>
      <c r="M622" s="2">
        <v>0.04</v>
      </c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9">
        <f t="shared" si="48"/>
        <v>0.29643839999999999</v>
      </c>
      <c r="AB622" s="9">
        <f t="shared" si="49"/>
        <v>0.70116479999999992</v>
      </c>
      <c r="AC622" s="10">
        <f t="shared" si="50"/>
        <v>1258.30656</v>
      </c>
      <c r="AD622" s="10">
        <f t="shared" si="51"/>
        <v>0.54144000000000003</v>
      </c>
      <c r="AE622" s="9">
        <f t="shared" si="52"/>
        <v>1.2182399999999999E-2</v>
      </c>
      <c r="AF622" s="9">
        <f t="shared" si="53"/>
        <v>1.0097855999999998</v>
      </c>
      <c r="AG622" s="9">
        <f t="shared" si="54"/>
        <v>7.4599999999999991</v>
      </c>
      <c r="AH622" s="11">
        <f t="shared" si="61"/>
        <v>29.643839999999997</v>
      </c>
      <c r="AI622" s="11">
        <f t="shared" si="61"/>
        <v>70.116479999999996</v>
      </c>
      <c r="AJ622" s="11">
        <f t="shared" si="61"/>
        <v>1258.30656</v>
      </c>
      <c r="AK622" s="11">
        <f t="shared" si="61"/>
        <v>1.21824</v>
      </c>
      <c r="AL622" s="11">
        <f t="shared" si="61"/>
        <v>0.54144000000000003</v>
      </c>
      <c r="AM622" s="2"/>
      <c r="AN622" s="2"/>
      <c r="AO622" s="2"/>
    </row>
    <row r="623" spans="1:41" x14ac:dyDescent="0.2">
      <c r="A623" s="2" t="s">
        <v>1244</v>
      </c>
      <c r="B623" s="2" t="s">
        <v>1164</v>
      </c>
      <c r="C623" s="2" t="s">
        <v>54</v>
      </c>
      <c r="D623" s="2" t="s">
        <v>1245</v>
      </c>
      <c r="E623" s="2" t="s">
        <v>50</v>
      </c>
      <c r="F623" s="2" t="s">
        <v>1246</v>
      </c>
      <c r="G623" s="2" t="s">
        <v>1198</v>
      </c>
      <c r="H623" s="2">
        <v>7.6</v>
      </c>
      <c r="I623" s="2">
        <v>0.88</v>
      </c>
      <c r="J623" s="2">
        <v>1.54</v>
      </c>
      <c r="K623" s="13">
        <v>79</v>
      </c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9">
        <f t="shared" si="48"/>
        <v>6.6879999999999995E-2</v>
      </c>
      <c r="AB623" s="9">
        <f t="shared" si="49"/>
        <v>0.11703999999999999</v>
      </c>
      <c r="AC623" s="10">
        <f t="shared" si="50"/>
        <v>600.4</v>
      </c>
      <c r="AD623" s="10">
        <f t="shared" si="51"/>
        <v>0</v>
      </c>
      <c r="AE623" s="9">
        <f t="shared" si="52"/>
        <v>0</v>
      </c>
      <c r="AF623" s="9">
        <f t="shared" si="53"/>
        <v>0.18391999999999997</v>
      </c>
      <c r="AG623" s="9">
        <f t="shared" si="54"/>
        <v>2.42</v>
      </c>
      <c r="AH623" s="11">
        <f t="shared" si="61"/>
        <v>6.6879999999999997</v>
      </c>
      <c r="AI623" s="11">
        <f t="shared" si="61"/>
        <v>11.703999999999999</v>
      </c>
      <c r="AJ623" s="11">
        <f t="shared" si="61"/>
        <v>600.4</v>
      </c>
      <c r="AK623" s="11">
        <f t="shared" si="61"/>
        <v>0</v>
      </c>
      <c r="AL623" s="11">
        <f t="shared" si="61"/>
        <v>0</v>
      </c>
      <c r="AM623" s="2"/>
      <c r="AN623" s="2"/>
      <c r="AO623" s="2"/>
    </row>
    <row r="624" spans="1:41" x14ac:dyDescent="0.2">
      <c r="A624" s="2" t="s">
        <v>1247</v>
      </c>
      <c r="B624" s="2" t="s">
        <v>1164</v>
      </c>
      <c r="C624" s="2" t="s">
        <v>157</v>
      </c>
      <c r="D624" s="2"/>
      <c r="E624" s="2" t="s">
        <v>50</v>
      </c>
      <c r="F624" s="2" t="s">
        <v>1248</v>
      </c>
      <c r="G624" s="2" t="s">
        <v>626</v>
      </c>
      <c r="H624" s="2">
        <f>0.332+2.088+2.025</f>
        <v>4.4450000000000003</v>
      </c>
      <c r="I624" s="9">
        <f>(0.98*0.332+0.89*2.088+0.71*2.025)/$H624</f>
        <v>0.81471991001124855</v>
      </c>
      <c r="J624" s="9">
        <f>(2.01*0.332+1.7*2.088+1.44*2.025)/$H624</f>
        <v>1.6047064116985377</v>
      </c>
      <c r="K624" s="13">
        <f>(92.76*0.332+95.26*2.088+88.98*2.025)/$H624</f>
        <v>92.21230596175478</v>
      </c>
      <c r="L624" s="9">
        <f>(0.24*0.332+0.27*2.088+0.26*2.025)/$H624</f>
        <v>0.26320359955005623</v>
      </c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9">
        <f t="shared" si="48"/>
        <v>3.6214300000000005E-2</v>
      </c>
      <c r="AB624" s="9">
        <f t="shared" si="49"/>
        <v>7.1329200000000009E-2</v>
      </c>
      <c r="AC624" s="10">
        <f t="shared" si="50"/>
        <v>409.88370000000003</v>
      </c>
      <c r="AD624" s="10">
        <f t="shared" si="51"/>
        <v>0</v>
      </c>
      <c r="AE624" s="9">
        <f t="shared" si="52"/>
        <v>1.16994E-2</v>
      </c>
      <c r="AF624" s="9">
        <f t="shared" si="53"/>
        <v>0.11924290000000001</v>
      </c>
      <c r="AG624" s="9">
        <f t="shared" si="54"/>
        <v>2.6826299212598426</v>
      </c>
      <c r="AH624" s="11">
        <f t="shared" si="61"/>
        <v>3.6214300000000001</v>
      </c>
      <c r="AI624" s="11">
        <f t="shared" si="61"/>
        <v>7.1329200000000004</v>
      </c>
      <c r="AJ624" s="11">
        <f t="shared" si="61"/>
        <v>409.88370000000003</v>
      </c>
      <c r="AK624" s="11">
        <f t="shared" si="61"/>
        <v>1.16994</v>
      </c>
      <c r="AL624" s="11">
        <f t="shared" si="61"/>
        <v>0</v>
      </c>
      <c r="AM624" s="2"/>
      <c r="AN624" s="2"/>
      <c r="AO624" s="2"/>
    </row>
    <row r="625" spans="1:41" x14ac:dyDescent="0.2">
      <c r="A625" s="2" t="s">
        <v>1249</v>
      </c>
      <c r="B625" s="2" t="s">
        <v>1164</v>
      </c>
      <c r="C625" s="2" t="s">
        <v>157</v>
      </c>
      <c r="D625" s="2"/>
      <c r="E625" s="2" t="s">
        <v>50</v>
      </c>
      <c r="F625" s="2" t="s">
        <v>1185</v>
      </c>
      <c r="G625" s="2" t="s">
        <v>106</v>
      </c>
      <c r="H625" s="2">
        <f>335.03+194.94+32.23+248.38+40.79</f>
        <v>851.37</v>
      </c>
      <c r="I625" s="9">
        <f>(0.35*335.03+0.25*194.94+0.27*32.23+0.31*248.38+0.18*40.79)/$H625</f>
        <v>0.30425972256480732</v>
      </c>
      <c r="J625" s="9">
        <f>(0.85*335.03+0.62*194.94+0.67*32.23+1.05*248.38+0.38*40.79)/$H625</f>
        <v>0.82635234974218019</v>
      </c>
      <c r="K625" s="13">
        <f>(34.67*335.03+24.7*194.94+23.51*32.23+30.81*248.38+30.82*40.79)/$H625</f>
        <v>30.654088116799979</v>
      </c>
      <c r="L625" s="2"/>
      <c r="M625" s="9">
        <f>(0.71*335.03+0.47*194.94+0.25*32.23+0.27*248.38+0.17*40.79)/$H625</f>
        <v>0.48339441136051309</v>
      </c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9">
        <f t="shared" si="48"/>
        <v>2.590376</v>
      </c>
      <c r="AB625" s="9">
        <f t="shared" si="49"/>
        <v>7.035315999999999</v>
      </c>
      <c r="AC625" s="10">
        <f t="shared" si="50"/>
        <v>26097.970999999998</v>
      </c>
      <c r="AD625" s="10">
        <f t="shared" si="51"/>
        <v>411.54750000000001</v>
      </c>
      <c r="AE625" s="9">
        <f t="shared" si="52"/>
        <v>0</v>
      </c>
      <c r="AF625" s="9">
        <f t="shared" si="53"/>
        <v>9.625691999999999</v>
      </c>
      <c r="AG625" s="9">
        <f t="shared" si="54"/>
        <v>1.1306120723069875</v>
      </c>
      <c r="AH625" s="11">
        <f t="shared" si="61"/>
        <v>259.0376</v>
      </c>
      <c r="AI625" s="11">
        <f t="shared" si="61"/>
        <v>703.53159999999991</v>
      </c>
      <c r="AJ625" s="11">
        <f t="shared" si="61"/>
        <v>26097.970999999998</v>
      </c>
      <c r="AK625" s="11">
        <f t="shared" si="61"/>
        <v>0</v>
      </c>
      <c r="AL625" s="11">
        <f t="shared" si="61"/>
        <v>411.54750000000001</v>
      </c>
      <c r="AM625" s="2"/>
      <c r="AN625" s="2"/>
      <c r="AO625" s="2"/>
    </row>
    <row r="626" spans="1:41" x14ac:dyDescent="0.2">
      <c r="A626" s="2" t="s">
        <v>1250</v>
      </c>
      <c r="B626" s="2" t="s">
        <v>1164</v>
      </c>
      <c r="C626" s="2" t="s">
        <v>54</v>
      </c>
      <c r="D626" s="2" t="s">
        <v>935</v>
      </c>
      <c r="E626" s="2" t="s">
        <v>50</v>
      </c>
      <c r="F626" s="2" t="s">
        <v>78</v>
      </c>
      <c r="G626" s="2" t="s">
        <v>71</v>
      </c>
      <c r="H626" s="2">
        <f>260.3+22.1</f>
        <v>282.40000000000003</v>
      </c>
      <c r="I626" s="9">
        <f>(0.32*260.3+0.21*22.1)/$H626</f>
        <v>0.31139164305949008</v>
      </c>
      <c r="J626" s="9">
        <f>(0.72*260.3+0.49*22.1)/$H626</f>
        <v>0.70200070821529736</v>
      </c>
      <c r="K626" s="13">
        <f>(95.4*20.3+81.9*240+62.1*22.1)/$H626</f>
        <v>81.320927762039645</v>
      </c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9">
        <f t="shared" si="48"/>
        <v>0.8793700000000001</v>
      </c>
      <c r="AB626" s="9">
        <f t="shared" si="49"/>
        <v>1.98245</v>
      </c>
      <c r="AC626" s="10">
        <f t="shared" si="50"/>
        <v>22965.03</v>
      </c>
      <c r="AD626" s="10">
        <f t="shared" si="51"/>
        <v>0</v>
      </c>
      <c r="AE626" s="9">
        <f t="shared" si="52"/>
        <v>0</v>
      </c>
      <c r="AF626" s="9">
        <f t="shared" si="53"/>
        <v>2.8618200000000003</v>
      </c>
      <c r="AG626" s="9">
        <f t="shared" si="54"/>
        <v>1.0133923512747876</v>
      </c>
      <c r="AH626" s="11">
        <f t="shared" ref="AH626:AL641" si="62">$H626*I626</f>
        <v>87.937000000000012</v>
      </c>
      <c r="AI626" s="11">
        <f t="shared" si="62"/>
        <v>198.245</v>
      </c>
      <c r="AJ626" s="11">
        <f t="shared" si="62"/>
        <v>22965.03</v>
      </c>
      <c r="AK626" s="11">
        <f t="shared" si="62"/>
        <v>0</v>
      </c>
      <c r="AL626" s="11">
        <f t="shared" si="62"/>
        <v>0</v>
      </c>
      <c r="AM626" s="2"/>
      <c r="AN626" s="2"/>
      <c r="AO626" s="2"/>
    </row>
    <row r="627" spans="1:41" x14ac:dyDescent="0.2">
      <c r="A627" s="2" t="s">
        <v>1251</v>
      </c>
      <c r="B627" s="2" t="s">
        <v>1164</v>
      </c>
      <c r="C627" s="2" t="s">
        <v>1252</v>
      </c>
      <c r="D627" s="2"/>
      <c r="E627" s="2" t="s">
        <v>50</v>
      </c>
      <c r="F627" s="2" t="s">
        <v>1233</v>
      </c>
      <c r="G627" s="2" t="s">
        <v>1253</v>
      </c>
      <c r="H627" s="2">
        <f>0.088+0.549+0.069</f>
        <v>0.70599999999999996</v>
      </c>
      <c r="I627" s="9">
        <f>(9.14*0.088+8.92*0.549+11.35*0.069)/$H627</f>
        <v>9.1849150141643072</v>
      </c>
      <c r="J627" s="9">
        <f>(11.99*0.088+10.36*0.549+11.34*0.069)/$H627</f>
        <v>10.658951841359775</v>
      </c>
      <c r="K627" s="14">
        <f>(1064*0.088+800*0.549+1011*0.069)/$H627</f>
        <v>853.52832861189813</v>
      </c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9">
        <f t="shared" si="48"/>
        <v>6.48455E-2</v>
      </c>
      <c r="AB627" s="9">
        <f t="shared" si="49"/>
        <v>7.5252200000000005E-2</v>
      </c>
      <c r="AC627" s="10">
        <f t="shared" si="50"/>
        <v>602.59100000000001</v>
      </c>
      <c r="AD627" s="10">
        <f t="shared" si="51"/>
        <v>0</v>
      </c>
      <c r="AE627" s="9">
        <f t="shared" si="52"/>
        <v>0</v>
      </c>
      <c r="AF627" s="9">
        <f t="shared" si="53"/>
        <v>0.14009769999999999</v>
      </c>
      <c r="AG627" s="9">
        <f t="shared" si="54"/>
        <v>19.843866855524084</v>
      </c>
      <c r="AH627" s="11">
        <f t="shared" si="62"/>
        <v>6.4845500000000005</v>
      </c>
      <c r="AI627" s="11">
        <f t="shared" si="62"/>
        <v>7.5252200000000009</v>
      </c>
      <c r="AJ627" s="11">
        <f t="shared" si="62"/>
        <v>602.59100000000001</v>
      </c>
      <c r="AK627" s="11">
        <f t="shared" si="62"/>
        <v>0</v>
      </c>
      <c r="AL627" s="11">
        <f t="shared" si="62"/>
        <v>0</v>
      </c>
      <c r="AM627" s="2"/>
      <c r="AN627" s="2"/>
      <c r="AO627" s="2"/>
    </row>
    <row r="628" spans="1:41" x14ac:dyDescent="0.2">
      <c r="A628" s="2" t="s">
        <v>1254</v>
      </c>
      <c r="B628" s="2" t="s">
        <v>1164</v>
      </c>
      <c r="C628" s="2" t="s">
        <v>38</v>
      </c>
      <c r="D628" s="2" t="s">
        <v>39</v>
      </c>
      <c r="E628" s="7" t="s">
        <v>40</v>
      </c>
      <c r="F628" s="2" t="s">
        <v>1207</v>
      </c>
      <c r="G628" s="2" t="s">
        <v>615</v>
      </c>
      <c r="H628" s="12">
        <v>0.89551199999999997</v>
      </c>
      <c r="I628" s="2">
        <v>2.1</v>
      </c>
      <c r="J628" s="2">
        <v>3.4</v>
      </c>
      <c r="K628" s="2">
        <v>191</v>
      </c>
      <c r="L628" s="2"/>
      <c r="M628" s="9">
        <v>0.8</v>
      </c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9">
        <f t="shared" si="48"/>
        <v>1.8805751999999998E-2</v>
      </c>
      <c r="AB628" s="9">
        <f t="shared" si="49"/>
        <v>3.0447407999999999E-2</v>
      </c>
      <c r="AC628" s="10">
        <f t="shared" si="50"/>
        <v>171.04279199999999</v>
      </c>
      <c r="AD628" s="10">
        <f t="shared" si="51"/>
        <v>0.71640959999999998</v>
      </c>
      <c r="AE628" s="9">
        <f t="shared" si="52"/>
        <v>0</v>
      </c>
      <c r="AF628" s="9">
        <f t="shared" si="53"/>
        <v>4.9253159999999997E-2</v>
      </c>
      <c r="AG628" s="9">
        <f t="shared" si="54"/>
        <v>5.5</v>
      </c>
      <c r="AH628" s="11">
        <f t="shared" si="62"/>
        <v>1.8805752</v>
      </c>
      <c r="AI628" s="11">
        <f t="shared" si="62"/>
        <v>3.0447408</v>
      </c>
      <c r="AJ628" s="11">
        <f t="shared" si="62"/>
        <v>171.04279199999999</v>
      </c>
      <c r="AK628" s="11">
        <f t="shared" si="62"/>
        <v>0</v>
      </c>
      <c r="AL628" s="11">
        <f t="shared" si="62"/>
        <v>0.71640959999999998</v>
      </c>
      <c r="AM628" s="2"/>
      <c r="AN628" s="2"/>
      <c r="AO628" s="2"/>
    </row>
    <row r="629" spans="1:41" x14ac:dyDescent="0.2">
      <c r="A629" s="2" t="s">
        <v>1255</v>
      </c>
      <c r="B629" s="2" t="s">
        <v>1164</v>
      </c>
      <c r="C629" s="2" t="s">
        <v>48</v>
      </c>
      <c r="D629" s="2"/>
      <c r="E629" s="2" t="s">
        <v>50</v>
      </c>
      <c r="F629" s="2" t="s">
        <v>1256</v>
      </c>
      <c r="G629" s="2" t="s">
        <v>1257</v>
      </c>
      <c r="H629" s="2">
        <v>25.2</v>
      </c>
      <c r="I629" s="2">
        <v>2.1</v>
      </c>
      <c r="J629" s="2">
        <v>8.3000000000000007</v>
      </c>
      <c r="K629" s="13"/>
      <c r="L629" s="2">
        <v>0.5</v>
      </c>
      <c r="M629" s="2">
        <v>1.3</v>
      </c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9">
        <f t="shared" si="48"/>
        <v>0.5292</v>
      </c>
      <c r="AB629" s="9">
        <f t="shared" si="49"/>
        <v>2.0916000000000001</v>
      </c>
      <c r="AC629" s="10">
        <f t="shared" si="50"/>
        <v>0</v>
      </c>
      <c r="AD629" s="10">
        <f t="shared" si="51"/>
        <v>32.76</v>
      </c>
      <c r="AE629" s="9">
        <f t="shared" si="52"/>
        <v>0.126</v>
      </c>
      <c r="AF629" s="18">
        <f t="shared" si="53"/>
        <v>2.7467999999999999</v>
      </c>
      <c r="AG629" s="9">
        <f t="shared" si="54"/>
        <v>10.9</v>
      </c>
      <c r="AH629" s="11">
        <f t="shared" si="62"/>
        <v>52.92</v>
      </c>
      <c r="AI629" s="11">
        <f t="shared" si="62"/>
        <v>209.16000000000003</v>
      </c>
      <c r="AJ629" s="11">
        <f t="shared" si="62"/>
        <v>0</v>
      </c>
      <c r="AK629" s="11">
        <f t="shared" si="62"/>
        <v>12.6</v>
      </c>
      <c r="AL629" s="11">
        <f t="shared" si="62"/>
        <v>32.76</v>
      </c>
      <c r="AM629" s="2"/>
      <c r="AN629" s="2"/>
      <c r="AO629" s="2"/>
    </row>
    <row r="630" spans="1:41" x14ac:dyDescent="0.2">
      <c r="A630" s="2" t="s">
        <v>1258</v>
      </c>
      <c r="B630" s="2" t="s">
        <v>1164</v>
      </c>
      <c r="C630" s="2" t="s">
        <v>54</v>
      </c>
      <c r="D630" s="2" t="s">
        <v>77</v>
      </c>
      <c r="E630" s="2" t="s">
        <v>50</v>
      </c>
      <c r="F630" s="2" t="s">
        <v>1259</v>
      </c>
      <c r="G630" s="2" t="s">
        <v>1228</v>
      </c>
      <c r="H630" s="2">
        <f>0.284+0.864+0.512</f>
        <v>1.66</v>
      </c>
      <c r="I630" s="9">
        <f>(1.1*0.284+1.01*0.864+0.61*0.512)/$H630</f>
        <v>0.90202409638554204</v>
      </c>
      <c r="J630" s="9">
        <f>(3.34*0.284+2.16*0.864+1.67*0.512)/$H630</f>
        <v>2.2107469879518074</v>
      </c>
      <c r="K630" s="13">
        <f>(192.6*0.284+135.5*0.864+72.2*0.512)/$H630</f>
        <v>125.74506024096385</v>
      </c>
      <c r="L630" s="2"/>
      <c r="M630" s="9">
        <f>(0.912*0.284+0.809*0.864+0.772*0.512)/$H630</f>
        <v>0.81520963855421691</v>
      </c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9">
        <f t="shared" si="48"/>
        <v>1.4973599999999998E-2</v>
      </c>
      <c r="AB630" s="9">
        <f t="shared" si="49"/>
        <v>3.6698399999999999E-2</v>
      </c>
      <c r="AC630" s="10">
        <f t="shared" si="50"/>
        <v>208.73679999999999</v>
      </c>
      <c r="AD630" s="10">
        <f t="shared" si="51"/>
        <v>1.353248</v>
      </c>
      <c r="AE630" s="9">
        <f t="shared" si="52"/>
        <v>0</v>
      </c>
      <c r="AF630" s="9">
        <f t="shared" si="53"/>
        <v>5.1671999999999996E-2</v>
      </c>
      <c r="AG630" s="9">
        <f t="shared" si="54"/>
        <v>3.1127710843373495</v>
      </c>
      <c r="AH630" s="11">
        <f t="shared" si="62"/>
        <v>1.4973599999999998</v>
      </c>
      <c r="AI630" s="11">
        <f t="shared" si="62"/>
        <v>3.6698400000000002</v>
      </c>
      <c r="AJ630" s="11">
        <f t="shared" si="62"/>
        <v>208.73679999999999</v>
      </c>
      <c r="AK630" s="11">
        <f t="shared" si="62"/>
        <v>0</v>
      </c>
      <c r="AL630" s="11">
        <f t="shared" si="62"/>
        <v>1.353248</v>
      </c>
      <c r="AM630" s="2"/>
      <c r="AN630" s="2"/>
      <c r="AO630" s="2"/>
    </row>
    <row r="631" spans="1:41" x14ac:dyDescent="0.2">
      <c r="A631" s="2" t="s">
        <v>1260</v>
      </c>
      <c r="B631" s="2" t="s">
        <v>1164</v>
      </c>
      <c r="C631" s="2" t="s">
        <v>38</v>
      </c>
      <c r="D631" s="2" t="s">
        <v>39</v>
      </c>
      <c r="E631" s="2" t="s">
        <v>50</v>
      </c>
      <c r="F631" s="2" t="s">
        <v>1175</v>
      </c>
      <c r="G631" s="2" t="s">
        <v>106</v>
      </c>
      <c r="H631" s="2">
        <v>13.154999999999999</v>
      </c>
      <c r="I631" s="2">
        <v>1.25</v>
      </c>
      <c r="J631" s="2">
        <v>2.06</v>
      </c>
      <c r="K631" s="13">
        <v>121.57</v>
      </c>
      <c r="L631" s="2">
        <v>0.36</v>
      </c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9">
        <f t="shared" si="48"/>
        <v>0.16443749999999999</v>
      </c>
      <c r="AB631" s="9">
        <f t="shared" si="49"/>
        <v>0.27099299999999998</v>
      </c>
      <c r="AC631" s="10">
        <f t="shared" si="50"/>
        <v>1599.2533499999997</v>
      </c>
      <c r="AD631" s="10">
        <f t="shared" si="51"/>
        <v>0</v>
      </c>
      <c r="AE631" s="9">
        <f t="shared" si="52"/>
        <v>4.735799999999999E-2</v>
      </c>
      <c r="AF631" s="9">
        <f t="shared" si="53"/>
        <v>0.48278849999999995</v>
      </c>
      <c r="AG631" s="9">
        <f t="shared" si="54"/>
        <v>3.67</v>
      </c>
      <c r="AH631" s="11">
        <f t="shared" si="62"/>
        <v>16.443749999999998</v>
      </c>
      <c r="AI631" s="11">
        <f t="shared" si="62"/>
        <v>27.099299999999999</v>
      </c>
      <c r="AJ631" s="11">
        <f t="shared" si="62"/>
        <v>1599.2533499999997</v>
      </c>
      <c r="AK631" s="11">
        <f t="shared" si="62"/>
        <v>4.7357999999999993</v>
      </c>
      <c r="AL631" s="11">
        <f t="shared" si="62"/>
        <v>0</v>
      </c>
      <c r="AM631" s="2"/>
      <c r="AN631" s="2"/>
      <c r="AO631" s="2"/>
    </row>
    <row r="632" spans="1:41" x14ac:dyDescent="0.2">
      <c r="A632" s="2" t="s">
        <v>1261</v>
      </c>
      <c r="B632" s="2" t="s">
        <v>1164</v>
      </c>
      <c r="C632" s="2" t="s">
        <v>157</v>
      </c>
      <c r="D632" s="2"/>
      <c r="E632" s="2" t="s">
        <v>50</v>
      </c>
      <c r="F632" s="2" t="s">
        <v>1262</v>
      </c>
      <c r="G632" s="2" t="s">
        <v>1263</v>
      </c>
      <c r="H632" s="2">
        <f>121+91.2</f>
        <v>212.2</v>
      </c>
      <c r="I632" s="9">
        <f>(0.06*121+0.07*91.2)/$H632</f>
        <v>6.4297832233741761E-2</v>
      </c>
      <c r="J632" s="9">
        <f>(0.49*121+0.48*91.2)/$H632</f>
        <v>0.4857021677662583</v>
      </c>
      <c r="K632" s="13">
        <f>(12.3*121+12.6*91.2)/$H632</f>
        <v>12.428934967012253</v>
      </c>
      <c r="L632" s="2"/>
      <c r="M632" s="13">
        <f>(0.4*121+0.4*91.2)/$H632</f>
        <v>0.40000000000000008</v>
      </c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9">
        <f t="shared" si="48"/>
        <v>0.13644000000000001</v>
      </c>
      <c r="AB632" s="9">
        <f t="shared" si="49"/>
        <v>1.0306600000000001</v>
      </c>
      <c r="AC632" s="10">
        <f t="shared" si="50"/>
        <v>2637.42</v>
      </c>
      <c r="AD632" s="10">
        <f t="shared" si="51"/>
        <v>84.88000000000001</v>
      </c>
      <c r="AE632" s="9">
        <f t="shared" si="52"/>
        <v>0</v>
      </c>
      <c r="AF632" s="9">
        <f t="shared" si="53"/>
        <v>1.1671</v>
      </c>
      <c r="AG632" s="9">
        <f t="shared" si="54"/>
        <v>0.55000000000000004</v>
      </c>
      <c r="AH632" s="11">
        <f t="shared" si="62"/>
        <v>13.644</v>
      </c>
      <c r="AI632" s="11">
        <f t="shared" si="62"/>
        <v>103.066</v>
      </c>
      <c r="AJ632" s="11">
        <f t="shared" si="62"/>
        <v>2637.42</v>
      </c>
      <c r="AK632" s="11">
        <f t="shared" si="62"/>
        <v>0</v>
      </c>
      <c r="AL632" s="11">
        <f t="shared" si="62"/>
        <v>84.88000000000001</v>
      </c>
      <c r="AM632" s="2"/>
      <c r="AN632" s="2"/>
      <c r="AO632" s="2"/>
    </row>
    <row r="633" spans="1:41" x14ac:dyDescent="0.2">
      <c r="A633" s="2" t="s">
        <v>1264</v>
      </c>
      <c r="B633" s="2" t="s">
        <v>1164</v>
      </c>
      <c r="C633" s="2" t="s">
        <v>54</v>
      </c>
      <c r="D633" s="2"/>
      <c r="E633" s="2" t="s">
        <v>50</v>
      </c>
      <c r="F633" s="2" t="s">
        <v>1265</v>
      </c>
      <c r="G633" s="2" t="s">
        <v>106</v>
      </c>
      <c r="H633" s="12">
        <f>1.393716+1.354261+1.257731</f>
        <v>4.0057079999999994</v>
      </c>
      <c r="I633" s="9">
        <f>(3.1*1.393716+2.73*1.354261+2.26*1.257731)/$H633</f>
        <v>2.7111622190134685</v>
      </c>
      <c r="J633" s="9">
        <f>(7.12*1.393716+6.14*1.354261+6.18*1.257731)/$H633</f>
        <v>6.4935332380692765</v>
      </c>
      <c r="K633" s="14">
        <f>(69*1.393716+82*1.354261+84*1.257731)/$H633</f>
        <v>78.10484688349726</v>
      </c>
      <c r="L633" s="9">
        <f>(0.39*1.393716+0.31*1.354261+0.19*1.257731)/$H633</f>
        <v>0.3001564367647368</v>
      </c>
      <c r="M633" s="9">
        <f>(0.02*1.393716+0.06*1.354261+0.05*1.257731)/$H633</f>
        <v>4.2942853048699513E-2</v>
      </c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9">
        <f t="shared" si="48"/>
        <v>0.10860124190000001</v>
      </c>
      <c r="AB633" s="9">
        <f t="shared" si="49"/>
        <v>0.2601119804</v>
      </c>
      <c r="AC633" s="10">
        <f t="shared" si="50"/>
        <v>312.86520999999999</v>
      </c>
      <c r="AD633" s="10">
        <f t="shared" si="51"/>
        <v>0.17201653</v>
      </c>
      <c r="AE633" s="9">
        <f t="shared" si="52"/>
        <v>1.20233904E-2</v>
      </c>
      <c r="AF633" s="9">
        <f t="shared" si="53"/>
        <v>0.38073661270000003</v>
      </c>
      <c r="AG633" s="9">
        <f t="shared" si="54"/>
        <v>9.5048518938474835</v>
      </c>
      <c r="AH633" s="11">
        <f t="shared" si="62"/>
        <v>10.860124190000001</v>
      </c>
      <c r="AI633" s="11">
        <f t="shared" si="62"/>
        <v>26.01119804</v>
      </c>
      <c r="AJ633" s="11">
        <f t="shared" si="62"/>
        <v>312.86520999999999</v>
      </c>
      <c r="AK633" s="11">
        <f t="shared" si="62"/>
        <v>1.20233904</v>
      </c>
      <c r="AL633" s="11">
        <f t="shared" si="62"/>
        <v>0.17201653</v>
      </c>
      <c r="AM633" s="2"/>
      <c r="AN633" s="2"/>
      <c r="AO633" s="2"/>
    </row>
    <row r="634" spans="1:41" x14ac:dyDescent="0.2">
      <c r="A634" s="2" t="s">
        <v>1266</v>
      </c>
      <c r="B634" s="2" t="s">
        <v>1164</v>
      </c>
      <c r="C634" s="2" t="s">
        <v>157</v>
      </c>
      <c r="D634" s="2"/>
      <c r="E634" s="2" t="s">
        <v>50</v>
      </c>
      <c r="F634" s="2" t="s">
        <v>1259</v>
      </c>
      <c r="G634" s="2" t="s">
        <v>1228</v>
      </c>
      <c r="H634" s="2">
        <f>4.314+1.546+3.084</f>
        <v>8.9440000000000008</v>
      </c>
      <c r="I634" s="9">
        <f>(2.56*4.314+2.29*1.546+2.17*3.084)/$H634</f>
        <v>2.3788528622540248</v>
      </c>
      <c r="J634" s="9">
        <f>(4.51*4.314+3.96*1.546+3.35*3.084)/$H634</f>
        <v>4.0149485688729873</v>
      </c>
      <c r="K634" s="13">
        <f>(64.3*4.314+53.58*1.546+41.75*3.084)/$H634</f>
        <v>54.671498211091226</v>
      </c>
      <c r="L634" s="9">
        <f>(0.25*4.314+0.2*1.546+0.16*3.084)/$H634</f>
        <v>0.21032423971377462</v>
      </c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9">
        <f t="shared" si="48"/>
        <v>0.2127646</v>
      </c>
      <c r="AB634" s="9">
        <f t="shared" si="49"/>
        <v>0.359097</v>
      </c>
      <c r="AC634" s="10">
        <f t="shared" si="50"/>
        <v>488.98187999999999</v>
      </c>
      <c r="AD634" s="10">
        <f t="shared" si="51"/>
        <v>0</v>
      </c>
      <c r="AE634" s="9">
        <f t="shared" si="52"/>
        <v>1.8811400000000006E-2</v>
      </c>
      <c r="AF634" s="9">
        <f t="shared" si="53"/>
        <v>0.590673</v>
      </c>
      <c r="AG634" s="9">
        <f t="shared" si="54"/>
        <v>6.6041256708407872</v>
      </c>
      <c r="AH634" s="11">
        <f t="shared" si="62"/>
        <v>21.27646</v>
      </c>
      <c r="AI634" s="11">
        <f t="shared" si="62"/>
        <v>35.909700000000001</v>
      </c>
      <c r="AJ634" s="11">
        <f t="shared" si="62"/>
        <v>488.98187999999999</v>
      </c>
      <c r="AK634" s="11">
        <f t="shared" si="62"/>
        <v>1.8811400000000005</v>
      </c>
      <c r="AL634" s="11">
        <f t="shared" si="62"/>
        <v>0</v>
      </c>
      <c r="AM634" s="2"/>
      <c r="AN634" s="2"/>
      <c r="AO634" s="2"/>
    </row>
    <row r="635" spans="1:41" x14ac:dyDescent="0.2">
      <c r="A635" s="2" t="s">
        <v>1267</v>
      </c>
      <c r="B635" s="2" t="s">
        <v>1164</v>
      </c>
      <c r="C635" s="2" t="s">
        <v>54</v>
      </c>
      <c r="D635" s="2" t="s">
        <v>73</v>
      </c>
      <c r="E635" s="2" t="s">
        <v>50</v>
      </c>
      <c r="F635" s="2" t="s">
        <v>1268</v>
      </c>
      <c r="G635" s="2" t="s">
        <v>626</v>
      </c>
      <c r="H635" s="2">
        <f>8+24.5</f>
        <v>32.5</v>
      </c>
      <c r="I635" s="2">
        <f>(0.38*8+0.38*24.5)/$H635</f>
        <v>0.38000000000000006</v>
      </c>
      <c r="J635" s="9">
        <f>(0.85*8+0.76*24.5)/$H635</f>
        <v>0.7821538461538462</v>
      </c>
      <c r="K635" s="14">
        <f>(119*8+110*24.5)/$H635</f>
        <v>112.21538461538462</v>
      </c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9">
        <f t="shared" si="48"/>
        <v>0.12350000000000001</v>
      </c>
      <c r="AB635" s="9">
        <f t="shared" si="49"/>
        <v>0.25420000000000004</v>
      </c>
      <c r="AC635" s="10">
        <f t="shared" si="50"/>
        <v>3647</v>
      </c>
      <c r="AD635" s="10">
        <f t="shared" si="51"/>
        <v>0</v>
      </c>
      <c r="AE635" s="9">
        <f t="shared" si="52"/>
        <v>0</v>
      </c>
      <c r="AF635" s="9">
        <f t="shared" si="53"/>
        <v>0.37770000000000004</v>
      </c>
      <c r="AG635" s="9">
        <f t="shared" si="54"/>
        <v>1.1621538461538463</v>
      </c>
      <c r="AH635" s="11">
        <f t="shared" si="62"/>
        <v>12.350000000000001</v>
      </c>
      <c r="AI635" s="11">
        <f t="shared" si="62"/>
        <v>25.42</v>
      </c>
      <c r="AJ635" s="11">
        <f t="shared" si="62"/>
        <v>3647</v>
      </c>
      <c r="AK635" s="11">
        <f t="shared" si="62"/>
        <v>0</v>
      </c>
      <c r="AL635" s="11">
        <f t="shared" si="62"/>
        <v>0</v>
      </c>
      <c r="AM635" s="2"/>
      <c r="AN635" s="2"/>
      <c r="AO635" s="2"/>
    </row>
    <row r="636" spans="1:41" x14ac:dyDescent="0.2">
      <c r="A636" s="2" t="s">
        <v>1269</v>
      </c>
      <c r="B636" s="2" t="s">
        <v>1164</v>
      </c>
      <c r="C636" s="2" t="s">
        <v>54</v>
      </c>
      <c r="D636" s="2" t="s">
        <v>73</v>
      </c>
      <c r="E636" s="2" t="s">
        <v>50</v>
      </c>
      <c r="F636" s="2" t="s">
        <v>1192</v>
      </c>
      <c r="G636" s="2" t="s">
        <v>636</v>
      </c>
      <c r="H636" s="2">
        <f>1.06+6.999+2.079+2.192+1.154+1.574</f>
        <v>15.058</v>
      </c>
      <c r="I636" s="9">
        <f>(0.06*1.06+0.03*6.999+0.06*2.079+0.01*2.192+0.02*1.154+0.02*1.574)/$H636</f>
        <v>3.1530747775268958E-2</v>
      </c>
      <c r="J636" s="9">
        <f>(0.52*1.06+0.15*6.999+0.41*2.079+0.04*2.192+0.04*1.154+0.05*1.574)/$H636</f>
        <v>0.17704741665559834</v>
      </c>
      <c r="K636" s="13">
        <f>(10.15*1.06+9.74*6.999+10.1*2.079+11.91*2.192+11.24*1.154+5.15*1.574)/$H636</f>
        <v>9.769620135476158</v>
      </c>
      <c r="L636" s="9">
        <f>(0.21*1.06+0.2*6.999+0.24*2.079+0.26*2.192+0.14*1.154+0.08*1.574)/$H636</f>
        <v>0.19781909948200291</v>
      </c>
      <c r="M636" s="9">
        <f>(4.52*1.06+4.54*6.999+4.7*2.079+5.64*2.192+3.55*1.154+3.5*1.574)/$H636</f>
        <v>4.5362292469119403</v>
      </c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9">
        <f t="shared" si="48"/>
        <v>4.7479000000000002E-3</v>
      </c>
      <c r="AB636" s="9">
        <f t="shared" si="49"/>
        <v>2.6659799999999997E-2</v>
      </c>
      <c r="AC636" s="10">
        <f t="shared" si="50"/>
        <v>147.11094</v>
      </c>
      <c r="AD636" s="10">
        <f t="shared" si="51"/>
        <v>68.306539999999998</v>
      </c>
      <c r="AE636" s="9">
        <f t="shared" si="52"/>
        <v>2.9787599999999997E-2</v>
      </c>
      <c r="AF636" s="9">
        <f t="shared" si="53"/>
        <v>6.1195299999999994E-2</v>
      </c>
      <c r="AG636" s="9">
        <f t="shared" si="54"/>
        <v>0.40639726391287023</v>
      </c>
      <c r="AH636" s="11">
        <f t="shared" si="62"/>
        <v>0.47478999999999999</v>
      </c>
      <c r="AI636" s="11">
        <f t="shared" si="62"/>
        <v>2.6659799999999998</v>
      </c>
      <c r="AJ636" s="11">
        <f t="shared" si="62"/>
        <v>147.11094</v>
      </c>
      <c r="AK636" s="11">
        <f t="shared" si="62"/>
        <v>2.9787599999999999</v>
      </c>
      <c r="AL636" s="11">
        <f t="shared" si="62"/>
        <v>68.306539999999998</v>
      </c>
      <c r="AM636" s="2"/>
      <c r="AN636" s="2"/>
      <c r="AO636" s="2"/>
    </row>
    <row r="637" spans="1:41" x14ac:dyDescent="0.2">
      <c r="A637" s="2" t="s">
        <v>1270</v>
      </c>
      <c r="B637" s="2" t="s">
        <v>1164</v>
      </c>
      <c r="C637" s="2" t="s">
        <v>54</v>
      </c>
      <c r="D637" s="2" t="s">
        <v>73</v>
      </c>
      <c r="E637" s="2" t="s">
        <v>50</v>
      </c>
      <c r="F637" s="2" t="s">
        <v>78</v>
      </c>
      <c r="G637" s="2" t="s">
        <v>71</v>
      </c>
      <c r="H637" s="2">
        <v>2.2999999999999998</v>
      </c>
      <c r="I637" s="2">
        <v>0.32</v>
      </c>
      <c r="J637" s="2">
        <v>0.66</v>
      </c>
      <c r="K637" s="2">
        <v>191.8</v>
      </c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9">
        <f t="shared" si="48"/>
        <v>7.3600000000000002E-3</v>
      </c>
      <c r="AB637" s="9">
        <f t="shared" si="49"/>
        <v>1.5180000000000001E-2</v>
      </c>
      <c r="AC637" s="10">
        <f t="shared" si="50"/>
        <v>441.14</v>
      </c>
      <c r="AD637" s="10">
        <f t="shared" si="51"/>
        <v>0</v>
      </c>
      <c r="AE637" s="9">
        <f t="shared" si="52"/>
        <v>0</v>
      </c>
      <c r="AF637" s="9">
        <f t="shared" si="53"/>
        <v>2.2540000000000001E-2</v>
      </c>
      <c r="AG637" s="9">
        <f t="shared" si="54"/>
        <v>0.98</v>
      </c>
      <c r="AH637" s="11">
        <f t="shared" si="62"/>
        <v>0.73599999999999999</v>
      </c>
      <c r="AI637" s="11">
        <f t="shared" si="62"/>
        <v>1.518</v>
      </c>
      <c r="AJ637" s="11">
        <f t="shared" si="62"/>
        <v>441.14</v>
      </c>
      <c r="AK637" s="11">
        <f t="shared" si="62"/>
        <v>0</v>
      </c>
      <c r="AL637" s="11">
        <f t="shared" si="62"/>
        <v>0</v>
      </c>
      <c r="AM637" s="2"/>
      <c r="AN637" s="2"/>
      <c r="AO637" s="2"/>
    </row>
    <row r="638" spans="1:41" x14ac:dyDescent="0.2">
      <c r="A638" s="2" t="s">
        <v>1271</v>
      </c>
      <c r="B638" s="2" t="s">
        <v>1164</v>
      </c>
      <c r="C638" s="2" t="s">
        <v>157</v>
      </c>
      <c r="D638" s="2"/>
      <c r="E638" s="2" t="s">
        <v>50</v>
      </c>
      <c r="F638" s="2" t="s">
        <v>1207</v>
      </c>
      <c r="G638" s="2" t="s">
        <v>615</v>
      </c>
      <c r="H638" s="12">
        <f>0.741387+0.993661</f>
        <v>1.7350479999999999</v>
      </c>
      <c r="I638" s="9">
        <f>(0.7*0.741387+0.7*0.993661)/$H638</f>
        <v>0.70000000000000007</v>
      </c>
      <c r="J638" s="9">
        <f>(1.5*0.741387+1.6*0.993661)/$H638</f>
        <v>1.5572699429641144</v>
      </c>
      <c r="K638" s="14">
        <f>(60*0.741387+54*0.993661)/$H638</f>
        <v>56.563803422153171</v>
      </c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9">
        <f t="shared" si="48"/>
        <v>1.2145336E-2</v>
      </c>
      <c r="AB638" s="9">
        <f t="shared" si="49"/>
        <v>2.7019381000000006E-2</v>
      </c>
      <c r="AC638" s="10">
        <f t="shared" si="50"/>
        <v>98.140914000000009</v>
      </c>
      <c r="AD638" s="10">
        <f t="shared" si="51"/>
        <v>0</v>
      </c>
      <c r="AE638" s="9">
        <f t="shared" si="52"/>
        <v>0</v>
      </c>
      <c r="AF638" s="9">
        <f t="shared" si="53"/>
        <v>3.9164717000000002E-2</v>
      </c>
      <c r="AG638" s="9">
        <f t="shared" si="54"/>
        <v>2.2572699429641143</v>
      </c>
      <c r="AH638" s="11">
        <f t="shared" si="62"/>
        <v>1.2145336</v>
      </c>
      <c r="AI638" s="11">
        <f t="shared" si="62"/>
        <v>2.7019381000000005</v>
      </c>
      <c r="AJ638" s="11">
        <f t="shared" si="62"/>
        <v>98.140914000000009</v>
      </c>
      <c r="AK638" s="11">
        <f t="shared" si="62"/>
        <v>0</v>
      </c>
      <c r="AL638" s="11">
        <f t="shared" si="62"/>
        <v>0</v>
      </c>
      <c r="AM638" s="2"/>
      <c r="AN638" s="2"/>
      <c r="AO638" s="2"/>
    </row>
    <row r="639" spans="1:41" x14ac:dyDescent="0.2">
      <c r="A639" s="2" t="s">
        <v>1272</v>
      </c>
      <c r="B639" s="2" t="s">
        <v>1164</v>
      </c>
      <c r="C639" s="2" t="s">
        <v>48</v>
      </c>
      <c r="D639" s="2"/>
      <c r="E639" s="2" t="s">
        <v>50</v>
      </c>
      <c r="F639" s="2" t="s">
        <v>1273</v>
      </c>
      <c r="G639" s="2" t="s">
        <v>1274</v>
      </c>
      <c r="H639" s="2">
        <f>19.26+2.28</f>
        <v>21.540000000000003</v>
      </c>
      <c r="I639" s="2"/>
      <c r="J639" s="9">
        <f>(1.68*19.26+0.97*2.28)/$H639</f>
        <v>1.6048467966573812</v>
      </c>
      <c r="K639" s="13">
        <f>(26.7*19.26+17.4*2.28)/$H639</f>
        <v>25.715598885793874</v>
      </c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9">
        <f t="shared" si="48"/>
        <v>0</v>
      </c>
      <c r="AB639" s="9">
        <f t="shared" si="49"/>
        <v>0.34568399999999999</v>
      </c>
      <c r="AC639" s="10">
        <f t="shared" si="50"/>
        <v>553.9140000000001</v>
      </c>
      <c r="AD639" s="10">
        <f t="shared" si="51"/>
        <v>0</v>
      </c>
      <c r="AE639" s="9">
        <f t="shared" si="52"/>
        <v>0</v>
      </c>
      <c r="AF639" s="9">
        <f t="shared" si="53"/>
        <v>0.34568399999999999</v>
      </c>
      <c r="AG639" s="9">
        <f t="shared" si="54"/>
        <v>1.6048467966573812</v>
      </c>
      <c r="AH639" s="11">
        <f t="shared" si="62"/>
        <v>0</v>
      </c>
      <c r="AI639" s="11">
        <f t="shared" si="62"/>
        <v>34.568399999999997</v>
      </c>
      <c r="AJ639" s="11">
        <f t="shared" si="62"/>
        <v>553.9140000000001</v>
      </c>
      <c r="AK639" s="11">
        <f t="shared" si="62"/>
        <v>0</v>
      </c>
      <c r="AL639" s="11">
        <f t="shared" si="62"/>
        <v>0</v>
      </c>
      <c r="AM639" s="2"/>
      <c r="AN639" s="2"/>
      <c r="AO639" s="2"/>
    </row>
    <row r="640" spans="1:41" x14ac:dyDescent="0.2">
      <c r="A640" s="2" t="s">
        <v>1275</v>
      </c>
      <c r="B640" s="2" t="s">
        <v>1164</v>
      </c>
      <c r="C640" s="2" t="s">
        <v>157</v>
      </c>
      <c r="D640" s="2"/>
      <c r="E640" s="2" t="s">
        <v>50</v>
      </c>
      <c r="F640" s="2" t="s">
        <v>1248</v>
      </c>
      <c r="G640" s="2" t="s">
        <v>626</v>
      </c>
      <c r="H640" s="2">
        <f>5.124+14.788+3.331</f>
        <v>23.242999999999999</v>
      </c>
      <c r="I640" s="9">
        <f>(0.93*5.124+0.56*14.788+0.58*3.331)/$H640</f>
        <v>0.64443402314675391</v>
      </c>
      <c r="J640" s="9">
        <f>(2.1*5.124+1.37*14.788+0.18*3.331)/$H640</f>
        <v>1.3603897947769221</v>
      </c>
      <c r="K640" s="13">
        <f>(72.9*5.124+57.6*14.788+56.1*3.331)/$H640</f>
        <v>60.757970141548007</v>
      </c>
      <c r="L640" s="9">
        <f>(0.06*5.124+0.1*14.788+0.08*3.331)/$H640</f>
        <v>8.831562190767113E-2</v>
      </c>
      <c r="M640" s="9">
        <f>(0.14*5.124+0.1*14.788+0.16*3.331)/$H640</f>
        <v>0.11741685668803511</v>
      </c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9">
        <f t="shared" si="48"/>
        <v>0.1497858</v>
      </c>
      <c r="AB640" s="9">
        <f t="shared" si="49"/>
        <v>0.31619540000000002</v>
      </c>
      <c r="AC640" s="10">
        <f t="shared" si="50"/>
        <v>1412.1975000000002</v>
      </c>
      <c r="AD640" s="10">
        <f t="shared" si="51"/>
        <v>2.72912</v>
      </c>
      <c r="AE640" s="9">
        <f t="shared" si="52"/>
        <v>2.0527199999999999E-2</v>
      </c>
      <c r="AF640" s="9">
        <f t="shared" si="53"/>
        <v>0.48650840000000001</v>
      </c>
      <c r="AG640" s="9">
        <f t="shared" si="54"/>
        <v>2.0931394398313472</v>
      </c>
      <c r="AH640" s="11">
        <f t="shared" si="62"/>
        <v>14.978580000000001</v>
      </c>
      <c r="AI640" s="11">
        <f t="shared" si="62"/>
        <v>31.619540000000001</v>
      </c>
      <c r="AJ640" s="11">
        <f t="shared" si="62"/>
        <v>1412.1975000000002</v>
      </c>
      <c r="AK640" s="11">
        <f t="shared" si="62"/>
        <v>2.0527199999999999</v>
      </c>
      <c r="AL640" s="11">
        <f t="shared" si="62"/>
        <v>2.72912</v>
      </c>
      <c r="AM640" s="2"/>
      <c r="AN640" s="2"/>
      <c r="AO640" s="2"/>
    </row>
    <row r="641" spans="1:41" x14ac:dyDescent="0.2">
      <c r="A641" s="2" t="s">
        <v>1276</v>
      </c>
      <c r="B641" s="2" t="s">
        <v>1164</v>
      </c>
      <c r="C641" s="2" t="s">
        <v>54</v>
      </c>
      <c r="D641" s="2" t="s">
        <v>1245</v>
      </c>
      <c r="E641" s="2" t="s">
        <v>50</v>
      </c>
      <c r="F641" s="2" t="s">
        <v>1277</v>
      </c>
      <c r="G641" s="2" t="s">
        <v>615</v>
      </c>
      <c r="H641" s="12">
        <f>(1.994+3.549)*0.9072</f>
        <v>5.0286096000000002</v>
      </c>
      <c r="I641" s="13">
        <f>(0.8*1.994+0.6*3.549)/(1.994+3.549)</f>
        <v>0.67194659931445067</v>
      </c>
      <c r="J641" s="13">
        <f>(1*1.994+0.9*3.549)/(1.994+3.549)</f>
        <v>0.93597329965722542</v>
      </c>
      <c r="K641" s="14">
        <f>((6.6*1.994+3.8*3.549)/(1.994+3.549))*31.1/0.9072</f>
        <v>164.79888595845659</v>
      </c>
      <c r="L641" s="2"/>
      <c r="M641" s="13">
        <f>((0.06*1.994+0.03*3.549)/(1.994+3.549))*31.1/0.9072</f>
        <v>1.3984026518980512</v>
      </c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9">
        <f t="shared" si="48"/>
        <v>3.3789571200000007E-2</v>
      </c>
      <c r="AB641" s="9">
        <f t="shared" si="49"/>
        <v>4.7066443200000002E-2</v>
      </c>
      <c r="AC641" s="10">
        <f t="shared" si="50"/>
        <v>828.70926000000009</v>
      </c>
      <c r="AD641" s="10">
        <f t="shared" si="51"/>
        <v>7.0320209999999994</v>
      </c>
      <c r="AE641" s="9">
        <f t="shared" si="52"/>
        <v>0</v>
      </c>
      <c r="AF641" s="9">
        <f t="shared" si="53"/>
        <v>8.0856014400000009E-2</v>
      </c>
      <c r="AG641" s="9">
        <f t="shared" si="54"/>
        <v>1.6079198989716761</v>
      </c>
      <c r="AH641" s="11">
        <f t="shared" si="62"/>
        <v>3.3789571200000004</v>
      </c>
      <c r="AI641" s="11">
        <f t="shared" si="62"/>
        <v>4.7066443200000005</v>
      </c>
      <c r="AJ641" s="11">
        <f t="shared" si="62"/>
        <v>828.70926000000009</v>
      </c>
      <c r="AK641" s="11">
        <f t="shared" si="62"/>
        <v>0</v>
      </c>
      <c r="AL641" s="11">
        <f t="shared" si="62"/>
        <v>7.0320209999999994</v>
      </c>
      <c r="AM641" s="2"/>
      <c r="AN641" s="2"/>
      <c r="AO641" s="2"/>
    </row>
    <row r="642" spans="1:41" x14ac:dyDescent="0.2">
      <c r="A642" s="2" t="s">
        <v>1278</v>
      </c>
      <c r="B642" s="2" t="s">
        <v>1164</v>
      </c>
      <c r="C642" s="2" t="s">
        <v>38</v>
      </c>
      <c r="D642" s="2" t="s">
        <v>39</v>
      </c>
      <c r="E642" s="2" t="s">
        <v>50</v>
      </c>
      <c r="F642" s="2" t="s">
        <v>1279</v>
      </c>
      <c r="G642" s="2" t="s">
        <v>1280</v>
      </c>
      <c r="H642" s="2">
        <v>94.5</v>
      </c>
      <c r="I642" s="2"/>
      <c r="J642" s="2">
        <v>1.27</v>
      </c>
      <c r="K642" s="2">
        <v>58.7</v>
      </c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9">
        <f t="shared" si="48"/>
        <v>0</v>
      </c>
      <c r="AB642" s="9">
        <f t="shared" si="49"/>
        <v>1.2001500000000001</v>
      </c>
      <c r="AC642" s="10">
        <f t="shared" si="50"/>
        <v>5547.1500000000005</v>
      </c>
      <c r="AD642" s="10">
        <f t="shared" si="51"/>
        <v>0</v>
      </c>
      <c r="AE642" s="9">
        <f t="shared" si="52"/>
        <v>0</v>
      </c>
      <c r="AF642" s="9">
        <f t="shared" si="53"/>
        <v>1.2001500000000001</v>
      </c>
      <c r="AG642" s="9">
        <f t="shared" si="54"/>
        <v>1.27</v>
      </c>
      <c r="AH642" s="11">
        <f t="shared" ref="AH642:AL657" si="63">$H642*I642</f>
        <v>0</v>
      </c>
      <c r="AI642" s="11">
        <f t="shared" si="63"/>
        <v>120.015</v>
      </c>
      <c r="AJ642" s="11">
        <f t="shared" si="63"/>
        <v>5547.1500000000005</v>
      </c>
      <c r="AK642" s="11">
        <f t="shared" si="63"/>
        <v>0</v>
      </c>
      <c r="AL642" s="11">
        <f t="shared" si="63"/>
        <v>0</v>
      </c>
      <c r="AM642" s="2"/>
      <c r="AN642" s="2"/>
      <c r="AO642" s="2"/>
    </row>
    <row r="643" spans="1:41" x14ac:dyDescent="0.2">
      <c r="A643" s="2" t="s">
        <v>1281</v>
      </c>
      <c r="B643" s="2" t="s">
        <v>1164</v>
      </c>
      <c r="C643" s="2" t="s">
        <v>1282</v>
      </c>
      <c r="D643" s="2" t="s">
        <v>1283</v>
      </c>
      <c r="E643" s="2" t="s">
        <v>50</v>
      </c>
      <c r="F643" s="2" t="s">
        <v>1183</v>
      </c>
      <c r="G643" s="2" t="s">
        <v>1167</v>
      </c>
      <c r="H643" s="2">
        <v>48.765000000000001</v>
      </c>
      <c r="I643" s="9">
        <v>0.95699999999999996</v>
      </c>
      <c r="J643" s="9">
        <v>2.8820000000000001</v>
      </c>
      <c r="K643" s="2"/>
      <c r="L643" s="9">
        <v>0.48699999999999999</v>
      </c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9">
        <f t="shared" si="48"/>
        <v>0.46668104999999999</v>
      </c>
      <c r="AB643" s="9">
        <f t="shared" si="49"/>
        <v>1.4054073</v>
      </c>
      <c r="AC643" s="10">
        <f t="shared" si="50"/>
        <v>0</v>
      </c>
      <c r="AD643" s="10">
        <f t="shared" si="51"/>
        <v>0</v>
      </c>
      <c r="AE643" s="9">
        <f t="shared" si="52"/>
        <v>0.23748554999999999</v>
      </c>
      <c r="AF643" s="9">
        <f t="shared" si="53"/>
        <v>2.1095739</v>
      </c>
      <c r="AG643" s="9">
        <f t="shared" si="54"/>
        <v>4.3259999999999996</v>
      </c>
      <c r="AH643" s="11">
        <f t="shared" si="63"/>
        <v>46.668104999999997</v>
      </c>
      <c r="AI643" s="11">
        <f t="shared" si="63"/>
        <v>140.54073</v>
      </c>
      <c r="AJ643" s="11">
        <f t="shared" si="63"/>
        <v>0</v>
      </c>
      <c r="AK643" s="11">
        <f t="shared" si="63"/>
        <v>23.748555</v>
      </c>
      <c r="AL643" s="11">
        <f t="shared" si="63"/>
        <v>0</v>
      </c>
      <c r="AM643" s="2"/>
      <c r="AN643" s="2"/>
      <c r="AO643" s="2"/>
    </row>
    <row r="644" spans="1:41" x14ac:dyDescent="0.2">
      <c r="A644" s="2" t="s">
        <v>1284</v>
      </c>
      <c r="B644" s="2" t="s">
        <v>1164</v>
      </c>
      <c r="C644" s="2" t="s">
        <v>1285</v>
      </c>
      <c r="D644" s="2"/>
      <c r="E644" s="2" t="s">
        <v>50</v>
      </c>
      <c r="F644" s="2" t="s">
        <v>1286</v>
      </c>
      <c r="G644" s="2" t="s">
        <v>134</v>
      </c>
      <c r="H644" s="2">
        <f>60.956+24.637+1.567+3.48</f>
        <v>90.64</v>
      </c>
      <c r="I644" s="2"/>
      <c r="J644" s="9">
        <f>(0.51*60.956+2.97*24.637+0.27*1.567+5.01*3.48)/$H644</f>
        <v>1.3472786849073257</v>
      </c>
      <c r="K644" s="2"/>
      <c r="L644" s="9">
        <f>(0.34*60.956+0.28*24.637+0.35*1.567+0.36*3.48)/$H644</f>
        <v>0.32463206090026481</v>
      </c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9">
        <f t="shared" si="48"/>
        <v>0</v>
      </c>
      <c r="AB644" s="9">
        <f t="shared" si="49"/>
        <v>1.2211734000000001</v>
      </c>
      <c r="AC644" s="10">
        <f t="shared" si="50"/>
        <v>0</v>
      </c>
      <c r="AD644" s="10">
        <f t="shared" si="51"/>
        <v>0</v>
      </c>
      <c r="AE644" s="9">
        <f t="shared" si="52"/>
        <v>0.29424650000000002</v>
      </c>
      <c r="AF644" s="9">
        <f t="shared" si="53"/>
        <v>1.5154199000000002</v>
      </c>
      <c r="AG644" s="9">
        <f t="shared" si="54"/>
        <v>1.6719107458075906</v>
      </c>
      <c r="AH644" s="11">
        <f t="shared" si="63"/>
        <v>0</v>
      </c>
      <c r="AI644" s="11">
        <f t="shared" si="63"/>
        <v>122.11734</v>
      </c>
      <c r="AJ644" s="11">
        <f t="shared" si="63"/>
        <v>0</v>
      </c>
      <c r="AK644" s="11">
        <f t="shared" si="63"/>
        <v>29.424650000000003</v>
      </c>
      <c r="AL644" s="11">
        <f t="shared" si="63"/>
        <v>0</v>
      </c>
      <c r="AM644" s="2"/>
      <c r="AN644" s="2"/>
      <c r="AO644" s="2"/>
    </row>
    <row r="645" spans="1:41" x14ac:dyDescent="0.2">
      <c r="A645" s="2" t="s">
        <v>1287</v>
      </c>
      <c r="B645" s="2" t="s">
        <v>1164</v>
      </c>
      <c r="C645" s="2" t="s">
        <v>48</v>
      </c>
      <c r="D645" s="2"/>
      <c r="E645" s="2" t="s">
        <v>50</v>
      </c>
      <c r="F645" s="2" t="s">
        <v>1175</v>
      </c>
      <c r="G645" s="2" t="s">
        <v>106</v>
      </c>
      <c r="H645" s="2">
        <v>10.872999999999999</v>
      </c>
      <c r="I645" s="2">
        <v>1.36</v>
      </c>
      <c r="J645" s="2">
        <v>5.38</v>
      </c>
      <c r="K645" s="13">
        <v>221.21</v>
      </c>
      <c r="L645" s="2">
        <v>0.31</v>
      </c>
      <c r="M645" s="2">
        <v>1.82</v>
      </c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9">
        <f t="shared" si="48"/>
        <v>0.1478728</v>
      </c>
      <c r="AB645" s="9">
        <f t="shared" si="49"/>
        <v>0.58496739999999992</v>
      </c>
      <c r="AC645" s="10">
        <f t="shared" si="50"/>
        <v>2405.2163299999997</v>
      </c>
      <c r="AD645" s="10">
        <f t="shared" si="51"/>
        <v>19.78886</v>
      </c>
      <c r="AE645" s="9">
        <f t="shared" si="52"/>
        <v>3.3706299999999995E-2</v>
      </c>
      <c r="AF645" s="9">
        <f t="shared" si="53"/>
        <v>0.76654649999999991</v>
      </c>
      <c r="AG645" s="9">
        <f t="shared" si="54"/>
        <v>7.05</v>
      </c>
      <c r="AH645" s="11">
        <f t="shared" si="63"/>
        <v>14.787280000000001</v>
      </c>
      <c r="AI645" s="11">
        <f t="shared" si="63"/>
        <v>58.496739999999996</v>
      </c>
      <c r="AJ645" s="11">
        <f t="shared" si="63"/>
        <v>2405.2163299999997</v>
      </c>
      <c r="AK645" s="11">
        <f t="shared" si="63"/>
        <v>3.3706299999999998</v>
      </c>
      <c r="AL645" s="11">
        <f t="shared" si="63"/>
        <v>19.78886</v>
      </c>
      <c r="AM645" s="2"/>
      <c r="AN645" s="2"/>
      <c r="AO645" s="2"/>
    </row>
    <row r="646" spans="1:41" x14ac:dyDescent="0.2">
      <c r="A646" s="2" t="s">
        <v>1288</v>
      </c>
      <c r="B646" s="2" t="s">
        <v>1164</v>
      </c>
      <c r="C646" s="2" t="s">
        <v>54</v>
      </c>
      <c r="D646" s="2" t="s">
        <v>73</v>
      </c>
      <c r="E646" s="2" t="s">
        <v>50</v>
      </c>
      <c r="F646" s="2" t="s">
        <v>1289</v>
      </c>
      <c r="G646" s="2" t="s">
        <v>71</v>
      </c>
      <c r="H646" s="12">
        <f>0.0604+0.0954+0.273</f>
        <v>0.42880000000000001</v>
      </c>
      <c r="I646" s="9">
        <f>(6.73*0.0604+6.33*0.0954+5.7*0.273)/$H646</f>
        <v>5.9852472014925375</v>
      </c>
      <c r="J646" s="13">
        <f>(5.2*0.0604+3.7*0.0954+3.9*0.273)/$H646</f>
        <v>4.0386194029850744</v>
      </c>
      <c r="K646" s="14">
        <f>(801*0.0604+809*0.0954+837*0.273)/$H646</f>
        <v>825.69962686567158</v>
      </c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9">
        <f t="shared" si="48"/>
        <v>2.5664740000000005E-2</v>
      </c>
      <c r="AB646" s="9">
        <f t="shared" si="49"/>
        <v>1.7317599999999999E-2</v>
      </c>
      <c r="AC646" s="10">
        <f t="shared" si="50"/>
        <v>354.06</v>
      </c>
      <c r="AD646" s="10">
        <f t="shared" si="51"/>
        <v>0</v>
      </c>
      <c r="AE646" s="9">
        <f t="shared" si="52"/>
        <v>0</v>
      </c>
      <c r="AF646" s="9">
        <f t="shared" si="53"/>
        <v>4.2982340000000008E-2</v>
      </c>
      <c r="AG646" s="9">
        <f t="shared" si="54"/>
        <v>10.023866604477611</v>
      </c>
      <c r="AH646" s="11">
        <f t="shared" si="63"/>
        <v>2.5664740000000004</v>
      </c>
      <c r="AI646" s="11">
        <f t="shared" si="63"/>
        <v>1.73176</v>
      </c>
      <c r="AJ646" s="11">
        <f t="shared" si="63"/>
        <v>354.06</v>
      </c>
      <c r="AK646" s="11">
        <f t="shared" si="63"/>
        <v>0</v>
      </c>
      <c r="AL646" s="11">
        <f t="shared" si="63"/>
        <v>0</v>
      </c>
      <c r="AM646" s="2"/>
      <c r="AN646" s="2"/>
      <c r="AO646" s="2"/>
    </row>
    <row r="647" spans="1:41" x14ac:dyDescent="0.2">
      <c r="A647" s="2" t="s">
        <v>1290</v>
      </c>
      <c r="B647" s="2" t="s">
        <v>1164</v>
      </c>
      <c r="C647" s="2" t="s">
        <v>157</v>
      </c>
      <c r="D647" s="2"/>
      <c r="E647" s="2" t="s">
        <v>50</v>
      </c>
      <c r="F647" s="2" t="s">
        <v>1175</v>
      </c>
      <c r="G647" s="2" t="s">
        <v>106</v>
      </c>
      <c r="H647" s="2">
        <v>29.937999999999999</v>
      </c>
      <c r="I647" s="2">
        <v>0.48</v>
      </c>
      <c r="J647" s="2">
        <v>4.21</v>
      </c>
      <c r="K647" s="2">
        <v>26.48</v>
      </c>
      <c r="L647" s="2">
        <v>0.17</v>
      </c>
      <c r="M647" s="2">
        <v>0.25</v>
      </c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9">
        <f t="shared" si="48"/>
        <v>0.14370239999999998</v>
      </c>
      <c r="AB647" s="9">
        <f t="shared" si="49"/>
        <v>1.2603898</v>
      </c>
      <c r="AC647" s="10">
        <f t="shared" si="50"/>
        <v>792.75824</v>
      </c>
      <c r="AD647" s="10">
        <f t="shared" si="51"/>
        <v>7.4844999999999997</v>
      </c>
      <c r="AE647" s="9">
        <f t="shared" si="52"/>
        <v>5.0894599999999998E-2</v>
      </c>
      <c r="AF647" s="9">
        <f t="shared" si="53"/>
        <v>1.4549867999999999</v>
      </c>
      <c r="AG647" s="9">
        <f t="shared" si="54"/>
        <v>4.8599999999999994</v>
      </c>
      <c r="AH647" s="11">
        <f t="shared" si="63"/>
        <v>14.370239999999999</v>
      </c>
      <c r="AI647" s="11">
        <f t="shared" si="63"/>
        <v>126.03898</v>
      </c>
      <c r="AJ647" s="11">
        <f t="shared" si="63"/>
        <v>792.75824</v>
      </c>
      <c r="AK647" s="11">
        <f t="shared" si="63"/>
        <v>5.0894599999999999</v>
      </c>
      <c r="AL647" s="11">
        <f t="shared" si="63"/>
        <v>7.4844999999999997</v>
      </c>
      <c r="AM647" s="2"/>
      <c r="AN647" s="2"/>
      <c r="AO647" s="2"/>
    </row>
    <row r="648" spans="1:41" x14ac:dyDescent="0.2">
      <c r="A648" s="2" t="s">
        <v>1291</v>
      </c>
      <c r="B648" s="2" t="s">
        <v>1164</v>
      </c>
      <c r="C648" s="2" t="s">
        <v>157</v>
      </c>
      <c r="D648" s="2"/>
      <c r="E648" s="2" t="s">
        <v>50</v>
      </c>
      <c r="F648" s="2" t="s">
        <v>1292</v>
      </c>
      <c r="G648" s="2" t="s">
        <v>1167</v>
      </c>
      <c r="H648" s="2">
        <f>0.679+1.279+0.091+0.089</f>
        <v>2.1379999999999999</v>
      </c>
      <c r="I648" s="9">
        <f>(1.16*0.679+0.95*1.279+2.95*0.091+3.04*0.089)/$H648</f>
        <v>1.188821328344247</v>
      </c>
      <c r="J648" s="9">
        <f>(1.03*0.679+1.18*1.279+2.55*0.091+2.56*0.089)/$H648</f>
        <v>1.2481197380729656</v>
      </c>
      <c r="K648" s="14">
        <f>(182*0.679+204*1.279+147*0.091+200*0.089)/$H648</f>
        <v>194.42048643592145</v>
      </c>
      <c r="L648" s="2"/>
      <c r="M648" s="9">
        <f>(3.69*0.679+3.48*1.279+3.14*0.091+2.25*0.089)/$H648</f>
        <v>3.4810196445275956</v>
      </c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9">
        <f t="shared" si="48"/>
        <v>2.5417000000000002E-2</v>
      </c>
      <c r="AB648" s="9">
        <f t="shared" si="49"/>
        <v>2.6684800000000002E-2</v>
      </c>
      <c r="AC648" s="10">
        <f t="shared" si="50"/>
        <v>415.67100000000005</v>
      </c>
      <c r="AD648" s="10">
        <f t="shared" si="51"/>
        <v>7.4424199999999994</v>
      </c>
      <c r="AE648" s="9">
        <f t="shared" si="52"/>
        <v>0</v>
      </c>
      <c r="AF648" s="9">
        <f t="shared" si="53"/>
        <v>5.2101800000000004E-2</v>
      </c>
      <c r="AG648" s="9">
        <f t="shared" si="54"/>
        <v>2.4369410664172126</v>
      </c>
      <c r="AH648" s="11">
        <f t="shared" si="63"/>
        <v>2.5417000000000001</v>
      </c>
      <c r="AI648" s="11">
        <f t="shared" si="63"/>
        <v>2.6684800000000002</v>
      </c>
      <c r="AJ648" s="11">
        <f t="shared" si="63"/>
        <v>415.67100000000005</v>
      </c>
      <c r="AK648" s="11">
        <f t="shared" si="63"/>
        <v>0</v>
      </c>
      <c r="AL648" s="11">
        <f t="shared" si="63"/>
        <v>7.4424199999999994</v>
      </c>
      <c r="AM648" s="2"/>
      <c r="AN648" s="2"/>
      <c r="AO648" s="2"/>
    </row>
    <row r="649" spans="1:41" x14ac:dyDescent="0.2">
      <c r="A649" s="2" t="s">
        <v>1293</v>
      </c>
      <c r="B649" s="2" t="s">
        <v>1294</v>
      </c>
      <c r="C649" s="2" t="s">
        <v>38</v>
      </c>
      <c r="D649" s="2" t="s">
        <v>62</v>
      </c>
      <c r="E649" s="2" t="s">
        <v>50</v>
      </c>
      <c r="F649" s="2" t="s">
        <v>1295</v>
      </c>
      <c r="G649" s="2" t="s">
        <v>106</v>
      </c>
      <c r="H649" s="2">
        <v>2.5099999999999998</v>
      </c>
      <c r="I649" s="2">
        <v>3.17</v>
      </c>
      <c r="J649" s="2">
        <v>3.84</v>
      </c>
      <c r="K649" s="13">
        <f>(16.51*1.63)/H649</f>
        <v>10.72163346613546</v>
      </c>
      <c r="L649" s="2">
        <v>0.31</v>
      </c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9">
        <f t="shared" si="48"/>
        <v>7.9566999999999985E-2</v>
      </c>
      <c r="AB649" s="9">
        <f t="shared" si="49"/>
        <v>9.6383999999999984E-2</v>
      </c>
      <c r="AC649" s="10">
        <f t="shared" si="50"/>
        <v>26.911300000000001</v>
      </c>
      <c r="AD649" s="10">
        <f t="shared" si="51"/>
        <v>0</v>
      </c>
      <c r="AE649" s="9">
        <f t="shared" si="52"/>
        <v>7.7809999999999989E-3</v>
      </c>
      <c r="AF649" s="9">
        <f t="shared" si="53"/>
        <v>0.18373199999999998</v>
      </c>
      <c r="AG649" s="9">
        <f t="shared" si="54"/>
        <v>7.3199999999999994</v>
      </c>
      <c r="AH649" s="11">
        <f t="shared" si="63"/>
        <v>7.9566999999999988</v>
      </c>
      <c r="AI649" s="11">
        <f t="shared" si="63"/>
        <v>9.638399999999999</v>
      </c>
      <c r="AJ649" s="11">
        <f t="shared" si="63"/>
        <v>26.911300000000001</v>
      </c>
      <c r="AK649" s="11">
        <f t="shared" si="63"/>
        <v>0.7780999999999999</v>
      </c>
      <c r="AL649" s="11">
        <f t="shared" si="63"/>
        <v>0</v>
      </c>
      <c r="AM649" s="2"/>
      <c r="AN649" s="2"/>
      <c r="AO649" s="2"/>
    </row>
    <row r="650" spans="1:41" x14ac:dyDescent="0.2">
      <c r="A650" s="2" t="s">
        <v>1296</v>
      </c>
      <c r="B650" s="2" t="s">
        <v>1294</v>
      </c>
      <c r="C650" s="2" t="s">
        <v>38</v>
      </c>
      <c r="D650" s="2" t="s">
        <v>62</v>
      </c>
      <c r="E650" s="2" t="s">
        <v>50</v>
      </c>
      <c r="F650" s="2" t="s">
        <v>1295</v>
      </c>
      <c r="G650" s="2" t="s">
        <v>106</v>
      </c>
      <c r="H650" s="9">
        <v>1.9</v>
      </c>
      <c r="I650" s="2">
        <v>1.51</v>
      </c>
      <c r="J650" s="2">
        <v>2.98</v>
      </c>
      <c r="K650" s="2"/>
      <c r="L650" s="2">
        <v>0.26</v>
      </c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9">
        <f t="shared" si="48"/>
        <v>2.8689999999999997E-2</v>
      </c>
      <c r="AB650" s="9">
        <f t="shared" si="49"/>
        <v>5.6619999999999997E-2</v>
      </c>
      <c r="AC650" s="10">
        <f t="shared" si="50"/>
        <v>0</v>
      </c>
      <c r="AD650" s="10">
        <f t="shared" si="51"/>
        <v>0</v>
      </c>
      <c r="AE650" s="9">
        <f t="shared" si="52"/>
        <v>4.9399999999999999E-3</v>
      </c>
      <c r="AF650" s="9">
        <f t="shared" si="53"/>
        <v>9.0249999999999997E-2</v>
      </c>
      <c r="AG650" s="9">
        <f t="shared" si="54"/>
        <v>4.75</v>
      </c>
      <c r="AH650" s="11">
        <f t="shared" si="63"/>
        <v>2.8689999999999998</v>
      </c>
      <c r="AI650" s="11">
        <f t="shared" si="63"/>
        <v>5.6619999999999999</v>
      </c>
      <c r="AJ650" s="11">
        <f t="shared" si="63"/>
        <v>0</v>
      </c>
      <c r="AK650" s="11">
        <f t="shared" si="63"/>
        <v>0.49399999999999999</v>
      </c>
      <c r="AL650" s="11">
        <f t="shared" si="63"/>
        <v>0</v>
      </c>
      <c r="AM650" s="2"/>
      <c r="AN650" s="2"/>
      <c r="AO650" s="2"/>
    </row>
    <row r="651" spans="1:41" x14ac:dyDescent="0.2">
      <c r="A651" s="2" t="s">
        <v>1297</v>
      </c>
      <c r="B651" s="2" t="s">
        <v>1294</v>
      </c>
      <c r="C651" s="2" t="s">
        <v>38</v>
      </c>
      <c r="D651" s="2" t="s">
        <v>62</v>
      </c>
      <c r="E651" s="2" t="s">
        <v>50</v>
      </c>
      <c r="F651" s="2" t="s">
        <v>1295</v>
      </c>
      <c r="G651" s="2" t="s">
        <v>106</v>
      </c>
      <c r="H651" s="2">
        <v>4.74</v>
      </c>
      <c r="I651" s="2">
        <v>0.11</v>
      </c>
      <c r="J651" s="2">
        <v>4.0599999999999996</v>
      </c>
      <c r="K651" s="2"/>
      <c r="L651" s="9">
        <v>0.3</v>
      </c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9">
        <f t="shared" si="48"/>
        <v>5.2139999999999999E-3</v>
      </c>
      <c r="AB651" s="9">
        <f t="shared" si="49"/>
        <v>0.19244399999999998</v>
      </c>
      <c r="AC651" s="10">
        <f t="shared" si="50"/>
        <v>0</v>
      </c>
      <c r="AD651" s="10">
        <f t="shared" si="51"/>
        <v>0</v>
      </c>
      <c r="AE651" s="9">
        <f t="shared" si="52"/>
        <v>1.422E-2</v>
      </c>
      <c r="AF651" s="9">
        <f t="shared" si="53"/>
        <v>0.21187799999999998</v>
      </c>
      <c r="AG651" s="9">
        <f t="shared" si="54"/>
        <v>4.47</v>
      </c>
      <c r="AH651" s="11">
        <f t="shared" si="63"/>
        <v>0.52139999999999997</v>
      </c>
      <c r="AI651" s="11">
        <f t="shared" si="63"/>
        <v>19.244399999999999</v>
      </c>
      <c r="AJ651" s="11">
        <f t="shared" si="63"/>
        <v>0</v>
      </c>
      <c r="AK651" s="11">
        <f t="shared" si="63"/>
        <v>1.4219999999999999</v>
      </c>
      <c r="AL651" s="11">
        <f t="shared" si="63"/>
        <v>0</v>
      </c>
      <c r="AM651" s="2"/>
      <c r="AN651" s="2"/>
      <c r="AO651" s="2"/>
    </row>
    <row r="652" spans="1:41" x14ac:dyDescent="0.2">
      <c r="A652" s="2" t="s">
        <v>1298</v>
      </c>
      <c r="B652" s="2" t="s">
        <v>1299</v>
      </c>
      <c r="C652" s="2" t="s">
        <v>54</v>
      </c>
      <c r="D652" s="2" t="s">
        <v>1300</v>
      </c>
      <c r="E652" s="7" t="s">
        <v>40</v>
      </c>
      <c r="F652" s="2" t="s">
        <v>1301</v>
      </c>
      <c r="G652" s="8" t="s">
        <v>429</v>
      </c>
      <c r="H652" s="12">
        <v>3.8389700000000002</v>
      </c>
      <c r="I652" s="2">
        <v>0.86</v>
      </c>
      <c r="J652" s="2">
        <v>3.9</v>
      </c>
      <c r="K652" s="2">
        <v>203</v>
      </c>
      <c r="L652" s="2"/>
      <c r="M652" s="9">
        <v>3.6</v>
      </c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9">
        <f t="shared" si="48"/>
        <v>3.3015142000000004E-2</v>
      </c>
      <c r="AB652" s="9">
        <f t="shared" si="49"/>
        <v>0.14971983</v>
      </c>
      <c r="AC652" s="10">
        <f t="shared" si="50"/>
        <v>779.31091000000004</v>
      </c>
      <c r="AD652" s="10">
        <f t="shared" si="51"/>
        <v>13.820292</v>
      </c>
      <c r="AE652" s="9">
        <f t="shared" si="52"/>
        <v>0</v>
      </c>
      <c r="AF652" s="9">
        <f t="shared" si="53"/>
        <v>0.182734972</v>
      </c>
      <c r="AG652" s="9">
        <f t="shared" si="54"/>
        <v>4.76</v>
      </c>
      <c r="AH652" s="11">
        <f t="shared" si="63"/>
        <v>3.3015142000000002</v>
      </c>
      <c r="AI652" s="11">
        <f t="shared" si="63"/>
        <v>14.971983</v>
      </c>
      <c r="AJ652" s="11">
        <f t="shared" si="63"/>
        <v>779.31091000000004</v>
      </c>
      <c r="AK652" s="11">
        <f t="shared" si="63"/>
        <v>0</v>
      </c>
      <c r="AL652" s="11">
        <f t="shared" si="63"/>
        <v>13.820292</v>
      </c>
      <c r="AM652" s="2"/>
      <c r="AN652" s="2"/>
      <c r="AO652" s="2"/>
    </row>
    <row r="653" spans="1:41" x14ac:dyDescent="0.2">
      <c r="A653" s="2" t="s">
        <v>1302</v>
      </c>
      <c r="B653" s="2" t="s">
        <v>1299</v>
      </c>
      <c r="C653" s="2" t="s">
        <v>38</v>
      </c>
      <c r="D653" s="2" t="s">
        <v>39</v>
      </c>
      <c r="E653" s="7" t="s">
        <v>40</v>
      </c>
      <c r="F653" s="2" t="s">
        <v>1303</v>
      </c>
      <c r="G653" s="8" t="s">
        <v>1304</v>
      </c>
      <c r="H653" s="2">
        <v>19</v>
      </c>
      <c r="I653" s="2">
        <v>2</v>
      </c>
      <c r="J653" s="2">
        <v>7</v>
      </c>
      <c r="K653" s="2"/>
      <c r="L653" s="2">
        <v>0.5</v>
      </c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9">
        <f t="shared" si="48"/>
        <v>0.38</v>
      </c>
      <c r="AB653" s="9">
        <f t="shared" si="49"/>
        <v>1.33</v>
      </c>
      <c r="AC653" s="10">
        <f t="shared" si="50"/>
        <v>0</v>
      </c>
      <c r="AD653" s="10">
        <f t="shared" si="51"/>
        <v>0</v>
      </c>
      <c r="AE653" s="9">
        <f t="shared" si="52"/>
        <v>9.5000000000000001E-2</v>
      </c>
      <c r="AF653" s="9">
        <f t="shared" si="53"/>
        <v>1.8049999999999999</v>
      </c>
      <c r="AG653" s="9">
        <f t="shared" si="54"/>
        <v>9.5</v>
      </c>
      <c r="AH653" s="11">
        <f t="shared" si="63"/>
        <v>38</v>
      </c>
      <c r="AI653" s="11">
        <f t="shared" si="63"/>
        <v>133</v>
      </c>
      <c r="AJ653" s="11">
        <f t="shared" si="63"/>
        <v>0</v>
      </c>
      <c r="AK653" s="11">
        <f t="shared" si="63"/>
        <v>9.5</v>
      </c>
      <c r="AL653" s="11">
        <f t="shared" si="63"/>
        <v>0</v>
      </c>
      <c r="AM653" s="2"/>
      <c r="AN653" s="2"/>
      <c r="AO653" s="2"/>
    </row>
    <row r="654" spans="1:41" x14ac:dyDescent="0.2">
      <c r="A654" s="2" t="s">
        <v>1305</v>
      </c>
      <c r="B654" s="2" t="s">
        <v>1299</v>
      </c>
      <c r="C654" s="2" t="s">
        <v>157</v>
      </c>
      <c r="D654" s="2"/>
      <c r="E654" s="2" t="s">
        <v>50</v>
      </c>
      <c r="F654" s="2" t="s">
        <v>1306</v>
      </c>
      <c r="G654" s="2" t="s">
        <v>1307</v>
      </c>
      <c r="H654" s="2">
        <f>5.05+4.933+5.898</f>
        <v>15.881</v>
      </c>
      <c r="I654" s="9">
        <f>(6.79*5.05+7.44*4.933+6.98*5.898)/$H654</f>
        <v>7.0624683584157157</v>
      </c>
      <c r="J654" s="9">
        <f>(0.97*5.05+1.27*4.933+1.66*5.898)/$H654</f>
        <v>1.3194439896731942</v>
      </c>
      <c r="K654" s="13">
        <f>(121.8*5.05+133*4.933+131.1*5.898)/$H654</f>
        <v>128.73287576349094</v>
      </c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9">
        <f t="shared" si="48"/>
        <v>1.1215905999999998</v>
      </c>
      <c r="AB654" s="9">
        <f t="shared" si="49"/>
        <v>0.20954089999999997</v>
      </c>
      <c r="AC654" s="10">
        <f t="shared" si="50"/>
        <v>2044.4067999999995</v>
      </c>
      <c r="AD654" s="10">
        <f t="shared" si="51"/>
        <v>0</v>
      </c>
      <c r="AE654" s="9">
        <f t="shared" si="52"/>
        <v>0</v>
      </c>
      <c r="AF654" s="9">
        <f t="shared" si="53"/>
        <v>1.3311314999999997</v>
      </c>
      <c r="AG654" s="9">
        <f t="shared" si="54"/>
        <v>8.3819123480889104</v>
      </c>
      <c r="AH654" s="11">
        <f t="shared" si="63"/>
        <v>112.15905999999998</v>
      </c>
      <c r="AI654" s="11">
        <f t="shared" si="63"/>
        <v>20.954089999999997</v>
      </c>
      <c r="AJ654" s="11">
        <f t="shared" si="63"/>
        <v>2044.4067999999995</v>
      </c>
      <c r="AK654" s="11">
        <f t="shared" si="63"/>
        <v>0</v>
      </c>
      <c r="AL654" s="11">
        <f t="shared" si="63"/>
        <v>0</v>
      </c>
      <c r="AM654" s="2"/>
      <c r="AN654" s="2"/>
      <c r="AO654" s="2"/>
    </row>
    <row r="655" spans="1:41" x14ac:dyDescent="0.2">
      <c r="A655" s="2" t="s">
        <v>1308</v>
      </c>
      <c r="B655" s="2" t="s">
        <v>1309</v>
      </c>
      <c r="C655" s="2" t="s">
        <v>38</v>
      </c>
      <c r="D655" s="2" t="s">
        <v>39</v>
      </c>
      <c r="E655" s="2" t="s">
        <v>50</v>
      </c>
      <c r="F655" s="2" t="s">
        <v>1310</v>
      </c>
      <c r="G655" s="2" t="s">
        <v>429</v>
      </c>
      <c r="H655" s="12">
        <v>1.3395999999999999</v>
      </c>
      <c r="I655" s="2">
        <v>3.69</v>
      </c>
      <c r="J655" s="2">
        <v>14.74</v>
      </c>
      <c r="K655" s="2">
        <v>8.6999999999999993</v>
      </c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12">
        <f>0.329*(2*50.9415/(2*50.9415+5*16))</f>
        <v>0.18429158854868244</v>
      </c>
      <c r="Y655" s="12"/>
      <c r="Z655" s="2"/>
      <c r="AA655" s="9">
        <f t="shared" si="48"/>
        <v>4.9431239999999994E-2</v>
      </c>
      <c r="AB655" s="9">
        <f t="shared" si="49"/>
        <v>0.19745704</v>
      </c>
      <c r="AC655" s="10">
        <f t="shared" si="50"/>
        <v>11.654519999999998</v>
      </c>
      <c r="AD655" s="10">
        <f t="shared" si="51"/>
        <v>0</v>
      </c>
      <c r="AE655" s="9">
        <f t="shared" si="52"/>
        <v>0</v>
      </c>
      <c r="AF655" s="9">
        <f t="shared" si="53"/>
        <v>0.24688827999999999</v>
      </c>
      <c r="AG655" s="9">
        <f t="shared" si="54"/>
        <v>18.43</v>
      </c>
      <c r="AH655" s="11">
        <f t="shared" si="63"/>
        <v>4.9431239999999992</v>
      </c>
      <c r="AI655" s="11">
        <f t="shared" si="63"/>
        <v>19.745704</v>
      </c>
      <c r="AJ655" s="11">
        <f t="shared" si="63"/>
        <v>11.654519999999998</v>
      </c>
      <c r="AK655" s="11">
        <f t="shared" si="63"/>
        <v>0</v>
      </c>
      <c r="AL655" s="11">
        <f t="shared" si="63"/>
        <v>0</v>
      </c>
      <c r="AM655" s="2"/>
      <c r="AN655" s="2"/>
      <c r="AO655" s="2"/>
    </row>
    <row r="656" spans="1:41" x14ac:dyDescent="0.2">
      <c r="A656" s="2" t="s">
        <v>1311</v>
      </c>
      <c r="B656" s="2" t="s">
        <v>1309</v>
      </c>
      <c r="C656" s="2" t="s">
        <v>38</v>
      </c>
      <c r="D656" s="2" t="s">
        <v>62</v>
      </c>
      <c r="E656" s="7" t="s">
        <v>40</v>
      </c>
      <c r="F656" s="2" t="s">
        <v>1312</v>
      </c>
      <c r="G656" s="2" t="s">
        <v>875</v>
      </c>
      <c r="H656" s="2">
        <v>17.5</v>
      </c>
      <c r="I656" s="2">
        <v>2.2999999999999998</v>
      </c>
      <c r="J656" s="2">
        <v>8.6</v>
      </c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9">
        <f t="shared" si="48"/>
        <v>0.40250000000000002</v>
      </c>
      <c r="AB656" s="9">
        <f t="shared" si="49"/>
        <v>1.5049999999999999</v>
      </c>
      <c r="AC656" s="10">
        <f t="shared" si="50"/>
        <v>0</v>
      </c>
      <c r="AD656" s="10">
        <f t="shared" si="51"/>
        <v>0</v>
      </c>
      <c r="AE656" s="9">
        <f t="shared" si="52"/>
        <v>0</v>
      </c>
      <c r="AF656" s="9">
        <f t="shared" si="53"/>
        <v>1.9075</v>
      </c>
      <c r="AG656" s="9">
        <f t="shared" si="54"/>
        <v>10.899999999999999</v>
      </c>
      <c r="AH656" s="11">
        <f t="shared" si="63"/>
        <v>40.25</v>
      </c>
      <c r="AI656" s="11">
        <f t="shared" si="63"/>
        <v>150.5</v>
      </c>
      <c r="AJ656" s="11">
        <f t="shared" si="63"/>
        <v>0</v>
      </c>
      <c r="AK656" s="11">
        <f t="shared" si="63"/>
        <v>0</v>
      </c>
      <c r="AL656" s="11">
        <f t="shared" si="63"/>
        <v>0</v>
      </c>
      <c r="AM656" s="2"/>
      <c r="AN656" s="2"/>
      <c r="AO656" s="2"/>
    </row>
    <row r="657" spans="1:41" x14ac:dyDescent="0.2">
      <c r="A657" s="2" t="s">
        <v>1313</v>
      </c>
      <c r="B657" s="2" t="s">
        <v>1309</v>
      </c>
      <c r="C657" s="2" t="s">
        <v>38</v>
      </c>
      <c r="D657" s="2" t="s">
        <v>62</v>
      </c>
      <c r="E657" s="2" t="s">
        <v>50</v>
      </c>
      <c r="F657" s="2" t="s">
        <v>1314</v>
      </c>
      <c r="G657" s="2" t="s">
        <v>106</v>
      </c>
      <c r="H657" s="2">
        <v>0.91700000000000004</v>
      </c>
      <c r="I657" s="2">
        <v>2.4</v>
      </c>
      <c r="J657" s="2">
        <v>5.7</v>
      </c>
      <c r="K657" s="2">
        <v>44.8</v>
      </c>
      <c r="L657" s="2"/>
      <c r="M657" s="2"/>
      <c r="N657" s="2"/>
      <c r="O657" s="2"/>
      <c r="P657" s="2"/>
      <c r="Q657" s="2"/>
      <c r="R657" s="14">
        <f>(5.7/6.6)*33</f>
        <v>28.500000000000004</v>
      </c>
      <c r="S657" s="2"/>
      <c r="T657" s="2"/>
      <c r="U657" s="2"/>
      <c r="V657" s="2"/>
      <c r="W657" s="2"/>
      <c r="X657" s="2"/>
      <c r="Y657" s="2"/>
      <c r="Z657" s="2"/>
      <c r="AA657" s="9">
        <f t="shared" si="48"/>
        <v>2.2008E-2</v>
      </c>
      <c r="AB657" s="9">
        <f t="shared" si="49"/>
        <v>5.2269000000000003E-2</v>
      </c>
      <c r="AC657" s="10">
        <f t="shared" si="50"/>
        <v>41.081600000000002</v>
      </c>
      <c r="AD657" s="10">
        <f t="shared" si="51"/>
        <v>0</v>
      </c>
      <c r="AE657" s="9">
        <f t="shared" si="52"/>
        <v>0</v>
      </c>
      <c r="AF657" s="9">
        <f t="shared" si="53"/>
        <v>7.427700000000001E-2</v>
      </c>
      <c r="AG657" s="9">
        <f t="shared" si="54"/>
        <v>8.1</v>
      </c>
      <c r="AH657" s="11">
        <f t="shared" si="63"/>
        <v>2.2008000000000001</v>
      </c>
      <c r="AI657" s="11">
        <f t="shared" si="63"/>
        <v>5.2269000000000005</v>
      </c>
      <c r="AJ657" s="11">
        <f t="shared" si="63"/>
        <v>41.081600000000002</v>
      </c>
      <c r="AK657" s="11">
        <f t="shared" si="63"/>
        <v>0</v>
      </c>
      <c r="AL657" s="11">
        <f t="shared" si="63"/>
        <v>0</v>
      </c>
      <c r="AM657" s="2"/>
      <c r="AN657" s="2"/>
      <c r="AO657" s="2"/>
    </row>
    <row r="658" spans="1:41" x14ac:dyDescent="0.2">
      <c r="A658" s="2" t="s">
        <v>1315</v>
      </c>
      <c r="B658" s="2" t="s">
        <v>1309</v>
      </c>
      <c r="C658" s="16" t="s">
        <v>1316</v>
      </c>
      <c r="D658" s="2"/>
      <c r="E658" s="16" t="s">
        <v>196</v>
      </c>
      <c r="F658" s="2" t="s">
        <v>1314</v>
      </c>
      <c r="G658" s="2" t="s">
        <v>106</v>
      </c>
      <c r="H658" s="2">
        <v>0.61</v>
      </c>
      <c r="I658" s="2">
        <v>0.3</v>
      </c>
      <c r="J658" s="2">
        <v>2.1</v>
      </c>
      <c r="K658" s="2">
        <v>7.6</v>
      </c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9">
        <f t="shared" si="48"/>
        <v>1.83E-3</v>
      </c>
      <c r="AB658" s="9">
        <f t="shared" si="49"/>
        <v>1.2809999999999998E-2</v>
      </c>
      <c r="AC658" s="10">
        <f t="shared" si="50"/>
        <v>4.6360000000000001</v>
      </c>
      <c r="AD658" s="10">
        <f t="shared" si="51"/>
        <v>0</v>
      </c>
      <c r="AE658" s="9">
        <f t="shared" si="52"/>
        <v>0</v>
      </c>
      <c r="AF658" s="9">
        <f t="shared" si="53"/>
        <v>1.4639999999999999E-2</v>
      </c>
      <c r="AG658" s="9">
        <f t="shared" si="54"/>
        <v>2.4</v>
      </c>
      <c r="AH658" s="11">
        <f t="shared" ref="AH658:AL673" si="64">$H658*I658</f>
        <v>0.183</v>
      </c>
      <c r="AI658" s="11">
        <f t="shared" si="64"/>
        <v>1.2809999999999999</v>
      </c>
      <c r="AJ658" s="11">
        <f t="shared" si="64"/>
        <v>4.6360000000000001</v>
      </c>
      <c r="AK658" s="11">
        <f t="shared" si="64"/>
        <v>0</v>
      </c>
      <c r="AL658" s="11">
        <f t="shared" si="64"/>
        <v>0</v>
      </c>
      <c r="AM658" s="2"/>
      <c r="AN658" s="2"/>
      <c r="AO658" s="2"/>
    </row>
    <row r="659" spans="1:41" x14ac:dyDescent="0.2">
      <c r="A659" s="2" t="s">
        <v>1317</v>
      </c>
      <c r="B659" s="2" t="s">
        <v>1309</v>
      </c>
      <c r="C659" s="2" t="s">
        <v>38</v>
      </c>
      <c r="D659" s="2" t="s">
        <v>62</v>
      </c>
      <c r="E659" s="2" t="s">
        <v>50</v>
      </c>
      <c r="F659" s="2" t="s">
        <v>63</v>
      </c>
      <c r="G659" s="2" t="s">
        <v>64</v>
      </c>
      <c r="H659" s="2">
        <f>2.62+7.5+4.5</f>
        <v>14.620000000000001</v>
      </c>
      <c r="I659" s="9">
        <f>(2.26*2.62+1.8*7.5+1*4.5)/$H659</f>
        <v>1.6361969904240765</v>
      </c>
      <c r="J659" s="13">
        <f>(8.15*2.62+7.8*7.5+7*4.5)/$H659</f>
        <v>7.6164842681258547</v>
      </c>
      <c r="K659" s="14">
        <f>(47*2.62+33*7.5+40*4.5)/$H659</f>
        <v>37.663474692202456</v>
      </c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9">
        <f t="shared" si="48"/>
        <v>0.23921199999999998</v>
      </c>
      <c r="AB659" s="9">
        <f t="shared" si="49"/>
        <v>1.1135300000000001</v>
      </c>
      <c r="AC659" s="10">
        <f t="shared" si="50"/>
        <v>550.64</v>
      </c>
      <c r="AD659" s="10">
        <f t="shared" si="51"/>
        <v>0</v>
      </c>
      <c r="AE659" s="9">
        <f t="shared" si="52"/>
        <v>0</v>
      </c>
      <c r="AF659" s="9">
        <f t="shared" si="53"/>
        <v>1.3527420000000001</v>
      </c>
      <c r="AG659" s="9">
        <f t="shared" si="54"/>
        <v>9.2526812585499307</v>
      </c>
      <c r="AH659" s="11">
        <f t="shared" si="64"/>
        <v>23.921199999999999</v>
      </c>
      <c r="AI659" s="11">
        <f t="shared" si="64"/>
        <v>111.35300000000001</v>
      </c>
      <c r="AJ659" s="11">
        <f t="shared" si="64"/>
        <v>550.64</v>
      </c>
      <c r="AK659" s="11">
        <f t="shared" si="64"/>
        <v>0</v>
      </c>
      <c r="AL659" s="11">
        <f t="shared" si="64"/>
        <v>0</v>
      </c>
      <c r="AM659" s="2"/>
      <c r="AN659" s="2"/>
      <c r="AO659" s="2"/>
    </row>
    <row r="660" spans="1:41" x14ac:dyDescent="0.2">
      <c r="A660" s="2" t="s">
        <v>1318</v>
      </c>
      <c r="B660" s="2" t="s">
        <v>1309</v>
      </c>
      <c r="C660" s="2" t="s">
        <v>48</v>
      </c>
      <c r="D660" s="2" t="s">
        <v>1138</v>
      </c>
      <c r="E660" s="2" t="s">
        <v>50</v>
      </c>
      <c r="F660" s="2" t="s">
        <v>1113</v>
      </c>
      <c r="G660" s="2" t="s">
        <v>1014</v>
      </c>
      <c r="H660" s="2">
        <f>3.6+3.5</f>
        <v>7.1</v>
      </c>
      <c r="I660" s="2"/>
      <c r="J660" s="9">
        <f>(10.2*3.6+9.13*3.5)/H660</f>
        <v>9.672535211267606</v>
      </c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9">
        <f t="shared" si="48"/>
        <v>0</v>
      </c>
      <c r="AB660" s="9">
        <f t="shared" si="49"/>
        <v>0.68674999999999997</v>
      </c>
      <c r="AC660" s="10">
        <f t="shared" si="50"/>
        <v>0</v>
      </c>
      <c r="AD660" s="10">
        <f t="shared" si="51"/>
        <v>0</v>
      </c>
      <c r="AE660" s="9">
        <f t="shared" si="52"/>
        <v>0</v>
      </c>
      <c r="AF660" s="9">
        <f t="shared" si="53"/>
        <v>0.68674999999999997</v>
      </c>
      <c r="AG660" s="9">
        <f t="shared" si="54"/>
        <v>9.672535211267606</v>
      </c>
      <c r="AH660" s="11">
        <f t="shared" si="64"/>
        <v>0</v>
      </c>
      <c r="AI660" s="11">
        <f t="shared" si="64"/>
        <v>68.674999999999997</v>
      </c>
      <c r="AJ660" s="11">
        <f t="shared" si="64"/>
        <v>0</v>
      </c>
      <c r="AK660" s="11">
        <f t="shared" si="64"/>
        <v>0</v>
      </c>
      <c r="AL660" s="11">
        <f t="shared" si="64"/>
        <v>0</v>
      </c>
      <c r="AM660" s="2"/>
      <c r="AN660" s="2"/>
      <c r="AO660" s="2"/>
    </row>
    <row r="661" spans="1:41" x14ac:dyDescent="0.2">
      <c r="A661" s="2" t="s">
        <v>1319</v>
      </c>
      <c r="B661" s="2" t="s">
        <v>1309</v>
      </c>
      <c r="C661" s="2" t="s">
        <v>38</v>
      </c>
      <c r="D661" s="2" t="s">
        <v>167</v>
      </c>
      <c r="E661" s="2" t="s">
        <v>50</v>
      </c>
      <c r="F661" s="2" t="s">
        <v>41</v>
      </c>
      <c r="G661" s="2" t="s">
        <v>1320</v>
      </c>
      <c r="H661" s="2">
        <v>5.8</v>
      </c>
      <c r="I661" s="2">
        <v>6.4</v>
      </c>
      <c r="J661" s="2">
        <v>0.8</v>
      </c>
      <c r="K661" s="2">
        <v>47</v>
      </c>
      <c r="L661" s="2">
        <v>0.4</v>
      </c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9">
        <f t="shared" si="48"/>
        <v>0.37119999999999997</v>
      </c>
      <c r="AB661" s="9">
        <f t="shared" si="49"/>
        <v>4.6399999999999997E-2</v>
      </c>
      <c r="AC661" s="10">
        <f t="shared" si="50"/>
        <v>272.59999999999997</v>
      </c>
      <c r="AD661" s="10">
        <f t="shared" si="51"/>
        <v>0</v>
      </c>
      <c r="AE661" s="9">
        <f t="shared" si="52"/>
        <v>2.3199999999999998E-2</v>
      </c>
      <c r="AF661" s="9">
        <f t="shared" si="53"/>
        <v>0.44079999999999997</v>
      </c>
      <c r="AG661" s="9">
        <f t="shared" si="54"/>
        <v>7.6000000000000005</v>
      </c>
      <c r="AH661" s="11">
        <f t="shared" si="64"/>
        <v>37.119999999999997</v>
      </c>
      <c r="AI661" s="11">
        <f t="shared" si="64"/>
        <v>4.6399999999999997</v>
      </c>
      <c r="AJ661" s="11">
        <f t="shared" si="64"/>
        <v>272.59999999999997</v>
      </c>
      <c r="AK661" s="11">
        <f t="shared" si="64"/>
        <v>2.3199999999999998</v>
      </c>
      <c r="AL661" s="11">
        <f t="shared" si="64"/>
        <v>0</v>
      </c>
      <c r="AM661" s="2"/>
      <c r="AN661" s="2"/>
      <c r="AO661" s="2"/>
    </row>
    <row r="662" spans="1:41" x14ac:dyDescent="0.2">
      <c r="A662" s="2" t="s">
        <v>1321</v>
      </c>
      <c r="B662" s="2" t="s">
        <v>1309</v>
      </c>
      <c r="C662" s="16" t="s">
        <v>1316</v>
      </c>
      <c r="D662" s="2" t="s">
        <v>361</v>
      </c>
      <c r="E662" s="16" t="s">
        <v>196</v>
      </c>
      <c r="F662" s="2" t="s">
        <v>1322</v>
      </c>
      <c r="G662" s="8" t="s">
        <v>429</v>
      </c>
      <c r="H662" s="2">
        <v>12</v>
      </c>
      <c r="I662" s="2">
        <v>0.77</v>
      </c>
      <c r="J662" s="2">
        <v>0.63</v>
      </c>
      <c r="K662" s="2">
        <v>12.74</v>
      </c>
      <c r="L662" s="2">
        <v>0.48</v>
      </c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9">
        <f t="shared" si="48"/>
        <v>9.2399999999999996E-2</v>
      </c>
      <c r="AB662" s="9">
        <f t="shared" si="49"/>
        <v>7.5600000000000001E-2</v>
      </c>
      <c r="AC662" s="10">
        <f t="shared" si="50"/>
        <v>152.88</v>
      </c>
      <c r="AD662" s="10">
        <f t="shared" si="51"/>
        <v>0</v>
      </c>
      <c r="AE662" s="9">
        <f t="shared" si="52"/>
        <v>5.7599999999999998E-2</v>
      </c>
      <c r="AF662" s="9">
        <f t="shared" si="53"/>
        <v>0.22559999999999997</v>
      </c>
      <c r="AG662" s="9">
        <f t="shared" si="54"/>
        <v>1.88</v>
      </c>
      <c r="AH662" s="11">
        <f t="shared" si="64"/>
        <v>9.24</v>
      </c>
      <c r="AI662" s="11">
        <f t="shared" si="64"/>
        <v>7.5600000000000005</v>
      </c>
      <c r="AJ662" s="11">
        <f t="shared" si="64"/>
        <v>152.88</v>
      </c>
      <c r="AK662" s="11">
        <f t="shared" si="64"/>
        <v>5.76</v>
      </c>
      <c r="AL662" s="11">
        <f t="shared" si="64"/>
        <v>0</v>
      </c>
      <c r="AM662" s="2"/>
      <c r="AN662" s="2"/>
      <c r="AO662" s="2"/>
    </row>
    <row r="663" spans="1:41" x14ac:dyDescent="0.2">
      <c r="A663" s="2" t="s">
        <v>1323</v>
      </c>
      <c r="B663" s="2" t="s">
        <v>1324</v>
      </c>
      <c r="C663" s="2" t="s">
        <v>38</v>
      </c>
      <c r="D663" s="2" t="s">
        <v>62</v>
      </c>
      <c r="E663" s="7" t="s">
        <v>40</v>
      </c>
      <c r="F663" s="2" t="s">
        <v>41</v>
      </c>
      <c r="G663" s="8" t="s">
        <v>1325</v>
      </c>
      <c r="H663" s="2">
        <v>1.3</v>
      </c>
      <c r="I663" s="2">
        <v>2.13</v>
      </c>
      <c r="J663" s="2">
        <v>13.35</v>
      </c>
      <c r="K663" s="2">
        <v>27</v>
      </c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9">
        <f t="shared" si="48"/>
        <v>2.7690000000000003E-2</v>
      </c>
      <c r="AB663" s="9">
        <f t="shared" si="49"/>
        <v>0.17355000000000001</v>
      </c>
      <c r="AC663" s="10">
        <f t="shared" si="50"/>
        <v>35.1</v>
      </c>
      <c r="AD663" s="10">
        <f t="shared" si="51"/>
        <v>0</v>
      </c>
      <c r="AE663" s="9">
        <f t="shared" si="52"/>
        <v>0</v>
      </c>
      <c r="AF663" s="9">
        <f t="shared" si="53"/>
        <v>0.20124</v>
      </c>
      <c r="AG663" s="9">
        <f t="shared" si="54"/>
        <v>15.48</v>
      </c>
      <c r="AH663" s="11">
        <f t="shared" si="64"/>
        <v>2.7690000000000001</v>
      </c>
      <c r="AI663" s="11">
        <f t="shared" si="64"/>
        <v>17.355</v>
      </c>
      <c r="AJ663" s="11">
        <f t="shared" si="64"/>
        <v>35.1</v>
      </c>
      <c r="AK663" s="11">
        <f t="shared" si="64"/>
        <v>0</v>
      </c>
      <c r="AL663" s="11">
        <f t="shared" si="64"/>
        <v>0</v>
      </c>
      <c r="AM663" s="2"/>
      <c r="AN663" s="2"/>
      <c r="AO663" s="2"/>
    </row>
    <row r="664" spans="1:41" x14ac:dyDescent="0.2">
      <c r="A664" s="2" t="s">
        <v>1326</v>
      </c>
      <c r="B664" s="2" t="s">
        <v>1324</v>
      </c>
      <c r="C664" s="2" t="s">
        <v>38</v>
      </c>
      <c r="D664" s="2" t="s">
        <v>62</v>
      </c>
      <c r="E664" s="7" t="s">
        <v>40</v>
      </c>
      <c r="F664" s="2" t="s">
        <v>41</v>
      </c>
      <c r="G664" s="8" t="s">
        <v>1325</v>
      </c>
      <c r="H664" s="2">
        <v>1.1000000000000001</v>
      </c>
      <c r="I664" s="2">
        <v>4.05</v>
      </c>
      <c r="J664" s="2">
        <v>16.25</v>
      </c>
      <c r="K664" s="2">
        <v>19.43</v>
      </c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9">
        <f t="shared" si="48"/>
        <v>4.4549999999999999E-2</v>
      </c>
      <c r="AB664" s="9">
        <f t="shared" si="49"/>
        <v>0.17874999999999999</v>
      </c>
      <c r="AC664" s="10">
        <f t="shared" si="50"/>
        <v>21.373000000000001</v>
      </c>
      <c r="AD664" s="10">
        <f t="shared" si="51"/>
        <v>0</v>
      </c>
      <c r="AE664" s="9">
        <f t="shared" si="52"/>
        <v>0</v>
      </c>
      <c r="AF664" s="9">
        <f t="shared" si="53"/>
        <v>0.2233</v>
      </c>
      <c r="AG664" s="9">
        <f t="shared" si="54"/>
        <v>20.3</v>
      </c>
      <c r="AH664" s="11">
        <f t="shared" si="64"/>
        <v>4.4550000000000001</v>
      </c>
      <c r="AI664" s="11">
        <f t="shared" si="64"/>
        <v>17.875</v>
      </c>
      <c r="AJ664" s="11">
        <f t="shared" si="64"/>
        <v>21.373000000000001</v>
      </c>
      <c r="AK664" s="11">
        <f t="shared" si="64"/>
        <v>0</v>
      </c>
      <c r="AL664" s="11">
        <f t="shared" si="64"/>
        <v>0</v>
      </c>
      <c r="AM664" s="2"/>
      <c r="AN664" s="2"/>
      <c r="AO664" s="2"/>
    </row>
    <row r="665" spans="1:41" x14ac:dyDescent="0.2">
      <c r="A665" s="2" t="s">
        <v>1327</v>
      </c>
      <c r="B665" s="2" t="s">
        <v>1328</v>
      </c>
      <c r="C665" s="2" t="s">
        <v>66</v>
      </c>
      <c r="D665" s="2"/>
      <c r="E665" s="7" t="s">
        <v>40</v>
      </c>
      <c r="F665" s="2" t="s">
        <v>1329</v>
      </c>
      <c r="G665" s="8" t="s">
        <v>1330</v>
      </c>
      <c r="H665" s="2">
        <v>160</v>
      </c>
      <c r="I665" s="2">
        <v>3.2</v>
      </c>
      <c r="J665" s="2">
        <v>3.6</v>
      </c>
      <c r="K665" s="2">
        <v>180</v>
      </c>
      <c r="L665" s="2">
        <v>1.5</v>
      </c>
      <c r="M665" s="2">
        <v>0.6</v>
      </c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9">
        <f t="shared" si="48"/>
        <v>5.12</v>
      </c>
      <c r="AB665" s="9">
        <f t="shared" si="49"/>
        <v>5.76</v>
      </c>
      <c r="AC665" s="10">
        <f t="shared" si="50"/>
        <v>28800</v>
      </c>
      <c r="AD665" s="10">
        <f t="shared" si="51"/>
        <v>96</v>
      </c>
      <c r="AE665" s="9">
        <f t="shared" si="52"/>
        <v>2.4</v>
      </c>
      <c r="AF665" s="9">
        <f t="shared" si="53"/>
        <v>13.28</v>
      </c>
      <c r="AG665" s="9">
        <f t="shared" si="54"/>
        <v>8.3000000000000007</v>
      </c>
      <c r="AH665" s="11">
        <f t="shared" si="64"/>
        <v>512</v>
      </c>
      <c r="AI665" s="11">
        <f t="shared" si="64"/>
        <v>576</v>
      </c>
      <c r="AJ665" s="11">
        <f t="shared" si="64"/>
        <v>28800</v>
      </c>
      <c r="AK665" s="11">
        <f t="shared" si="64"/>
        <v>240</v>
      </c>
      <c r="AL665" s="11">
        <f t="shared" si="64"/>
        <v>96</v>
      </c>
      <c r="AM665" s="2"/>
      <c r="AN665" s="2"/>
      <c r="AO665" s="2"/>
    </row>
    <row r="666" spans="1:41" x14ac:dyDescent="0.2">
      <c r="A666" s="2" t="s">
        <v>1331</v>
      </c>
      <c r="B666" s="2" t="s">
        <v>1328</v>
      </c>
      <c r="C666" s="2" t="s">
        <v>38</v>
      </c>
      <c r="D666" s="2" t="s">
        <v>39</v>
      </c>
      <c r="E666" s="7" t="s">
        <v>40</v>
      </c>
      <c r="F666" s="2" t="s">
        <v>1329</v>
      </c>
      <c r="G666" s="8" t="s">
        <v>1330</v>
      </c>
      <c r="H666" s="2">
        <v>266</v>
      </c>
      <c r="I666" s="2">
        <v>0.88</v>
      </c>
      <c r="J666" s="2">
        <v>4.21</v>
      </c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9">
        <f t="shared" si="48"/>
        <v>2.3408000000000002</v>
      </c>
      <c r="AB666" s="9">
        <f t="shared" si="49"/>
        <v>11.198599999999999</v>
      </c>
      <c r="AC666" s="10">
        <f t="shared" si="50"/>
        <v>0</v>
      </c>
      <c r="AD666" s="10">
        <f t="shared" si="51"/>
        <v>0</v>
      </c>
      <c r="AE666" s="9">
        <f t="shared" si="52"/>
        <v>0</v>
      </c>
      <c r="AF666" s="9">
        <f t="shared" si="53"/>
        <v>13.539399999999999</v>
      </c>
      <c r="AG666" s="9">
        <f t="shared" si="54"/>
        <v>5.09</v>
      </c>
      <c r="AH666" s="11">
        <f t="shared" si="64"/>
        <v>234.08</v>
      </c>
      <c r="AI666" s="11">
        <f t="shared" si="64"/>
        <v>1119.8599999999999</v>
      </c>
      <c r="AJ666" s="11">
        <f t="shared" si="64"/>
        <v>0</v>
      </c>
      <c r="AK666" s="11">
        <f t="shared" si="64"/>
        <v>0</v>
      </c>
      <c r="AL666" s="11">
        <f t="shared" si="64"/>
        <v>0</v>
      </c>
      <c r="AM666" s="2"/>
      <c r="AN666" s="2"/>
      <c r="AO666" s="2"/>
    </row>
    <row r="667" spans="1:41" x14ac:dyDescent="0.2">
      <c r="A667" s="2" t="s">
        <v>1332</v>
      </c>
      <c r="B667" s="2" t="s">
        <v>1333</v>
      </c>
      <c r="C667" s="2" t="s">
        <v>38</v>
      </c>
      <c r="D667" s="2" t="s">
        <v>62</v>
      </c>
      <c r="E667" s="2" t="s">
        <v>50</v>
      </c>
      <c r="F667" s="2" t="s">
        <v>894</v>
      </c>
      <c r="G667" s="2" t="s">
        <v>895</v>
      </c>
      <c r="H667" s="2">
        <v>14.48</v>
      </c>
      <c r="I667" s="2">
        <v>3.4</v>
      </c>
      <c r="J667" s="2">
        <v>9.9</v>
      </c>
      <c r="K667" s="2">
        <v>19.100000000000001</v>
      </c>
      <c r="L667" s="2"/>
      <c r="M667" s="2"/>
      <c r="N667" s="2">
        <v>7.8</v>
      </c>
      <c r="O667" s="2"/>
      <c r="P667" s="2"/>
      <c r="Q667" s="2"/>
      <c r="R667" s="2"/>
      <c r="S667" s="2"/>
      <c r="T667" s="2">
        <v>11.9</v>
      </c>
      <c r="U667" s="2"/>
      <c r="V667" s="2"/>
      <c r="W667" s="2"/>
      <c r="X667" s="2"/>
      <c r="Y667" s="2"/>
      <c r="Z667" s="2"/>
      <c r="AA667" s="9">
        <f t="shared" si="48"/>
        <v>0.49231999999999998</v>
      </c>
      <c r="AB667" s="9">
        <f t="shared" si="49"/>
        <v>1.4335200000000001</v>
      </c>
      <c r="AC667" s="10">
        <f t="shared" si="50"/>
        <v>276.56800000000004</v>
      </c>
      <c r="AD667" s="10">
        <f t="shared" si="51"/>
        <v>0</v>
      </c>
      <c r="AE667" s="9">
        <f t="shared" si="52"/>
        <v>0</v>
      </c>
      <c r="AF667" s="9">
        <f t="shared" si="53"/>
        <v>1.92584</v>
      </c>
      <c r="AG667" s="9">
        <f t="shared" si="54"/>
        <v>13.3</v>
      </c>
      <c r="AH667" s="11">
        <f t="shared" si="64"/>
        <v>49.231999999999999</v>
      </c>
      <c r="AI667" s="11">
        <f t="shared" si="64"/>
        <v>143.352</v>
      </c>
      <c r="AJ667" s="11">
        <f t="shared" si="64"/>
        <v>276.56800000000004</v>
      </c>
      <c r="AK667" s="11">
        <f t="shared" si="64"/>
        <v>0</v>
      </c>
      <c r="AL667" s="11">
        <f t="shared" si="64"/>
        <v>0</v>
      </c>
      <c r="AM667" s="2"/>
      <c r="AN667" s="2"/>
      <c r="AO667" s="2"/>
    </row>
    <row r="668" spans="1:41" x14ac:dyDescent="0.2">
      <c r="A668" s="2" t="s">
        <v>1334</v>
      </c>
      <c r="B668" s="2" t="s">
        <v>1333</v>
      </c>
      <c r="C668" s="2" t="s">
        <v>38</v>
      </c>
      <c r="D668" s="2" t="s">
        <v>62</v>
      </c>
      <c r="E668" s="7" t="s">
        <v>40</v>
      </c>
      <c r="F668" s="2" t="s">
        <v>41</v>
      </c>
      <c r="G668" s="8" t="s">
        <v>42</v>
      </c>
      <c r="H668" s="2">
        <v>9.9</v>
      </c>
      <c r="I668" s="2">
        <v>1.4</v>
      </c>
      <c r="J668" s="2">
        <v>5.4</v>
      </c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9">
        <f t="shared" si="48"/>
        <v>0.1386</v>
      </c>
      <c r="AB668" s="9">
        <f t="shared" si="49"/>
        <v>0.53460000000000008</v>
      </c>
      <c r="AC668" s="10">
        <f t="shared" si="50"/>
        <v>0</v>
      </c>
      <c r="AD668" s="10">
        <f t="shared" si="51"/>
        <v>0</v>
      </c>
      <c r="AE668" s="9">
        <f t="shared" si="52"/>
        <v>0</v>
      </c>
      <c r="AF668" s="9">
        <f t="shared" si="53"/>
        <v>0.67320000000000002</v>
      </c>
      <c r="AG668" s="9">
        <f t="shared" si="54"/>
        <v>6.8000000000000007</v>
      </c>
      <c r="AH668" s="11">
        <f t="shared" si="64"/>
        <v>13.86</v>
      </c>
      <c r="AI668" s="11">
        <f t="shared" si="64"/>
        <v>53.460000000000008</v>
      </c>
      <c r="AJ668" s="11">
        <f t="shared" si="64"/>
        <v>0</v>
      </c>
      <c r="AK668" s="11">
        <f t="shared" si="64"/>
        <v>0</v>
      </c>
      <c r="AL668" s="11">
        <f t="shared" si="64"/>
        <v>0</v>
      </c>
      <c r="AM668" s="2"/>
      <c r="AN668" s="2"/>
      <c r="AO668" s="2"/>
    </row>
    <row r="669" spans="1:41" x14ac:dyDescent="0.2">
      <c r="A669" s="2" t="s">
        <v>1335</v>
      </c>
      <c r="B669" s="2" t="s">
        <v>1336</v>
      </c>
      <c r="C669" s="2" t="s">
        <v>157</v>
      </c>
      <c r="D669" s="2" t="s">
        <v>1138</v>
      </c>
      <c r="E669" s="2" t="s">
        <v>50</v>
      </c>
      <c r="F669" s="2" t="s">
        <v>1337</v>
      </c>
      <c r="G669" s="2" t="s">
        <v>774</v>
      </c>
      <c r="H669" s="9">
        <f>2.119+4.494+0.197+0.017+0.92+0.553</f>
        <v>8.3000000000000007</v>
      </c>
      <c r="I669" s="9">
        <f>(0.93*2.119+0.71*4.494+0.51*0.197+1.66*0.017+0.95*0.92+0.81*0.553)/$H669</f>
        <v>0.79663012048192761</v>
      </c>
      <c r="J669" s="9">
        <f>(8.11*2.119+5.55*4.494+4.6*0.197+4.58*0.017+5.58*0.92+5.63*0.553)/$H669</f>
        <v>6.1876915662650598</v>
      </c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9">
        <f t="shared" si="48"/>
        <v>6.6120299999999993E-2</v>
      </c>
      <c r="AB669" s="9">
        <f t="shared" si="49"/>
        <v>0.51357839999999999</v>
      </c>
      <c r="AC669" s="10">
        <f t="shared" si="50"/>
        <v>0</v>
      </c>
      <c r="AD669" s="10">
        <f t="shared" si="51"/>
        <v>0</v>
      </c>
      <c r="AE669" s="9">
        <f t="shared" si="52"/>
        <v>0</v>
      </c>
      <c r="AF669" s="9">
        <f t="shared" si="53"/>
        <v>0.57969870000000001</v>
      </c>
      <c r="AG669" s="9">
        <f t="shared" si="54"/>
        <v>6.9843216867469877</v>
      </c>
      <c r="AH669" s="11">
        <f t="shared" si="64"/>
        <v>6.6120299999999999</v>
      </c>
      <c r="AI669" s="11">
        <f t="shared" si="64"/>
        <v>51.357840000000003</v>
      </c>
      <c r="AJ669" s="11">
        <f t="shared" si="64"/>
        <v>0</v>
      </c>
      <c r="AK669" s="11">
        <f t="shared" si="64"/>
        <v>0</v>
      </c>
      <c r="AL669" s="11">
        <f t="shared" si="64"/>
        <v>0</v>
      </c>
      <c r="AM669" s="2"/>
      <c r="AN669" s="2"/>
      <c r="AO669" s="2"/>
    </row>
    <row r="670" spans="1:41" x14ac:dyDescent="0.2">
      <c r="A670" s="2" t="s">
        <v>1338</v>
      </c>
      <c r="B670" s="2" t="s">
        <v>1336</v>
      </c>
      <c r="C670" s="2" t="s">
        <v>1339</v>
      </c>
      <c r="D670" s="2" t="s">
        <v>1285</v>
      </c>
      <c r="E670" s="2" t="s">
        <v>50</v>
      </c>
      <c r="F670" s="2" t="s">
        <v>1340</v>
      </c>
      <c r="G670" s="2" t="s">
        <v>106</v>
      </c>
      <c r="H670" s="2">
        <f>4.969+3.008+3.031</f>
        <v>11.008000000000001</v>
      </c>
      <c r="I670" s="9">
        <f>(1.04*4.969+0.69*3.008+0.85*3.031)/$H670</f>
        <v>0.89204487645348829</v>
      </c>
      <c r="J670" s="9">
        <f>(1.62*4.969+0.99*3.008+1.42*3.031)/$H670</f>
        <v>1.3927797965116278</v>
      </c>
      <c r="K670" s="13">
        <f>31.1*(3.92*4.969+1.9*3.008+5.01*3.031)/$H670</f>
        <v>114.07945030886627</v>
      </c>
      <c r="L670" s="9">
        <f>(0.12*4.969+0.06*3.008+0.15*3.031)/$H670</f>
        <v>0.11186500726744183</v>
      </c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9">
        <f t="shared" si="48"/>
        <v>9.81963E-2</v>
      </c>
      <c r="AB670" s="9">
        <f t="shared" si="49"/>
        <v>0.15331719999999999</v>
      </c>
      <c r="AC670" s="10">
        <f t="shared" si="50"/>
        <v>1255.786589</v>
      </c>
      <c r="AD670" s="10">
        <f t="shared" si="51"/>
        <v>0</v>
      </c>
      <c r="AE670" s="9">
        <f t="shared" si="52"/>
        <v>1.23141E-2</v>
      </c>
      <c r="AF670" s="9">
        <f t="shared" si="53"/>
        <v>0.2638276</v>
      </c>
      <c r="AG670" s="9">
        <f t="shared" si="54"/>
        <v>2.3966896802325577</v>
      </c>
      <c r="AH670" s="11">
        <f t="shared" si="64"/>
        <v>9.8196300000000001</v>
      </c>
      <c r="AI670" s="11">
        <f t="shared" si="64"/>
        <v>15.331719999999999</v>
      </c>
      <c r="AJ670" s="11">
        <f t="shared" si="64"/>
        <v>1255.786589</v>
      </c>
      <c r="AK670" s="11">
        <f t="shared" si="64"/>
        <v>1.2314099999999999</v>
      </c>
      <c r="AL670" s="11">
        <f t="shared" si="64"/>
        <v>0</v>
      </c>
      <c r="AM670" s="2"/>
      <c r="AN670" s="2"/>
      <c r="AO670" s="2"/>
    </row>
    <row r="671" spans="1:41" x14ac:dyDescent="0.2">
      <c r="A671" s="2" t="s">
        <v>1341</v>
      </c>
      <c r="B671" s="2" t="s">
        <v>1336</v>
      </c>
      <c r="C671" s="2" t="s">
        <v>157</v>
      </c>
      <c r="D671" s="2"/>
      <c r="E671" s="2" t="s">
        <v>50</v>
      </c>
      <c r="F671" s="2" t="s">
        <v>1342</v>
      </c>
      <c r="G671" s="2" t="s">
        <v>95</v>
      </c>
      <c r="H671" s="2">
        <v>0.17299999999999999</v>
      </c>
      <c r="I671" s="2">
        <v>0.38</v>
      </c>
      <c r="J671" s="2">
        <v>4.32</v>
      </c>
      <c r="K671" s="13">
        <v>325.30600000000004</v>
      </c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9">
        <f t="shared" si="48"/>
        <v>6.5739999999999993E-4</v>
      </c>
      <c r="AB671" s="9">
        <f t="shared" si="49"/>
        <v>7.4736000000000004E-3</v>
      </c>
      <c r="AC671" s="10">
        <f t="shared" si="50"/>
        <v>56.277938000000006</v>
      </c>
      <c r="AD671" s="10">
        <f t="shared" si="51"/>
        <v>0</v>
      </c>
      <c r="AE671" s="9">
        <f t="shared" si="52"/>
        <v>0</v>
      </c>
      <c r="AF671" s="9">
        <f t="shared" si="53"/>
        <v>8.1310000000000011E-3</v>
      </c>
      <c r="AG671" s="9">
        <f t="shared" si="54"/>
        <v>4.7</v>
      </c>
      <c r="AH671" s="11">
        <f t="shared" si="64"/>
        <v>6.5739999999999993E-2</v>
      </c>
      <c r="AI671" s="11">
        <f t="shared" si="64"/>
        <v>0.74736000000000002</v>
      </c>
      <c r="AJ671" s="11">
        <f t="shared" si="64"/>
        <v>56.277938000000006</v>
      </c>
      <c r="AK671" s="11">
        <f t="shared" si="64"/>
        <v>0</v>
      </c>
      <c r="AL671" s="11">
        <f t="shared" si="64"/>
        <v>0</v>
      </c>
      <c r="AM671" s="2"/>
      <c r="AN671" s="2"/>
      <c r="AO671" s="2"/>
    </row>
    <row r="672" spans="1:41" x14ac:dyDescent="0.2">
      <c r="A672" s="2" t="s">
        <v>1343</v>
      </c>
      <c r="B672" s="2" t="s">
        <v>1336</v>
      </c>
      <c r="C672" s="2" t="s">
        <v>54</v>
      </c>
      <c r="D672" s="2" t="s">
        <v>289</v>
      </c>
      <c r="E672" s="2" t="s">
        <v>50</v>
      </c>
      <c r="F672" s="2" t="s">
        <v>1344</v>
      </c>
      <c r="G672" s="2" t="s">
        <v>454</v>
      </c>
      <c r="H672" s="2">
        <v>519.54100000000005</v>
      </c>
      <c r="I672" s="2">
        <v>0.05</v>
      </c>
      <c r="J672" s="2">
        <v>0.19</v>
      </c>
      <c r="K672" s="2">
        <v>7.56</v>
      </c>
      <c r="L672" s="2">
        <v>0.27</v>
      </c>
      <c r="M672" s="2">
        <v>0.35</v>
      </c>
      <c r="N672" s="2"/>
      <c r="O672" s="2"/>
      <c r="P672" s="2"/>
      <c r="Q672" s="2"/>
      <c r="R672" s="2"/>
      <c r="S672" s="12">
        <f>9.25/10000</f>
        <v>9.2500000000000004E-4</v>
      </c>
      <c r="T672" s="2"/>
      <c r="U672" s="2"/>
      <c r="V672" s="2"/>
      <c r="W672" s="2"/>
      <c r="X672" s="2"/>
      <c r="Y672" s="2"/>
      <c r="Z672" s="2"/>
      <c r="AA672" s="9">
        <f t="shared" si="48"/>
        <v>0.25977050000000007</v>
      </c>
      <c r="AB672" s="9">
        <f t="shared" si="49"/>
        <v>0.98712790000000017</v>
      </c>
      <c r="AC672" s="10">
        <f t="shared" si="50"/>
        <v>3927.7299600000001</v>
      </c>
      <c r="AD672" s="10">
        <f t="shared" si="51"/>
        <v>181.83935</v>
      </c>
      <c r="AE672" s="9">
        <f t="shared" si="52"/>
        <v>1.4027607000000004</v>
      </c>
      <c r="AF672" s="9">
        <f t="shared" si="53"/>
        <v>2.6496591000000009</v>
      </c>
      <c r="AG672" s="9">
        <f t="shared" si="54"/>
        <v>0.51</v>
      </c>
      <c r="AH672" s="11">
        <f t="shared" si="64"/>
        <v>25.977050000000006</v>
      </c>
      <c r="AI672" s="11">
        <f t="shared" si="64"/>
        <v>98.712790000000012</v>
      </c>
      <c r="AJ672" s="11">
        <f t="shared" si="64"/>
        <v>3927.7299600000001</v>
      </c>
      <c r="AK672" s="11">
        <f t="shared" si="64"/>
        <v>140.27607000000003</v>
      </c>
      <c r="AL672" s="11">
        <f t="shared" si="64"/>
        <v>181.83935</v>
      </c>
      <c r="AM672" s="2"/>
      <c r="AN672" s="2"/>
      <c r="AO672" s="2"/>
    </row>
    <row r="673" spans="1:41" x14ac:dyDescent="0.2">
      <c r="A673" s="2" t="s">
        <v>1345</v>
      </c>
      <c r="B673" s="2" t="s">
        <v>1336</v>
      </c>
      <c r="C673" s="2" t="s">
        <v>157</v>
      </c>
      <c r="D673" s="2" t="s">
        <v>1346</v>
      </c>
      <c r="E673" s="2" t="s">
        <v>50</v>
      </c>
      <c r="F673" s="2" t="s">
        <v>1347</v>
      </c>
      <c r="G673" s="2" t="s">
        <v>1348</v>
      </c>
      <c r="H673" s="15">
        <f>185+523+630+71+312+400</f>
        <v>2121</v>
      </c>
      <c r="I673" s="2"/>
      <c r="J673" s="9">
        <f>(0.13*185+0.15*523+0.1*630+1.73*71+1.73*312+1.4*400)/$H673</f>
        <v>0.65445073078736438</v>
      </c>
      <c r="K673" s="13">
        <f>(7.7*185+8*523+7.4*630+15.6*71+14.3*312+15*400)/$H673</f>
        <v>10.296888260254597</v>
      </c>
      <c r="L673" s="9">
        <f>(0.87*185+0.86*523+0.7*630+0.99*71+0.92*312+0.9*400)/$H673</f>
        <v>0.83406883545497401</v>
      </c>
      <c r="M673" s="2"/>
      <c r="N673" s="2"/>
      <c r="O673" s="2"/>
      <c r="P673" s="2"/>
      <c r="Q673" s="2"/>
      <c r="R673" s="2"/>
      <c r="S673" s="12">
        <f>(0.034*185+0.025*523+0.02*630+0.012*71+0.007*312+0.005*400)/$H673</f>
        <v>1.7445073078736443E-2</v>
      </c>
      <c r="T673" s="2"/>
      <c r="U673" s="2"/>
      <c r="V673" s="2"/>
      <c r="W673" s="2"/>
      <c r="X673" s="2"/>
      <c r="Y673" s="2"/>
      <c r="Z673" s="2"/>
      <c r="AA673" s="9">
        <f t="shared" si="48"/>
        <v>0</v>
      </c>
      <c r="AB673" s="9">
        <f t="shared" si="49"/>
        <v>13.880899999999999</v>
      </c>
      <c r="AC673" s="10">
        <f t="shared" si="50"/>
        <v>21839.7</v>
      </c>
      <c r="AD673" s="10">
        <f t="shared" si="51"/>
        <v>0</v>
      </c>
      <c r="AE673" s="9">
        <f t="shared" si="52"/>
        <v>17.6906</v>
      </c>
      <c r="AF673" s="9">
        <f t="shared" si="53"/>
        <v>31.5715</v>
      </c>
      <c r="AG673" s="9">
        <f t="shared" si="54"/>
        <v>1.4885195662423385</v>
      </c>
      <c r="AH673" s="11">
        <f t="shared" si="64"/>
        <v>0</v>
      </c>
      <c r="AI673" s="11">
        <f t="shared" si="64"/>
        <v>1388.09</v>
      </c>
      <c r="AJ673" s="11">
        <f t="shared" si="64"/>
        <v>21839.7</v>
      </c>
      <c r="AK673" s="11">
        <f t="shared" si="64"/>
        <v>1769.06</v>
      </c>
      <c r="AL673" s="11">
        <f t="shared" si="64"/>
        <v>0</v>
      </c>
      <c r="AM673" s="2"/>
      <c r="AN673" s="2"/>
      <c r="AO673" s="2"/>
    </row>
    <row r="674" spans="1:41" x14ac:dyDescent="0.2">
      <c r="A674" s="2" t="s">
        <v>1349</v>
      </c>
      <c r="B674" s="2" t="s">
        <v>1336</v>
      </c>
      <c r="C674" s="2" t="s">
        <v>157</v>
      </c>
      <c r="D674" s="2"/>
      <c r="E674" s="2" t="s">
        <v>50</v>
      </c>
      <c r="F674" s="2" t="s">
        <v>1350</v>
      </c>
      <c r="G674" s="2" t="s">
        <v>1351</v>
      </c>
      <c r="H674" s="12">
        <f>7.279032+3.706297</f>
        <v>10.985329</v>
      </c>
      <c r="I674" s="2"/>
      <c r="J674" s="9">
        <f>(1.88*7.279032+1.62*3.706297)/$H674</f>
        <v>1.7922796213021934</v>
      </c>
      <c r="K674" s="13">
        <f>(19.2*7.279032+16.6*3.706297)/$H674</f>
        <v>18.322796213021931</v>
      </c>
      <c r="L674" s="9">
        <f>(1.2*7.279032+1.04*3.706297)/$H674</f>
        <v>1.1460182284936573</v>
      </c>
      <c r="M674" s="9">
        <f>(0.88*7.279032+0.93*3.706297)/$H674</f>
        <v>0.89686930359573214</v>
      </c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9">
        <f t="shared" si="48"/>
        <v>0</v>
      </c>
      <c r="AB674" s="9">
        <f t="shared" si="49"/>
        <v>0.19688781300000002</v>
      </c>
      <c r="AC674" s="10">
        <f t="shared" si="50"/>
        <v>201.2819446</v>
      </c>
      <c r="AD674" s="10">
        <f t="shared" si="51"/>
        <v>9.8524043700000004</v>
      </c>
      <c r="AE674" s="9">
        <f t="shared" si="52"/>
        <v>0.1258938728</v>
      </c>
      <c r="AF674" s="9">
        <f t="shared" si="53"/>
        <v>0.3227816858</v>
      </c>
      <c r="AG674" s="9">
        <f t="shared" si="54"/>
        <v>2.938297849795851</v>
      </c>
      <c r="AH674" s="11">
        <f t="shared" ref="AH674:AL689" si="65">$H674*I674</f>
        <v>0</v>
      </c>
      <c r="AI674" s="11">
        <f t="shared" si="65"/>
        <v>19.688781300000002</v>
      </c>
      <c r="AJ674" s="11">
        <f t="shared" si="65"/>
        <v>201.2819446</v>
      </c>
      <c r="AK674" s="11">
        <f t="shared" si="65"/>
        <v>12.58938728</v>
      </c>
      <c r="AL674" s="11">
        <f t="shared" si="65"/>
        <v>9.8524043700000004</v>
      </c>
      <c r="AM674" s="2"/>
      <c r="AN674" s="2"/>
      <c r="AO674" s="2"/>
    </row>
    <row r="675" spans="1:41" x14ac:dyDescent="0.2">
      <c r="A675" s="2" t="s">
        <v>1352</v>
      </c>
      <c r="B675" s="2" t="s">
        <v>1336</v>
      </c>
      <c r="C675" s="2" t="s">
        <v>157</v>
      </c>
      <c r="D675" s="2"/>
      <c r="E675" s="2" t="s">
        <v>50</v>
      </c>
      <c r="F675" s="2" t="s">
        <v>1353</v>
      </c>
      <c r="G675" s="2" t="s">
        <v>106</v>
      </c>
      <c r="H675" s="12">
        <v>18.093468000000001</v>
      </c>
      <c r="I675" s="2">
        <v>1.37</v>
      </c>
      <c r="J675" s="2">
        <v>3.92</v>
      </c>
      <c r="K675" s="13">
        <f>2.34*31.1</f>
        <v>72.774000000000001</v>
      </c>
      <c r="L675" s="2">
        <v>0.34</v>
      </c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9">
        <f t="shared" si="48"/>
        <v>0.24788051160000005</v>
      </c>
      <c r="AB675" s="9">
        <f t="shared" si="49"/>
        <v>0.70926394560000006</v>
      </c>
      <c r="AC675" s="10">
        <f t="shared" si="50"/>
        <v>1316.7340402320001</v>
      </c>
      <c r="AD675" s="10">
        <f t="shared" si="51"/>
        <v>0</v>
      </c>
      <c r="AE675" s="9">
        <f t="shared" si="52"/>
        <v>6.1517791200000005E-2</v>
      </c>
      <c r="AF675" s="9">
        <f t="shared" si="53"/>
        <v>1.0186622484000001</v>
      </c>
      <c r="AG675" s="9">
        <f t="shared" si="54"/>
        <v>5.63</v>
      </c>
      <c r="AH675" s="11">
        <f t="shared" si="65"/>
        <v>24.788051160000006</v>
      </c>
      <c r="AI675" s="11">
        <f t="shared" si="65"/>
        <v>70.926394560000006</v>
      </c>
      <c r="AJ675" s="11">
        <f t="shared" si="65"/>
        <v>1316.7340402320001</v>
      </c>
      <c r="AK675" s="11">
        <f t="shared" si="65"/>
        <v>6.1517791200000005</v>
      </c>
      <c r="AL675" s="11">
        <f t="shared" si="65"/>
        <v>0</v>
      </c>
      <c r="AM675" s="2"/>
      <c r="AN675" s="2"/>
      <c r="AO675" s="2"/>
    </row>
    <row r="676" spans="1:41" x14ac:dyDescent="0.2">
      <c r="A676" s="2" t="s">
        <v>1354</v>
      </c>
      <c r="B676" s="2" t="s">
        <v>1336</v>
      </c>
      <c r="C676" s="2" t="s">
        <v>157</v>
      </c>
      <c r="D676" s="2"/>
      <c r="E676" s="2" t="s">
        <v>50</v>
      </c>
      <c r="F676" s="2" t="s">
        <v>1355</v>
      </c>
      <c r="G676" s="2" t="s">
        <v>1356</v>
      </c>
      <c r="H676" s="2">
        <v>13.3</v>
      </c>
      <c r="I676" s="2">
        <v>0.2</v>
      </c>
      <c r="J676" s="2">
        <v>5.9</v>
      </c>
      <c r="K676" s="2">
        <v>14</v>
      </c>
      <c r="L676" s="2"/>
      <c r="M676" s="2"/>
      <c r="N676" s="2"/>
      <c r="O676" s="2"/>
      <c r="P676" s="2"/>
      <c r="Q676" s="2"/>
      <c r="R676" s="2">
        <v>68</v>
      </c>
      <c r="S676" s="2"/>
      <c r="T676" s="2"/>
      <c r="U676" s="2"/>
      <c r="V676" s="2"/>
      <c r="W676" s="2"/>
      <c r="X676" s="2"/>
      <c r="Y676" s="2"/>
      <c r="Z676" s="2"/>
      <c r="AA676" s="9">
        <f t="shared" si="48"/>
        <v>2.6600000000000002E-2</v>
      </c>
      <c r="AB676" s="9">
        <f t="shared" si="49"/>
        <v>0.78470000000000018</v>
      </c>
      <c r="AC676" s="10">
        <f t="shared" si="50"/>
        <v>186.20000000000002</v>
      </c>
      <c r="AD676" s="10">
        <f t="shared" si="51"/>
        <v>0</v>
      </c>
      <c r="AE676" s="9">
        <f t="shared" si="52"/>
        <v>0</v>
      </c>
      <c r="AF676" s="9">
        <f t="shared" si="53"/>
        <v>0.81130000000000013</v>
      </c>
      <c r="AG676" s="9">
        <f t="shared" si="54"/>
        <v>6.1000000000000005</v>
      </c>
      <c r="AH676" s="11">
        <f t="shared" si="65"/>
        <v>2.66</v>
      </c>
      <c r="AI676" s="11">
        <f t="shared" si="65"/>
        <v>78.470000000000013</v>
      </c>
      <c r="AJ676" s="11">
        <f t="shared" si="65"/>
        <v>186.20000000000002</v>
      </c>
      <c r="AK676" s="11">
        <f t="shared" si="65"/>
        <v>0</v>
      </c>
      <c r="AL676" s="11">
        <f t="shared" si="65"/>
        <v>0</v>
      </c>
      <c r="AM676" s="2"/>
      <c r="AN676" s="2"/>
      <c r="AO676" s="2"/>
    </row>
    <row r="677" spans="1:41" x14ac:dyDescent="0.2">
      <c r="A677" s="2" t="s">
        <v>1357</v>
      </c>
      <c r="B677" s="2" t="s">
        <v>1336</v>
      </c>
      <c r="C677" s="2" t="s">
        <v>38</v>
      </c>
      <c r="D677" s="2" t="s">
        <v>39</v>
      </c>
      <c r="E677" s="2" t="s">
        <v>50</v>
      </c>
      <c r="F677" s="2" t="s">
        <v>1358</v>
      </c>
      <c r="G677" s="2" t="s">
        <v>1359</v>
      </c>
      <c r="H677" s="2">
        <f>1.43+1.35+9.07</f>
        <v>11.850000000000001</v>
      </c>
      <c r="I677" s="9">
        <f>(1.85*1.43+1.71*1.35+1.21*9.07)/$H677</f>
        <v>1.3441940928270042</v>
      </c>
      <c r="J677" s="9">
        <f>(13.02*1.43+12.51*1.35+10.87*9.07)/$H677</f>
        <v>11.316286919831221</v>
      </c>
      <c r="K677" s="13">
        <f>(19.3*1.43+17.1*1.35+12.2*9.07)/$H677</f>
        <v>13.615021097046411</v>
      </c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9">
        <f t="shared" si="48"/>
        <v>0.15928700000000001</v>
      </c>
      <c r="AB677" s="9">
        <f t="shared" si="49"/>
        <v>1.3409799999999998</v>
      </c>
      <c r="AC677" s="10">
        <f t="shared" si="50"/>
        <v>161.33799999999999</v>
      </c>
      <c r="AD677" s="10">
        <f t="shared" si="51"/>
        <v>0</v>
      </c>
      <c r="AE677" s="9">
        <f t="shared" si="52"/>
        <v>0</v>
      </c>
      <c r="AF677" s="9">
        <f t="shared" si="53"/>
        <v>1.5002669999999998</v>
      </c>
      <c r="AG677" s="9">
        <f t="shared" si="54"/>
        <v>12.660481012658225</v>
      </c>
      <c r="AH677" s="11">
        <f t="shared" si="65"/>
        <v>15.928700000000001</v>
      </c>
      <c r="AI677" s="11">
        <f t="shared" si="65"/>
        <v>134.09799999999998</v>
      </c>
      <c r="AJ677" s="11">
        <f t="shared" si="65"/>
        <v>161.33799999999999</v>
      </c>
      <c r="AK677" s="11">
        <f t="shared" si="65"/>
        <v>0</v>
      </c>
      <c r="AL677" s="11">
        <f t="shared" si="65"/>
        <v>0</v>
      </c>
      <c r="AM677" s="2"/>
      <c r="AN677" s="2"/>
      <c r="AO677" s="2"/>
    </row>
    <row r="678" spans="1:41" x14ac:dyDescent="0.2">
      <c r="A678" s="2" t="s">
        <v>1360</v>
      </c>
      <c r="B678" s="2" t="s">
        <v>1336</v>
      </c>
      <c r="C678" s="2" t="s">
        <v>54</v>
      </c>
      <c r="D678" s="2" t="s">
        <v>935</v>
      </c>
      <c r="E678" s="2" t="s">
        <v>50</v>
      </c>
      <c r="F678" s="2" t="s">
        <v>1361</v>
      </c>
      <c r="G678" s="2" t="s">
        <v>106</v>
      </c>
      <c r="H678" s="2">
        <f>3.083+1.989+6.184</f>
        <v>11.256</v>
      </c>
      <c r="I678" s="9">
        <f>(1.69*3.083+1.08*1.989+2.11*6.184)/$H678</f>
        <v>1.8129557569296375</v>
      </c>
      <c r="J678" s="9">
        <f>(2.49*3.083+2.07*1.989+2.97*6.184)/$H678</f>
        <v>2.679493603411514</v>
      </c>
      <c r="K678" s="14">
        <f>(137*3.083+76*1.989+121*6.184)/$H678</f>
        <v>117.43061478322672</v>
      </c>
      <c r="L678" s="2"/>
      <c r="M678" s="9">
        <f>(0.4*3.083+0.3*1.989+0.5*6.184)/$H678</f>
        <v>0.4372690120824449</v>
      </c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9">
        <f t="shared" si="48"/>
        <v>0.20406630000000001</v>
      </c>
      <c r="AB678" s="9">
        <f t="shared" si="49"/>
        <v>0.30160380000000003</v>
      </c>
      <c r="AC678" s="10">
        <f t="shared" si="50"/>
        <v>1321.799</v>
      </c>
      <c r="AD678" s="10">
        <f t="shared" si="51"/>
        <v>4.9218999999999999</v>
      </c>
      <c r="AE678" s="9">
        <f t="shared" si="52"/>
        <v>0</v>
      </c>
      <c r="AF678" s="9">
        <f t="shared" si="53"/>
        <v>0.50567010000000001</v>
      </c>
      <c r="AG678" s="9">
        <f t="shared" si="54"/>
        <v>4.4924493603411513</v>
      </c>
      <c r="AH678" s="11">
        <f t="shared" si="65"/>
        <v>20.40663</v>
      </c>
      <c r="AI678" s="11">
        <f t="shared" si="65"/>
        <v>30.160380000000004</v>
      </c>
      <c r="AJ678" s="11">
        <f t="shared" si="65"/>
        <v>1321.799</v>
      </c>
      <c r="AK678" s="11">
        <f t="shared" si="65"/>
        <v>0</v>
      </c>
      <c r="AL678" s="11">
        <f t="shared" si="65"/>
        <v>4.9218999999999999</v>
      </c>
      <c r="AM678" s="2"/>
      <c r="AN678" s="2"/>
      <c r="AO678" s="2"/>
    </row>
    <row r="679" spans="1:41" x14ac:dyDescent="0.2">
      <c r="A679" s="2" t="s">
        <v>1362</v>
      </c>
      <c r="B679" s="2" t="s">
        <v>1336</v>
      </c>
      <c r="C679" s="2" t="s">
        <v>54</v>
      </c>
      <c r="D679" s="2" t="s">
        <v>1363</v>
      </c>
      <c r="E679" s="2" t="s">
        <v>50</v>
      </c>
      <c r="F679" s="2" t="s">
        <v>1340</v>
      </c>
      <c r="G679" s="2" t="s">
        <v>106</v>
      </c>
      <c r="H679" s="2">
        <f>29.741+120.75+52.606</f>
        <v>203.09699999999998</v>
      </c>
      <c r="I679" s="9">
        <f>(0.78*29.741+1.25*120.75+0.78*52.606)/$H679</f>
        <v>1.0594354421778758</v>
      </c>
      <c r="J679" s="9">
        <f>(1.99*29.741+3.1*120.75+1.6*52.606)/$H679</f>
        <v>2.5489258334687372</v>
      </c>
      <c r="K679" s="13">
        <f>31.1*(4.05*29.741+2.75*120.75+3.84*52.606)/$H679</f>
        <v>100.22595286488722</v>
      </c>
      <c r="L679" s="9">
        <f>(0.05*29.741+0.24*120.75+0.25*52.606)/$H679</f>
        <v>0.21476708173926745</v>
      </c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9">
        <f t="shared" si="48"/>
        <v>2.1516816000000003</v>
      </c>
      <c r="AB679" s="9">
        <f t="shared" si="49"/>
        <v>5.1767919000000004</v>
      </c>
      <c r="AC679" s="10">
        <f t="shared" si="50"/>
        <v>20355.590348999998</v>
      </c>
      <c r="AD679" s="10">
        <f t="shared" si="51"/>
        <v>0</v>
      </c>
      <c r="AE679" s="9">
        <f t="shared" si="52"/>
        <v>0.4361855</v>
      </c>
      <c r="AF679" s="9">
        <f t="shared" si="53"/>
        <v>7.7646590000000009</v>
      </c>
      <c r="AG679" s="9">
        <f t="shared" si="54"/>
        <v>3.8231283573858805</v>
      </c>
      <c r="AH679" s="11">
        <f t="shared" si="65"/>
        <v>215.16816000000003</v>
      </c>
      <c r="AI679" s="11">
        <f t="shared" si="65"/>
        <v>517.67919000000006</v>
      </c>
      <c r="AJ679" s="11">
        <f t="shared" si="65"/>
        <v>20355.590348999998</v>
      </c>
      <c r="AK679" s="11">
        <f t="shared" si="65"/>
        <v>43.618549999999999</v>
      </c>
      <c r="AL679" s="11">
        <f t="shared" si="65"/>
        <v>0</v>
      </c>
      <c r="AM679" s="2"/>
      <c r="AN679" s="2"/>
      <c r="AO679" s="2"/>
    </row>
    <row r="680" spans="1:41" x14ac:dyDescent="0.2">
      <c r="A680" s="2" t="s">
        <v>1364</v>
      </c>
      <c r="B680" s="2" t="s">
        <v>1336</v>
      </c>
      <c r="C680" s="2" t="s">
        <v>48</v>
      </c>
      <c r="D680" s="2"/>
      <c r="E680" s="2" t="s">
        <v>50</v>
      </c>
      <c r="F680" s="2" t="s">
        <v>1353</v>
      </c>
      <c r="G680" s="2" t="s">
        <v>106</v>
      </c>
      <c r="H680" s="12">
        <v>85.107369000000006</v>
      </c>
      <c r="I680" s="2">
        <v>0.28999999999999998</v>
      </c>
      <c r="J680" s="2">
        <v>2.57</v>
      </c>
      <c r="K680" s="13">
        <f>0.79*31.1</f>
        <v>24.569000000000003</v>
      </c>
      <c r="L680" s="2">
        <v>0.75</v>
      </c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9">
        <f t="shared" si="48"/>
        <v>0.24681137010000001</v>
      </c>
      <c r="AB680" s="9">
        <f t="shared" si="49"/>
        <v>2.1872593832999998</v>
      </c>
      <c r="AC680" s="10">
        <f t="shared" si="50"/>
        <v>2091.0029489610006</v>
      </c>
      <c r="AD680" s="10">
        <f t="shared" si="51"/>
        <v>0</v>
      </c>
      <c r="AE680" s="9">
        <f t="shared" si="52"/>
        <v>0.63830526750000005</v>
      </c>
      <c r="AF680" s="9">
        <f t="shared" si="53"/>
        <v>3.0723760209000002</v>
      </c>
      <c r="AG680" s="9">
        <f t="shared" si="54"/>
        <v>3.61</v>
      </c>
      <c r="AH680" s="11">
        <f t="shared" si="65"/>
        <v>24.68113701</v>
      </c>
      <c r="AI680" s="11">
        <f t="shared" si="65"/>
        <v>218.72593832999999</v>
      </c>
      <c r="AJ680" s="11">
        <f t="shared" si="65"/>
        <v>2091.0029489610006</v>
      </c>
      <c r="AK680" s="11">
        <f t="shared" si="65"/>
        <v>63.830526750000004</v>
      </c>
      <c r="AL680" s="11">
        <f t="shared" si="65"/>
        <v>0</v>
      </c>
      <c r="AM680" s="2"/>
      <c r="AN680" s="2"/>
      <c r="AO680" s="2"/>
    </row>
    <row r="681" spans="1:41" x14ac:dyDescent="0.2">
      <c r="A681" s="2" t="s">
        <v>1365</v>
      </c>
      <c r="B681" s="2" t="s">
        <v>1336</v>
      </c>
      <c r="C681" s="2" t="s">
        <v>157</v>
      </c>
      <c r="D681" s="2"/>
      <c r="E681" s="2" t="s">
        <v>50</v>
      </c>
      <c r="F681" s="2" t="s">
        <v>1340</v>
      </c>
      <c r="G681" s="2" t="s">
        <v>106</v>
      </c>
      <c r="H681" s="2">
        <f>9.157+1.148+7.966</f>
        <v>18.271000000000001</v>
      </c>
      <c r="I681" s="9">
        <f>(1.72*9.157+2.35*1.148+2.55*7.966)/$H681</f>
        <v>2.121456953642384</v>
      </c>
      <c r="J681" s="9">
        <f>(6.26*9.157+7.54*1.148+6.91*7.966)/$H681</f>
        <v>6.6238191669859336</v>
      </c>
      <c r="K681" s="13">
        <f>31.1*(3.92*9.157+3.74*1.148+3.82*7.966)/$H681</f>
        <v>120.20433408133107</v>
      </c>
      <c r="L681" s="9">
        <f>(0.24*9.157+0.18*1.148+0.28*7.966)/$H681</f>
        <v>0.25366974987685403</v>
      </c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9">
        <f t="shared" si="48"/>
        <v>0.38761139999999999</v>
      </c>
      <c r="AB681" s="9">
        <f t="shared" si="49"/>
        <v>1.2102379999999999</v>
      </c>
      <c r="AC681" s="10">
        <f t="shared" si="50"/>
        <v>2196.2533880000001</v>
      </c>
      <c r="AD681" s="10">
        <f t="shared" si="51"/>
        <v>0</v>
      </c>
      <c r="AE681" s="9">
        <f t="shared" si="52"/>
        <v>4.6348E-2</v>
      </c>
      <c r="AF681" s="9">
        <f t="shared" si="53"/>
        <v>1.6441973999999999</v>
      </c>
      <c r="AG681" s="9">
        <f t="shared" si="54"/>
        <v>8.9989458705051728</v>
      </c>
      <c r="AH681" s="11">
        <f t="shared" si="65"/>
        <v>38.761139999999997</v>
      </c>
      <c r="AI681" s="11">
        <f t="shared" si="65"/>
        <v>121.02379999999999</v>
      </c>
      <c r="AJ681" s="11">
        <f t="shared" si="65"/>
        <v>2196.2533880000001</v>
      </c>
      <c r="AK681" s="11">
        <f t="shared" si="65"/>
        <v>4.6348000000000003</v>
      </c>
      <c r="AL681" s="11">
        <f t="shared" si="65"/>
        <v>0</v>
      </c>
      <c r="AM681" s="2"/>
      <c r="AN681" s="2"/>
      <c r="AO681" s="2"/>
    </row>
    <row r="682" spans="1:41" x14ac:dyDescent="0.2">
      <c r="A682" s="2" t="s">
        <v>1366</v>
      </c>
      <c r="B682" s="2" t="s">
        <v>1336</v>
      </c>
      <c r="C682" s="2" t="s">
        <v>157</v>
      </c>
      <c r="D682" s="2"/>
      <c r="E682" s="2" t="s">
        <v>50</v>
      </c>
      <c r="F682" s="2" t="s">
        <v>657</v>
      </c>
      <c r="G682" s="2" t="s">
        <v>64</v>
      </c>
      <c r="H682" s="9">
        <f>1.33+0.97+0.81</f>
        <v>3.11</v>
      </c>
      <c r="I682" s="9">
        <f>(1.83*1.33+0.69*0.97+0.63*0.81)/$H682</f>
        <v>1.1618971061093248</v>
      </c>
      <c r="J682" s="9">
        <f>(4.65*1.33+3.76*0.97+3.07*0.81)/$H682</f>
        <v>3.9609003215434089</v>
      </c>
      <c r="K682" s="13">
        <f>(94.72*1.33+61.66*0.97+45.96*0.81)/$H682</f>
        <v>71.709131832797425</v>
      </c>
      <c r="L682" s="9">
        <f>(0.8*1.33+0.93*0.97+0.81*0.81)/$H682</f>
        <v>0.84315112540192938</v>
      </c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9">
        <f t="shared" si="48"/>
        <v>3.6135E-2</v>
      </c>
      <c r="AB682" s="9">
        <f t="shared" si="49"/>
        <v>0.123184</v>
      </c>
      <c r="AC682" s="10">
        <f t="shared" si="50"/>
        <v>223.01539999999997</v>
      </c>
      <c r="AD682" s="10">
        <f t="shared" si="51"/>
        <v>0</v>
      </c>
      <c r="AE682" s="9">
        <f t="shared" si="52"/>
        <v>2.6222000000000002E-2</v>
      </c>
      <c r="AF682" s="9">
        <f t="shared" si="53"/>
        <v>0.18554099999999998</v>
      </c>
      <c r="AG682" s="9">
        <f t="shared" si="54"/>
        <v>5.9659485530546634</v>
      </c>
      <c r="AH682" s="11">
        <f t="shared" si="65"/>
        <v>3.6135000000000002</v>
      </c>
      <c r="AI682" s="11">
        <f t="shared" si="65"/>
        <v>12.3184</v>
      </c>
      <c r="AJ682" s="11">
        <f t="shared" si="65"/>
        <v>223.01539999999997</v>
      </c>
      <c r="AK682" s="11">
        <f t="shared" si="65"/>
        <v>2.6222000000000003</v>
      </c>
      <c r="AL682" s="11">
        <f t="shared" si="65"/>
        <v>0</v>
      </c>
      <c r="AM682" s="2"/>
      <c r="AN682" s="2"/>
      <c r="AO682" s="2"/>
    </row>
    <row r="683" spans="1:41" x14ac:dyDescent="0.2">
      <c r="A683" s="2" t="s">
        <v>1367</v>
      </c>
      <c r="B683" s="2" t="s">
        <v>1336</v>
      </c>
      <c r="C683" s="2" t="s">
        <v>54</v>
      </c>
      <c r="D683" s="2" t="s">
        <v>1368</v>
      </c>
      <c r="E683" s="2" t="s">
        <v>50</v>
      </c>
      <c r="F683" s="2" t="s">
        <v>1369</v>
      </c>
      <c r="G683" s="2" t="s">
        <v>1370</v>
      </c>
      <c r="H683" s="9">
        <f>40.961+249.63+49.793</f>
        <v>340.38400000000001</v>
      </c>
      <c r="I683" s="9">
        <f>(0.866*40.961+0.629*249.63+0.464*49.793)/$H683</f>
        <v>0.63338302622919995</v>
      </c>
      <c r="J683" s="9">
        <f>(0.531*40.961+0.377*249.63+0.278*49.793)/$H683</f>
        <v>0.38104979963805585</v>
      </c>
      <c r="K683" s="13">
        <f>(53.57*40.961+35.89*249.63+30*49.793)/$H683</f>
        <v>37.155951719234743</v>
      </c>
      <c r="L683" s="9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9">
        <f t="shared" si="48"/>
        <v>2.15593448</v>
      </c>
      <c r="AB683" s="9">
        <f t="shared" si="49"/>
        <v>1.2970325500000002</v>
      </c>
      <c r="AC683" s="10">
        <f t="shared" si="50"/>
        <v>12647.29147</v>
      </c>
      <c r="AD683" s="10">
        <f t="shared" si="51"/>
        <v>0</v>
      </c>
      <c r="AE683" s="9">
        <f t="shared" si="52"/>
        <v>0</v>
      </c>
      <c r="AF683" s="9">
        <f t="shared" si="53"/>
        <v>3.4529670299999999</v>
      </c>
      <c r="AG683" s="9">
        <f t="shared" si="54"/>
        <v>1.0144328258672557</v>
      </c>
      <c r="AH683" s="11">
        <f t="shared" si="65"/>
        <v>215.593448</v>
      </c>
      <c r="AI683" s="11">
        <f t="shared" si="65"/>
        <v>129.70325500000001</v>
      </c>
      <c r="AJ683" s="11">
        <f t="shared" si="65"/>
        <v>12647.29147</v>
      </c>
      <c r="AK683" s="11">
        <f t="shared" si="65"/>
        <v>0</v>
      </c>
      <c r="AL683" s="11">
        <f t="shared" si="65"/>
        <v>0</v>
      </c>
      <c r="AM683" s="2"/>
      <c r="AN683" s="2"/>
      <c r="AO683" s="2"/>
    </row>
    <row r="684" spans="1:41" x14ac:dyDescent="0.2">
      <c r="A684" s="2" t="s">
        <v>1371</v>
      </c>
      <c r="B684" s="2" t="s">
        <v>1336</v>
      </c>
      <c r="C684" s="2" t="s">
        <v>157</v>
      </c>
      <c r="D684" s="2"/>
      <c r="E684" s="2" t="s">
        <v>50</v>
      </c>
      <c r="F684" s="2" t="s">
        <v>657</v>
      </c>
      <c r="G684" s="2" t="s">
        <v>1372</v>
      </c>
      <c r="H684" s="9">
        <f>0.63+0.26+4.88-0.051</f>
        <v>5.7189999999999994</v>
      </c>
      <c r="I684" s="9">
        <f>(2.1*0.63+1.66*0.26+1.57*4.88-0.49*0.051)/$H684</f>
        <v>1.6421070117153349</v>
      </c>
      <c r="J684" s="9">
        <f>(2.97*0.63+3.45*0.26+2.98*4.88-1.82*0.051)/$H684</f>
        <v>3.0106102465465989</v>
      </c>
      <c r="K684" s="13">
        <f>(169.85*0.63+186.07*0.26+224.54*4.88-119.78*0.051)/$H684</f>
        <v>217.70066794894214</v>
      </c>
      <c r="L684" s="9">
        <f>(0.38*0.63+0.54*0.26+0.48*4.88-0.53*0.051)/$H684</f>
        <v>0.47126595558664108</v>
      </c>
      <c r="M684" s="9">
        <f>(5.18*0.63+4.72*0.26+4.91*4.88-2.42*0.051)/$H684</f>
        <v>4.9533100192341326</v>
      </c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9">
        <f t="shared" si="48"/>
        <v>9.3912099999999998E-2</v>
      </c>
      <c r="AB684" s="9">
        <f t="shared" si="49"/>
        <v>0.17217679999999999</v>
      </c>
      <c r="AC684" s="10">
        <f t="shared" si="50"/>
        <v>1245.0301199999999</v>
      </c>
      <c r="AD684" s="10">
        <f t="shared" si="51"/>
        <v>28.32798</v>
      </c>
      <c r="AE684" s="9">
        <f t="shared" si="52"/>
        <v>2.6951700000000002E-2</v>
      </c>
      <c r="AF684" s="9">
        <f t="shared" si="53"/>
        <v>0.29304059999999998</v>
      </c>
      <c r="AG684" s="9">
        <f t="shared" si="54"/>
        <v>5.1239832138485744</v>
      </c>
      <c r="AH684" s="11">
        <f t="shared" si="65"/>
        <v>9.3912099999999992</v>
      </c>
      <c r="AI684" s="11">
        <f t="shared" si="65"/>
        <v>17.217679999999998</v>
      </c>
      <c r="AJ684" s="11">
        <f t="shared" si="65"/>
        <v>1245.0301199999999</v>
      </c>
      <c r="AK684" s="11">
        <f t="shared" si="65"/>
        <v>2.6951700000000001</v>
      </c>
      <c r="AL684" s="11">
        <f t="shared" si="65"/>
        <v>28.32798</v>
      </c>
      <c r="AM684" s="2"/>
      <c r="AN684" s="2"/>
      <c r="AO684" s="2"/>
    </row>
    <row r="685" spans="1:41" x14ac:dyDescent="0.2">
      <c r="A685" s="2" t="s">
        <v>1373</v>
      </c>
      <c r="B685" s="2" t="s">
        <v>1336</v>
      </c>
      <c r="C685" s="2" t="s">
        <v>157</v>
      </c>
      <c r="D685" s="2"/>
      <c r="E685" s="2" t="s">
        <v>50</v>
      </c>
      <c r="F685" s="2" t="s">
        <v>1374</v>
      </c>
      <c r="G685" s="2" t="s">
        <v>1375</v>
      </c>
      <c r="H685" s="2">
        <v>45.926000000000002</v>
      </c>
      <c r="I685" s="2">
        <v>0.86</v>
      </c>
      <c r="J685" s="2">
        <v>2.5299999999999998</v>
      </c>
      <c r="K685" s="2">
        <v>28.62</v>
      </c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9">
        <f t="shared" si="48"/>
        <v>0.39496360000000003</v>
      </c>
      <c r="AB685" s="9">
        <f t="shared" si="49"/>
        <v>1.1619278</v>
      </c>
      <c r="AC685" s="10">
        <f t="shared" si="50"/>
        <v>1314.4021200000002</v>
      </c>
      <c r="AD685" s="10">
        <f t="shared" si="51"/>
        <v>0</v>
      </c>
      <c r="AE685" s="9">
        <f t="shared" si="52"/>
        <v>0</v>
      </c>
      <c r="AF685" s="9">
        <f t="shared" si="53"/>
        <v>1.5568914</v>
      </c>
      <c r="AG685" s="9">
        <f t="shared" si="54"/>
        <v>3.3899999999999997</v>
      </c>
      <c r="AH685" s="11">
        <f t="shared" si="65"/>
        <v>39.496360000000003</v>
      </c>
      <c r="AI685" s="11">
        <f t="shared" si="65"/>
        <v>116.19278</v>
      </c>
      <c r="AJ685" s="11">
        <f t="shared" si="65"/>
        <v>1314.4021200000002</v>
      </c>
      <c r="AK685" s="11">
        <f t="shared" si="65"/>
        <v>0</v>
      </c>
      <c r="AL685" s="11">
        <f t="shared" si="65"/>
        <v>0</v>
      </c>
      <c r="AM685" s="2"/>
      <c r="AN685" s="2"/>
      <c r="AO685" s="2"/>
    </row>
    <row r="686" spans="1:41" x14ac:dyDescent="0.2">
      <c r="A686" s="2" t="s">
        <v>1376</v>
      </c>
      <c r="B686" s="2" t="s">
        <v>1336</v>
      </c>
      <c r="C686" s="2" t="s">
        <v>157</v>
      </c>
      <c r="D686" s="2"/>
      <c r="E686" s="2" t="s">
        <v>50</v>
      </c>
      <c r="F686" s="2" t="s">
        <v>1353</v>
      </c>
      <c r="G686" s="2" t="s">
        <v>106</v>
      </c>
      <c r="H686" s="12">
        <v>40.972762000000003</v>
      </c>
      <c r="I686" s="2">
        <v>0.89</v>
      </c>
      <c r="J686" s="2">
        <v>4.6399999999999997</v>
      </c>
      <c r="K686" s="13">
        <f>1.94*31.1</f>
        <v>60.334000000000003</v>
      </c>
      <c r="L686" s="2">
        <v>0.27</v>
      </c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9">
        <f t="shared" si="48"/>
        <v>0.36465758180000002</v>
      </c>
      <c r="AB686" s="9">
        <f t="shared" si="49"/>
        <v>1.9011361568</v>
      </c>
      <c r="AC686" s="10">
        <f t="shared" si="50"/>
        <v>2472.0506225080003</v>
      </c>
      <c r="AD686" s="10">
        <f t="shared" si="51"/>
        <v>0</v>
      </c>
      <c r="AE686" s="9">
        <f t="shared" si="52"/>
        <v>0.1106264574</v>
      </c>
      <c r="AF686" s="9">
        <f t="shared" si="53"/>
        <v>2.3764201960000002</v>
      </c>
      <c r="AG686" s="9">
        <f t="shared" si="54"/>
        <v>5.7999999999999989</v>
      </c>
      <c r="AH686" s="11">
        <f t="shared" si="65"/>
        <v>36.465758180000002</v>
      </c>
      <c r="AI686" s="11">
        <f t="shared" si="65"/>
        <v>190.11361568000001</v>
      </c>
      <c r="AJ686" s="11">
        <f t="shared" si="65"/>
        <v>2472.0506225080003</v>
      </c>
      <c r="AK686" s="11">
        <f t="shared" si="65"/>
        <v>11.062645740000001</v>
      </c>
      <c r="AL686" s="11">
        <f t="shared" si="65"/>
        <v>0</v>
      </c>
      <c r="AM686" s="2"/>
      <c r="AN686" s="2"/>
      <c r="AO686" s="2"/>
    </row>
    <row r="687" spans="1:41" x14ac:dyDescent="0.2">
      <c r="A687" s="2" t="s">
        <v>1377</v>
      </c>
      <c r="B687" s="2" t="s">
        <v>1336</v>
      </c>
      <c r="C687" s="2" t="s">
        <v>157</v>
      </c>
      <c r="D687" s="2"/>
      <c r="E687" s="2" t="s">
        <v>50</v>
      </c>
      <c r="F687" s="2" t="s">
        <v>1353</v>
      </c>
      <c r="G687" s="2" t="s">
        <v>106</v>
      </c>
      <c r="H687" s="12">
        <v>60.455579999999998</v>
      </c>
      <c r="I687" s="2">
        <v>0.65</v>
      </c>
      <c r="J687" s="2">
        <v>4.38</v>
      </c>
      <c r="K687" s="13">
        <f>0.98*31.1</f>
        <v>30.478000000000002</v>
      </c>
      <c r="L687" s="2">
        <v>0.06</v>
      </c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9">
        <f t="shared" si="48"/>
        <v>0.39296126999999997</v>
      </c>
      <c r="AB687" s="9">
        <f t="shared" si="49"/>
        <v>2.6479544039999996</v>
      </c>
      <c r="AC687" s="10">
        <f t="shared" si="50"/>
        <v>1842.5651672399999</v>
      </c>
      <c r="AD687" s="10">
        <f t="shared" si="51"/>
        <v>0</v>
      </c>
      <c r="AE687" s="9">
        <f t="shared" si="52"/>
        <v>3.6273347999999997E-2</v>
      </c>
      <c r="AF687" s="9">
        <f t="shared" si="53"/>
        <v>3.0771890219999993</v>
      </c>
      <c r="AG687" s="9">
        <f t="shared" si="54"/>
        <v>5.09</v>
      </c>
      <c r="AH687" s="11">
        <f t="shared" si="65"/>
        <v>39.296126999999998</v>
      </c>
      <c r="AI687" s="11">
        <f t="shared" si="65"/>
        <v>264.79544039999996</v>
      </c>
      <c r="AJ687" s="11">
        <f t="shared" si="65"/>
        <v>1842.5651672399999</v>
      </c>
      <c r="AK687" s="11">
        <f t="shared" si="65"/>
        <v>3.6273347999999999</v>
      </c>
      <c r="AL687" s="11">
        <f t="shared" si="65"/>
        <v>0</v>
      </c>
      <c r="AM687" s="2"/>
      <c r="AN687" s="2"/>
      <c r="AO687" s="2"/>
    </row>
    <row r="688" spans="1:41" x14ac:dyDescent="0.2">
      <c r="A688" s="2" t="s">
        <v>1378</v>
      </c>
      <c r="B688" s="2" t="s">
        <v>1336</v>
      </c>
      <c r="C688" s="2" t="s">
        <v>1203</v>
      </c>
      <c r="D688" s="2"/>
      <c r="E688" s="7" t="s">
        <v>40</v>
      </c>
      <c r="F688" s="2" t="s">
        <v>487</v>
      </c>
      <c r="G688" s="2" t="s">
        <v>1379</v>
      </c>
      <c r="H688" s="12">
        <v>0.87441199999999997</v>
      </c>
      <c r="I688" s="2">
        <v>3.31</v>
      </c>
      <c r="J688" s="2">
        <v>3.63</v>
      </c>
      <c r="K688" s="2">
        <v>209</v>
      </c>
      <c r="L688" s="2"/>
      <c r="M688" s="2">
        <v>1.3</v>
      </c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9">
        <f t="shared" si="48"/>
        <v>2.8943037200000001E-2</v>
      </c>
      <c r="AB688" s="9">
        <f t="shared" si="49"/>
        <v>3.1741155599999994E-2</v>
      </c>
      <c r="AC688" s="10">
        <f t="shared" si="50"/>
        <v>182.75210799999999</v>
      </c>
      <c r="AD688" s="10">
        <f t="shared" si="51"/>
        <v>1.1367356</v>
      </c>
      <c r="AE688" s="9">
        <f t="shared" si="52"/>
        <v>0</v>
      </c>
      <c r="AF688" s="9">
        <f t="shared" si="53"/>
        <v>6.0684192799999995E-2</v>
      </c>
      <c r="AG688" s="9">
        <f t="shared" si="54"/>
        <v>6.9399999999999995</v>
      </c>
      <c r="AH688" s="11">
        <f t="shared" si="65"/>
        <v>2.8943037199999999</v>
      </c>
      <c r="AI688" s="11">
        <f t="shared" si="65"/>
        <v>3.1741155599999997</v>
      </c>
      <c r="AJ688" s="11">
        <f t="shared" si="65"/>
        <v>182.75210799999999</v>
      </c>
      <c r="AK688" s="11">
        <f t="shared" si="65"/>
        <v>0</v>
      </c>
      <c r="AL688" s="11">
        <f t="shared" si="65"/>
        <v>1.1367356</v>
      </c>
      <c r="AM688" s="2"/>
      <c r="AN688" s="2"/>
      <c r="AO688" s="2"/>
    </row>
    <row r="689" spans="1:41" x14ac:dyDescent="0.2">
      <c r="A689" s="2" t="s">
        <v>1380</v>
      </c>
      <c r="B689" s="2" t="s">
        <v>1336</v>
      </c>
      <c r="C689" s="2" t="s">
        <v>54</v>
      </c>
      <c r="D689" s="2" t="s">
        <v>77</v>
      </c>
      <c r="E689" s="2" t="s">
        <v>50</v>
      </c>
      <c r="F689" s="2" t="s">
        <v>70</v>
      </c>
      <c r="G689" s="2" t="s">
        <v>71</v>
      </c>
      <c r="H689" s="2">
        <f>6.9+4.7+1.5+1+8.5</f>
        <v>22.6</v>
      </c>
      <c r="I689" s="9">
        <f>(1.41*6.9+1.5*4.7+1.85*1.5+1.89*1+1.61*8.5)/$H689</f>
        <v>1.5543805309734515</v>
      </c>
      <c r="J689" s="9">
        <f>(2.95*6.9+2.89*4.7+3.06*1.5+3.22*1+2.72*8.5)/$H689</f>
        <v>2.8702654867256641</v>
      </c>
      <c r="K689" s="14">
        <f>(169*6.9+163*4.7+162*1.5+166*1+161*8.5)/$H689</f>
        <v>164.14601769911505</v>
      </c>
      <c r="L689" s="9">
        <f>(0.44*6.9+0.42*4.7+0.2*1.5+0.24*1+0.29*8.5)/$H689</f>
        <v>0.35464601769911502</v>
      </c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9">
        <f t="shared" si="48"/>
        <v>0.35129000000000005</v>
      </c>
      <c r="AB689" s="9">
        <f t="shared" si="49"/>
        <v>0.64868000000000015</v>
      </c>
      <c r="AC689" s="10">
        <f t="shared" si="50"/>
        <v>3709.7000000000003</v>
      </c>
      <c r="AD689" s="10">
        <f t="shared" si="51"/>
        <v>0</v>
      </c>
      <c r="AE689" s="9">
        <f t="shared" si="52"/>
        <v>8.0149999999999999E-2</v>
      </c>
      <c r="AF689" s="9">
        <f t="shared" si="53"/>
        <v>1.0801200000000002</v>
      </c>
      <c r="AG689" s="9">
        <f t="shared" si="54"/>
        <v>4.7792920353982309</v>
      </c>
      <c r="AH689" s="11">
        <f t="shared" si="65"/>
        <v>35.129000000000005</v>
      </c>
      <c r="AI689" s="11">
        <f t="shared" si="65"/>
        <v>64.868000000000009</v>
      </c>
      <c r="AJ689" s="11">
        <f t="shared" si="65"/>
        <v>3709.7000000000003</v>
      </c>
      <c r="AK689" s="11">
        <f t="shared" si="65"/>
        <v>8.0150000000000006</v>
      </c>
      <c r="AL689" s="11">
        <f t="shared" si="65"/>
        <v>0</v>
      </c>
      <c r="AM689" s="2"/>
      <c r="AN689" s="2"/>
      <c r="AO689" s="2"/>
    </row>
    <row r="690" spans="1:41" x14ac:dyDescent="0.2">
      <c r="A690" s="2" t="s">
        <v>1381</v>
      </c>
      <c r="B690" s="2" t="s">
        <v>1336</v>
      </c>
      <c r="C690" s="2" t="s">
        <v>54</v>
      </c>
      <c r="D690" s="2" t="s">
        <v>935</v>
      </c>
      <c r="E690" s="2" t="s">
        <v>50</v>
      </c>
      <c r="F690" s="2" t="s">
        <v>1382</v>
      </c>
      <c r="G690" s="2" t="s">
        <v>71</v>
      </c>
      <c r="H690" s="2">
        <f>0.131+8.513+2.534</f>
        <v>11.178000000000001</v>
      </c>
      <c r="I690" s="9">
        <f>(0.39*0.131+0.24*8.513+0.27*2.534)/$H690</f>
        <v>0.2485587761674718</v>
      </c>
      <c r="J690" s="9">
        <f>(0.38*0.131+0.28*8.513+0.18*2.534)/$H690</f>
        <v>0.25850241545893721</v>
      </c>
      <c r="K690" s="13">
        <f>(31.71*0.131+15.65*8.513+12.02*2.534)/$H690</f>
        <v>15.015310431204149</v>
      </c>
      <c r="L690" s="9">
        <f>(0.73*0.131+0.42*8.513+0.46*2.534)/$H690</f>
        <v>0.43270084093755584</v>
      </c>
      <c r="M690" s="9">
        <f>(4.29*0.131+2.09*8.513+1.61*2.534)/$H690</f>
        <v>2.0069690463410268</v>
      </c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9">
        <f t="shared" si="48"/>
        <v>2.77839E-2</v>
      </c>
      <c r="AB690" s="9">
        <f t="shared" si="49"/>
        <v>2.8895400000000002E-2</v>
      </c>
      <c r="AC690" s="10">
        <f t="shared" si="50"/>
        <v>167.84114</v>
      </c>
      <c r="AD690" s="10">
        <f t="shared" si="51"/>
        <v>22.433899999999998</v>
      </c>
      <c r="AE690" s="9">
        <f t="shared" si="52"/>
        <v>4.8367299999999995E-2</v>
      </c>
      <c r="AF690" s="9">
        <f t="shared" si="53"/>
        <v>0.10504659999999999</v>
      </c>
      <c r="AG690" s="9">
        <f t="shared" si="54"/>
        <v>0.93976203256396484</v>
      </c>
      <c r="AH690" s="11">
        <f t="shared" ref="AH690:AL705" si="66">$H690*I690</f>
        <v>2.7783899999999999</v>
      </c>
      <c r="AI690" s="11">
        <f t="shared" si="66"/>
        <v>2.8895400000000002</v>
      </c>
      <c r="AJ690" s="11">
        <f t="shared" si="66"/>
        <v>167.84114</v>
      </c>
      <c r="AK690" s="11">
        <f t="shared" si="66"/>
        <v>4.8367299999999993</v>
      </c>
      <c r="AL690" s="11">
        <f t="shared" si="66"/>
        <v>22.433899999999998</v>
      </c>
      <c r="AM690" s="2"/>
      <c r="AN690" s="2"/>
      <c r="AO690" s="2"/>
    </row>
    <row r="691" spans="1:41" x14ac:dyDescent="0.2">
      <c r="A691" s="2" t="s">
        <v>1383</v>
      </c>
      <c r="B691" s="2" t="s">
        <v>1336</v>
      </c>
      <c r="C691" s="2" t="s">
        <v>157</v>
      </c>
      <c r="D691" s="2"/>
      <c r="E691" s="2" t="s">
        <v>50</v>
      </c>
      <c r="F691" s="2" t="s">
        <v>63</v>
      </c>
      <c r="G691" s="2" t="s">
        <v>64</v>
      </c>
      <c r="H691" s="2">
        <f>0.93+3.8+12</f>
        <v>16.73</v>
      </c>
      <c r="I691" s="9">
        <f>(0.88*0.93+0.7*3.8+0.6*12)/$H691</f>
        <v>0.63827854154213981</v>
      </c>
      <c r="J691" s="13">
        <f>(12.5*0.93+6.7*3.8+4*12)/$H691</f>
        <v>5.0857740585774058</v>
      </c>
      <c r="K691" s="14">
        <f>(25.1*0.93+34*3.8+20*12)/$H691</f>
        <v>23.463419007770472</v>
      </c>
      <c r="L691" s="13">
        <f>(0.37*0.93+0.3*3.8+0.2*12)/$H691</f>
        <v>0.23216377764494919</v>
      </c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9">
        <f t="shared" si="48"/>
        <v>0.106784</v>
      </c>
      <c r="AB691" s="9">
        <f t="shared" si="49"/>
        <v>0.85085000000000011</v>
      </c>
      <c r="AC691" s="10">
        <f t="shared" si="50"/>
        <v>392.54300000000001</v>
      </c>
      <c r="AD691" s="10">
        <f t="shared" si="51"/>
        <v>0</v>
      </c>
      <c r="AE691" s="9">
        <f t="shared" si="52"/>
        <v>3.8841000000000001E-2</v>
      </c>
      <c r="AF691" s="9">
        <f t="shared" si="53"/>
        <v>0.99647500000000011</v>
      </c>
      <c r="AG691" s="9">
        <f t="shared" si="54"/>
        <v>5.9562163777644948</v>
      </c>
      <c r="AH691" s="11">
        <f t="shared" si="66"/>
        <v>10.6784</v>
      </c>
      <c r="AI691" s="11">
        <f t="shared" si="66"/>
        <v>85.085000000000008</v>
      </c>
      <c r="AJ691" s="11">
        <f t="shared" si="66"/>
        <v>392.54300000000001</v>
      </c>
      <c r="AK691" s="11">
        <f t="shared" si="66"/>
        <v>3.8841000000000001</v>
      </c>
      <c r="AL691" s="11">
        <f t="shared" si="66"/>
        <v>0</v>
      </c>
      <c r="AM691" s="2"/>
      <c r="AN691" s="2"/>
      <c r="AO691" s="2"/>
    </row>
    <row r="692" spans="1:41" x14ac:dyDescent="0.2">
      <c r="A692" s="2" t="s">
        <v>1384</v>
      </c>
      <c r="B692" s="2" t="s">
        <v>1336</v>
      </c>
      <c r="C692" s="2" t="s">
        <v>187</v>
      </c>
      <c r="D692" s="2" t="s">
        <v>77</v>
      </c>
      <c r="E692" s="2" t="s">
        <v>50</v>
      </c>
      <c r="F692" s="2" t="s">
        <v>1340</v>
      </c>
      <c r="G692" s="2" t="s">
        <v>106</v>
      </c>
      <c r="H692" s="9">
        <v>0.3</v>
      </c>
      <c r="I692" s="9">
        <v>0.54</v>
      </c>
      <c r="J692" s="9">
        <v>1.1200000000000001</v>
      </c>
      <c r="K692" s="13">
        <f>10.59*31.1</f>
        <v>329.34899999999999</v>
      </c>
      <c r="L692" s="9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9">
        <f t="shared" si="48"/>
        <v>1.6200000000000001E-3</v>
      </c>
      <c r="AB692" s="9">
        <f t="shared" si="49"/>
        <v>3.3600000000000001E-3</v>
      </c>
      <c r="AC692" s="10">
        <f t="shared" si="50"/>
        <v>98.804699999999997</v>
      </c>
      <c r="AD692" s="10">
        <f t="shared" si="51"/>
        <v>0</v>
      </c>
      <c r="AE692" s="9">
        <f t="shared" si="52"/>
        <v>0</v>
      </c>
      <c r="AF692" s="9">
        <f t="shared" si="53"/>
        <v>4.9800000000000001E-3</v>
      </c>
      <c r="AG692" s="9">
        <f t="shared" si="54"/>
        <v>1.6600000000000001</v>
      </c>
      <c r="AH692" s="11">
        <f t="shared" si="66"/>
        <v>0.16200000000000001</v>
      </c>
      <c r="AI692" s="11">
        <f t="shared" si="66"/>
        <v>0.33600000000000002</v>
      </c>
      <c r="AJ692" s="11">
        <f t="shared" si="66"/>
        <v>98.804699999999997</v>
      </c>
      <c r="AK692" s="11">
        <f t="shared" si="66"/>
        <v>0</v>
      </c>
      <c r="AL692" s="11">
        <f t="shared" si="66"/>
        <v>0</v>
      </c>
      <c r="AM692" s="2"/>
      <c r="AN692" s="2"/>
      <c r="AO692" s="2"/>
    </row>
    <row r="693" spans="1:41" x14ac:dyDescent="0.2">
      <c r="A693" s="2" t="s">
        <v>1385</v>
      </c>
      <c r="B693" s="2" t="s">
        <v>1336</v>
      </c>
      <c r="C693" s="2" t="s">
        <v>54</v>
      </c>
      <c r="D693" s="2" t="s">
        <v>1165</v>
      </c>
      <c r="E693" s="2" t="s">
        <v>50</v>
      </c>
      <c r="F693" s="2" t="s">
        <v>1342</v>
      </c>
      <c r="G693" s="2" t="s">
        <v>106</v>
      </c>
      <c r="H693" s="2">
        <v>0.373</v>
      </c>
      <c r="I693" s="2">
        <v>2.27</v>
      </c>
      <c r="J693" s="2"/>
      <c r="K693" s="13">
        <f>20.249*31.1</f>
        <v>629.74389999999994</v>
      </c>
      <c r="L693" s="2">
        <v>0.44</v>
      </c>
      <c r="M693" s="9">
        <f>0.018*31.1</f>
        <v>0.55979999999999996</v>
      </c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9">
        <f t="shared" si="48"/>
        <v>8.4671E-3</v>
      </c>
      <c r="AB693" s="9">
        <f t="shared" si="49"/>
        <v>0</v>
      </c>
      <c r="AC693" s="10">
        <f t="shared" si="50"/>
        <v>234.89447469999999</v>
      </c>
      <c r="AD693" s="10">
        <f t="shared" si="51"/>
        <v>0.20880539999999997</v>
      </c>
      <c r="AE693" s="9">
        <f t="shared" si="52"/>
        <v>1.6411999999999998E-3</v>
      </c>
      <c r="AF693" s="9">
        <f t="shared" si="53"/>
        <v>1.0108300000000001E-2</v>
      </c>
      <c r="AG693" s="9">
        <f t="shared" si="54"/>
        <v>2.71</v>
      </c>
      <c r="AH693" s="11">
        <f t="shared" si="66"/>
        <v>0.84670999999999996</v>
      </c>
      <c r="AI693" s="11">
        <f t="shared" si="66"/>
        <v>0</v>
      </c>
      <c r="AJ693" s="11">
        <f t="shared" si="66"/>
        <v>234.89447469999999</v>
      </c>
      <c r="AK693" s="11">
        <f t="shared" si="66"/>
        <v>0.16411999999999999</v>
      </c>
      <c r="AL693" s="11">
        <f t="shared" si="66"/>
        <v>0.20880539999999997</v>
      </c>
      <c r="AM693" s="2"/>
      <c r="AN693" s="2"/>
      <c r="AO693" s="2"/>
    </row>
    <row r="694" spans="1:41" x14ac:dyDescent="0.2">
      <c r="A694" s="2" t="s">
        <v>1386</v>
      </c>
      <c r="B694" s="2" t="s">
        <v>1336</v>
      </c>
      <c r="C694" s="2" t="s">
        <v>66</v>
      </c>
      <c r="D694" s="2" t="s">
        <v>1387</v>
      </c>
      <c r="E694" s="2" t="s">
        <v>50</v>
      </c>
      <c r="F694" s="2" t="s">
        <v>1388</v>
      </c>
      <c r="G694" s="2" t="s">
        <v>1389</v>
      </c>
      <c r="H694" s="15">
        <v>3600</v>
      </c>
      <c r="I694" s="2"/>
      <c r="J694" s="16">
        <v>0.09</v>
      </c>
      <c r="K694" s="2"/>
      <c r="L694" s="2">
        <v>0.51</v>
      </c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9">
        <f t="shared" si="48"/>
        <v>0</v>
      </c>
      <c r="AB694" s="9">
        <f t="shared" si="49"/>
        <v>3.24</v>
      </c>
      <c r="AC694" s="10">
        <f t="shared" si="50"/>
        <v>0</v>
      </c>
      <c r="AD694" s="10">
        <f t="shared" si="51"/>
        <v>0</v>
      </c>
      <c r="AE694" s="9">
        <f t="shared" si="52"/>
        <v>18.36</v>
      </c>
      <c r="AF694" s="9">
        <f t="shared" si="53"/>
        <v>21.6</v>
      </c>
      <c r="AG694" s="9">
        <f t="shared" si="54"/>
        <v>0.6</v>
      </c>
      <c r="AH694" s="11">
        <f t="shared" si="66"/>
        <v>0</v>
      </c>
      <c r="AI694" s="11">
        <f t="shared" si="66"/>
        <v>324</v>
      </c>
      <c r="AJ694" s="11">
        <f t="shared" si="66"/>
        <v>0</v>
      </c>
      <c r="AK694" s="11">
        <f t="shared" si="66"/>
        <v>1836</v>
      </c>
      <c r="AL694" s="11">
        <f t="shared" si="66"/>
        <v>0</v>
      </c>
      <c r="AM694" s="2"/>
      <c r="AN694" s="2"/>
      <c r="AO694" s="2"/>
    </row>
    <row r="695" spans="1:41" x14ac:dyDescent="0.2">
      <c r="A695" s="2" t="s">
        <v>1390</v>
      </c>
      <c r="B695" s="2" t="s">
        <v>1336</v>
      </c>
      <c r="C695" s="2" t="s">
        <v>157</v>
      </c>
      <c r="D695" s="2"/>
      <c r="E695" s="2" t="s">
        <v>50</v>
      </c>
      <c r="F695" s="2" t="s">
        <v>1342</v>
      </c>
      <c r="G695" s="2" t="s">
        <v>106</v>
      </c>
      <c r="H695" s="2">
        <v>0.123</v>
      </c>
      <c r="I695" s="2">
        <v>6.64</v>
      </c>
      <c r="J695" s="2">
        <v>8.4700000000000006</v>
      </c>
      <c r="K695" s="13">
        <f>12.632*31.1</f>
        <v>392.85520000000002</v>
      </c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9">
        <f t="shared" si="48"/>
        <v>8.1671999999999995E-3</v>
      </c>
      <c r="AB695" s="9">
        <f t="shared" si="49"/>
        <v>1.0418100000000001E-2</v>
      </c>
      <c r="AC695" s="10">
        <f t="shared" si="50"/>
        <v>48.321189600000004</v>
      </c>
      <c r="AD695" s="10">
        <f t="shared" si="51"/>
        <v>0</v>
      </c>
      <c r="AE695" s="9">
        <f t="shared" si="52"/>
        <v>0</v>
      </c>
      <c r="AF695" s="9">
        <f t="shared" si="53"/>
        <v>1.8585299999999999E-2</v>
      </c>
      <c r="AG695" s="9">
        <f t="shared" si="54"/>
        <v>15.11</v>
      </c>
      <c r="AH695" s="11">
        <f t="shared" si="66"/>
        <v>0.81672</v>
      </c>
      <c r="AI695" s="11">
        <f t="shared" si="66"/>
        <v>1.0418100000000001</v>
      </c>
      <c r="AJ695" s="11">
        <f t="shared" si="66"/>
        <v>48.321189600000004</v>
      </c>
      <c r="AK695" s="11">
        <f t="shared" si="66"/>
        <v>0</v>
      </c>
      <c r="AL695" s="11">
        <f t="shared" si="66"/>
        <v>0</v>
      </c>
      <c r="AM695" s="2"/>
      <c r="AN695" s="2"/>
      <c r="AO695" s="2"/>
    </row>
    <row r="696" spans="1:41" x14ac:dyDescent="0.2">
      <c r="A696" s="2" t="s">
        <v>1391</v>
      </c>
      <c r="B696" s="2" t="s">
        <v>1336</v>
      </c>
      <c r="C696" s="2" t="s">
        <v>54</v>
      </c>
      <c r="D696" s="2" t="s">
        <v>1392</v>
      </c>
      <c r="E696" s="2" t="s">
        <v>50</v>
      </c>
      <c r="F696" s="2" t="s">
        <v>70</v>
      </c>
      <c r="G696" s="2" t="s">
        <v>71</v>
      </c>
      <c r="H696" s="2">
        <f>2.7+2.7+0.8+1.1+8</f>
        <v>15.3</v>
      </c>
      <c r="I696" s="9">
        <f>(1.32*2.7+1.31*2.7+1.31*0.8+1.45*1.1+1.45*8)/$H696</f>
        <v>1.3950326797385622</v>
      </c>
      <c r="J696" s="9">
        <f>(4.32*2.7+4.06*2.7+3.57*0.8+3.37*1.1+5.11*8)/$H696</f>
        <v>4.5796732026143792</v>
      </c>
      <c r="K696" s="14">
        <f>(188*2.7+206*2.7+150*0.8+202*1.1+209*8)/$H696</f>
        <v>201.17647058823528</v>
      </c>
      <c r="L696" s="9">
        <f>(0.47*2.7+0.69*2.7+0.41*0.8+0.54*1.1+0.43*8)/$H696</f>
        <v>0.4898039215686274</v>
      </c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9">
        <f t="shared" si="48"/>
        <v>0.21344000000000002</v>
      </c>
      <c r="AB696" s="9">
        <f t="shared" si="49"/>
        <v>0.70069000000000004</v>
      </c>
      <c r="AC696" s="10">
        <f t="shared" si="50"/>
        <v>3078</v>
      </c>
      <c r="AD696" s="10">
        <f t="shared" si="51"/>
        <v>0</v>
      </c>
      <c r="AE696" s="9">
        <f t="shared" si="52"/>
        <v>7.4939999999999993E-2</v>
      </c>
      <c r="AF696" s="9">
        <f t="shared" si="53"/>
        <v>0.98907000000000012</v>
      </c>
      <c r="AG696" s="9">
        <f t="shared" si="54"/>
        <v>6.4645098039215689</v>
      </c>
      <c r="AH696" s="11">
        <f t="shared" si="66"/>
        <v>21.344000000000001</v>
      </c>
      <c r="AI696" s="11">
        <f t="shared" si="66"/>
        <v>70.069000000000003</v>
      </c>
      <c r="AJ696" s="11">
        <f t="shared" si="66"/>
        <v>3078</v>
      </c>
      <c r="AK696" s="11">
        <f t="shared" si="66"/>
        <v>7.4939999999999998</v>
      </c>
      <c r="AL696" s="11">
        <f t="shared" si="66"/>
        <v>0</v>
      </c>
      <c r="AM696" s="2"/>
      <c r="AN696" s="2"/>
      <c r="AO696" s="2"/>
    </row>
    <row r="697" spans="1:41" x14ac:dyDescent="0.2">
      <c r="A697" s="2" t="s">
        <v>1393</v>
      </c>
      <c r="B697" s="2" t="s">
        <v>1336</v>
      </c>
      <c r="C697" s="2" t="s">
        <v>187</v>
      </c>
      <c r="D697" s="2" t="s">
        <v>77</v>
      </c>
      <c r="E697" s="2" t="s">
        <v>50</v>
      </c>
      <c r="F697" s="2" t="s">
        <v>1340</v>
      </c>
      <c r="G697" s="2" t="s">
        <v>106</v>
      </c>
      <c r="H697" s="2">
        <v>6.79</v>
      </c>
      <c r="I697" s="2"/>
      <c r="J697" s="2">
        <v>0.23</v>
      </c>
      <c r="K697" s="13">
        <f>0.88*31.1</f>
        <v>27.368000000000002</v>
      </c>
      <c r="L697" s="2">
        <v>0.75</v>
      </c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9">
        <f t="shared" si="48"/>
        <v>0</v>
      </c>
      <c r="AB697" s="9">
        <f t="shared" si="49"/>
        <v>1.5617000000000001E-2</v>
      </c>
      <c r="AC697" s="10">
        <f t="shared" si="50"/>
        <v>185.82872</v>
      </c>
      <c r="AD697" s="10">
        <f t="shared" si="51"/>
        <v>0</v>
      </c>
      <c r="AE697" s="9">
        <f t="shared" si="52"/>
        <v>5.0925000000000005E-2</v>
      </c>
      <c r="AF697" s="9">
        <f t="shared" si="53"/>
        <v>6.6542000000000004E-2</v>
      </c>
      <c r="AG697" s="9">
        <f t="shared" si="54"/>
        <v>0.98</v>
      </c>
      <c r="AH697" s="11">
        <f t="shared" si="66"/>
        <v>0</v>
      </c>
      <c r="AI697" s="11">
        <f t="shared" si="66"/>
        <v>1.5617000000000001</v>
      </c>
      <c r="AJ697" s="11">
        <f t="shared" si="66"/>
        <v>185.82872</v>
      </c>
      <c r="AK697" s="11">
        <f t="shared" si="66"/>
        <v>5.0925000000000002</v>
      </c>
      <c r="AL697" s="11">
        <f t="shared" si="66"/>
        <v>0</v>
      </c>
      <c r="AM697" s="2"/>
      <c r="AN697" s="2"/>
      <c r="AO697" s="2"/>
    </row>
    <row r="698" spans="1:41" x14ac:dyDescent="0.2">
      <c r="A698" s="2" t="s">
        <v>1394</v>
      </c>
      <c r="B698" s="2" t="s">
        <v>1336</v>
      </c>
      <c r="C698" s="2" t="s">
        <v>38</v>
      </c>
      <c r="D698" s="2" t="s">
        <v>167</v>
      </c>
      <c r="E698" s="2" t="s">
        <v>50</v>
      </c>
      <c r="F698" s="2" t="s">
        <v>1340</v>
      </c>
      <c r="G698" s="2" t="s">
        <v>106</v>
      </c>
      <c r="H698" s="2">
        <v>8</v>
      </c>
      <c r="I698" s="9"/>
      <c r="J698" s="9">
        <v>4.42</v>
      </c>
      <c r="K698" s="13">
        <f>0.63*31.1</f>
        <v>19.593</v>
      </c>
      <c r="L698" s="9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9">
        <f t="shared" si="48"/>
        <v>0</v>
      </c>
      <c r="AB698" s="9">
        <f t="shared" si="49"/>
        <v>0.35359999999999997</v>
      </c>
      <c r="AC698" s="10">
        <f t="shared" si="50"/>
        <v>156.744</v>
      </c>
      <c r="AD698" s="10">
        <f t="shared" si="51"/>
        <v>0</v>
      </c>
      <c r="AE698" s="9">
        <f t="shared" si="52"/>
        <v>0</v>
      </c>
      <c r="AF698" s="9">
        <f t="shared" si="53"/>
        <v>0.35359999999999997</v>
      </c>
      <c r="AG698" s="9">
        <f t="shared" si="54"/>
        <v>4.42</v>
      </c>
      <c r="AH698" s="11">
        <f t="shared" si="66"/>
        <v>0</v>
      </c>
      <c r="AI698" s="11">
        <f t="shared" si="66"/>
        <v>35.36</v>
      </c>
      <c r="AJ698" s="11">
        <f t="shared" si="66"/>
        <v>156.744</v>
      </c>
      <c r="AK698" s="11">
        <f t="shared" si="66"/>
        <v>0</v>
      </c>
      <c r="AL698" s="11">
        <f t="shared" si="66"/>
        <v>0</v>
      </c>
      <c r="AM698" s="2"/>
      <c r="AN698" s="2"/>
      <c r="AO698" s="2"/>
    </row>
    <row r="699" spans="1:41" x14ac:dyDescent="0.2">
      <c r="A699" s="2" t="s">
        <v>1395</v>
      </c>
      <c r="B699" s="2" t="s">
        <v>1336</v>
      </c>
      <c r="C699" s="2" t="s">
        <v>54</v>
      </c>
      <c r="D699" s="2" t="s">
        <v>73</v>
      </c>
      <c r="E699" s="2" t="s">
        <v>50</v>
      </c>
      <c r="F699" s="2" t="s">
        <v>1215</v>
      </c>
      <c r="G699" s="2" t="s">
        <v>106</v>
      </c>
      <c r="H699" s="2">
        <v>10.827999999999999</v>
      </c>
      <c r="I699" s="2">
        <v>0.31</v>
      </c>
      <c r="J699" s="9">
        <v>0.5</v>
      </c>
      <c r="K699" s="2">
        <v>111</v>
      </c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9">
        <f t="shared" si="48"/>
        <v>3.3566800000000001E-2</v>
      </c>
      <c r="AB699" s="9">
        <f t="shared" si="49"/>
        <v>5.4139999999999994E-2</v>
      </c>
      <c r="AC699" s="10">
        <f t="shared" si="50"/>
        <v>1201.9079999999999</v>
      </c>
      <c r="AD699" s="10">
        <f t="shared" si="51"/>
        <v>0</v>
      </c>
      <c r="AE699" s="9">
        <f t="shared" si="52"/>
        <v>0</v>
      </c>
      <c r="AF699" s="9">
        <f t="shared" si="53"/>
        <v>8.7706800000000001E-2</v>
      </c>
      <c r="AG699" s="9">
        <f t="shared" si="54"/>
        <v>0.81</v>
      </c>
      <c r="AH699" s="11">
        <f t="shared" si="66"/>
        <v>3.3566799999999999</v>
      </c>
      <c r="AI699" s="11">
        <f t="shared" si="66"/>
        <v>5.4139999999999997</v>
      </c>
      <c r="AJ699" s="11">
        <f t="shared" si="66"/>
        <v>1201.9079999999999</v>
      </c>
      <c r="AK699" s="11">
        <f t="shared" si="66"/>
        <v>0</v>
      </c>
      <c r="AL699" s="11">
        <f t="shared" si="66"/>
        <v>0</v>
      </c>
      <c r="AM699" s="2"/>
      <c r="AN699" s="2"/>
      <c r="AO699" s="2"/>
    </row>
    <row r="700" spans="1:41" x14ac:dyDescent="0.2">
      <c r="A700" s="2" t="s">
        <v>1396</v>
      </c>
      <c r="B700" s="2" t="s">
        <v>1336</v>
      </c>
      <c r="C700" s="2" t="s">
        <v>38</v>
      </c>
      <c r="D700" s="2" t="s">
        <v>167</v>
      </c>
      <c r="E700" s="2" t="s">
        <v>50</v>
      </c>
      <c r="F700" s="2" t="s">
        <v>657</v>
      </c>
      <c r="G700" s="2" t="s">
        <v>1397</v>
      </c>
      <c r="H700" s="2">
        <v>0.79</v>
      </c>
      <c r="I700" s="9">
        <v>0.7</v>
      </c>
      <c r="J700" s="2">
        <v>8.01</v>
      </c>
      <c r="K700" s="2">
        <v>58.8</v>
      </c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9">
        <f t="shared" si="48"/>
        <v>5.5299999999999993E-3</v>
      </c>
      <c r="AB700" s="9">
        <f t="shared" si="49"/>
        <v>6.3279000000000002E-2</v>
      </c>
      <c r="AC700" s="10">
        <f t="shared" si="50"/>
        <v>46.451999999999998</v>
      </c>
      <c r="AD700" s="10">
        <f t="shared" si="51"/>
        <v>0</v>
      </c>
      <c r="AE700" s="9">
        <f t="shared" si="52"/>
        <v>0</v>
      </c>
      <c r="AF700" s="9">
        <f t="shared" si="53"/>
        <v>6.8808999999999995E-2</v>
      </c>
      <c r="AG700" s="9">
        <f t="shared" si="54"/>
        <v>8.7099999999999991</v>
      </c>
      <c r="AH700" s="11">
        <f t="shared" si="66"/>
        <v>0.55299999999999994</v>
      </c>
      <c r="AI700" s="11">
        <f t="shared" si="66"/>
        <v>6.3279000000000005</v>
      </c>
      <c r="AJ700" s="11">
        <f t="shared" si="66"/>
        <v>46.451999999999998</v>
      </c>
      <c r="AK700" s="11">
        <f t="shared" si="66"/>
        <v>0</v>
      </c>
      <c r="AL700" s="11">
        <f t="shared" si="66"/>
        <v>0</v>
      </c>
      <c r="AM700" s="2"/>
      <c r="AN700" s="2"/>
      <c r="AO700" s="2"/>
    </row>
    <row r="701" spans="1:41" x14ac:dyDescent="0.2">
      <c r="A701" s="2" t="s">
        <v>1398</v>
      </c>
      <c r="B701" s="2" t="s">
        <v>1336</v>
      </c>
      <c r="C701" s="2" t="s">
        <v>54</v>
      </c>
      <c r="D701" s="2" t="s">
        <v>73</v>
      </c>
      <c r="E701" s="2" t="s">
        <v>50</v>
      </c>
      <c r="F701" s="2" t="s">
        <v>1350</v>
      </c>
      <c r="G701" s="2" t="s">
        <v>1351</v>
      </c>
      <c r="H701" s="12">
        <f>1.405+3.4352+4.3236</f>
        <v>9.1638000000000002</v>
      </c>
      <c r="I701" s="9">
        <f>(1.09*1.405+0.72*3.4352+0.76*4.3236)/$H701</f>
        <v>0.79560116982038021</v>
      </c>
      <c r="J701" s="9">
        <f>(3.47*1.405+1.98*3.4352+2.36*4.3236)/$H701</f>
        <v>2.3877367467644426</v>
      </c>
      <c r="K701" s="14">
        <f>(148*1.405+113*3.4352+107*4.3236)/$H701</f>
        <v>115.53534559898732</v>
      </c>
      <c r="L701" s="9">
        <f>(1.07*1.405+1.51*3.4352+0.76*4.3236)/$H701</f>
        <v>1.0886791505707238</v>
      </c>
      <c r="M701" s="9">
        <f>(0.69*1.405+0.66*3.4352+0.35*4.3236)/$H701</f>
        <v>0.51833758920971651</v>
      </c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9">
        <f t="shared" si="48"/>
        <v>7.2907299999999994E-2</v>
      </c>
      <c r="AB701" s="9">
        <f t="shared" si="49"/>
        <v>0.21880741999999997</v>
      </c>
      <c r="AC701" s="10">
        <f t="shared" si="50"/>
        <v>1058.7428</v>
      </c>
      <c r="AD701" s="10">
        <f t="shared" si="51"/>
        <v>4.7499419999999999</v>
      </c>
      <c r="AE701" s="9">
        <f t="shared" si="52"/>
        <v>9.976438E-2</v>
      </c>
      <c r="AF701" s="9">
        <f t="shared" si="53"/>
        <v>0.39147909999999997</v>
      </c>
      <c r="AG701" s="9">
        <f t="shared" si="54"/>
        <v>4.2720170671555469</v>
      </c>
      <c r="AH701" s="11">
        <f t="shared" si="66"/>
        <v>7.2907299999999999</v>
      </c>
      <c r="AI701" s="11">
        <f t="shared" si="66"/>
        <v>21.880741999999998</v>
      </c>
      <c r="AJ701" s="11">
        <f t="shared" si="66"/>
        <v>1058.7428</v>
      </c>
      <c r="AK701" s="11">
        <f t="shared" si="66"/>
        <v>9.9764379999999999</v>
      </c>
      <c r="AL701" s="11">
        <f t="shared" si="66"/>
        <v>4.7499419999999999</v>
      </c>
      <c r="AM701" s="2"/>
      <c r="AN701" s="2"/>
      <c r="AO701" s="2"/>
    </row>
    <row r="702" spans="1:41" x14ac:dyDescent="0.2">
      <c r="A702" s="2" t="s">
        <v>1399</v>
      </c>
      <c r="B702" s="2" t="s">
        <v>1336</v>
      </c>
      <c r="C702" s="2" t="s">
        <v>54</v>
      </c>
      <c r="D702" s="2"/>
      <c r="E702" s="2" t="s">
        <v>50</v>
      </c>
      <c r="F702" s="2" t="s">
        <v>1342</v>
      </c>
      <c r="G702" s="2" t="s">
        <v>106</v>
      </c>
      <c r="H702" s="2">
        <v>6.4000000000000001E-2</v>
      </c>
      <c r="I702" s="2">
        <v>3.55</v>
      </c>
      <c r="J702" s="2">
        <v>6.49</v>
      </c>
      <c r="K702" s="13">
        <f>9.899*31.1</f>
        <v>307.85890000000001</v>
      </c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9">
        <f t="shared" si="48"/>
        <v>2.2719999999999997E-3</v>
      </c>
      <c r="AB702" s="9">
        <f t="shared" si="49"/>
        <v>4.1536000000000003E-3</v>
      </c>
      <c r="AC702" s="10">
        <f t="shared" si="50"/>
        <v>19.702969599999999</v>
      </c>
      <c r="AD702" s="10">
        <f t="shared" si="51"/>
        <v>0</v>
      </c>
      <c r="AE702" s="9">
        <f t="shared" si="52"/>
        <v>0</v>
      </c>
      <c r="AF702" s="9">
        <f t="shared" si="53"/>
        <v>6.4256000000000001E-3</v>
      </c>
      <c r="AG702" s="9">
        <f t="shared" si="54"/>
        <v>10.039999999999999</v>
      </c>
      <c r="AH702" s="11">
        <f t="shared" si="66"/>
        <v>0.22719999999999999</v>
      </c>
      <c r="AI702" s="11">
        <f t="shared" si="66"/>
        <v>0.41536000000000001</v>
      </c>
      <c r="AJ702" s="11">
        <f t="shared" si="66"/>
        <v>19.702969599999999</v>
      </c>
      <c r="AK702" s="11">
        <f t="shared" si="66"/>
        <v>0</v>
      </c>
      <c r="AL702" s="11">
        <f t="shared" si="66"/>
        <v>0</v>
      </c>
      <c r="AM702" s="2"/>
      <c r="AN702" s="2"/>
      <c r="AO702" s="2"/>
    </row>
    <row r="703" spans="1:41" x14ac:dyDescent="0.2">
      <c r="A703" s="2" t="s">
        <v>1400</v>
      </c>
      <c r="B703" s="2" t="s">
        <v>1336</v>
      </c>
      <c r="C703" s="2" t="s">
        <v>54</v>
      </c>
      <c r="D703" s="2" t="s">
        <v>73</v>
      </c>
      <c r="E703" s="2" t="s">
        <v>50</v>
      </c>
      <c r="F703" s="2" t="s">
        <v>1340</v>
      </c>
      <c r="G703" s="2" t="s">
        <v>106</v>
      </c>
      <c r="H703" s="2">
        <v>1.49</v>
      </c>
      <c r="I703" s="2">
        <v>0.69</v>
      </c>
      <c r="J703" s="2">
        <v>1.1599999999999999</v>
      </c>
      <c r="K703" s="14">
        <f>9.08*31.1</f>
        <v>282.38800000000003</v>
      </c>
      <c r="L703" s="2">
        <v>0.26</v>
      </c>
      <c r="M703" s="2">
        <v>0.28000000000000003</v>
      </c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9">
        <f t="shared" si="48"/>
        <v>1.0281E-2</v>
      </c>
      <c r="AB703" s="9">
        <f t="shared" si="49"/>
        <v>1.7284000000000001E-2</v>
      </c>
      <c r="AC703" s="10">
        <f t="shared" si="50"/>
        <v>420.75812000000002</v>
      </c>
      <c r="AD703" s="10">
        <f t="shared" si="51"/>
        <v>0.41720000000000002</v>
      </c>
      <c r="AE703" s="9">
        <f t="shared" si="52"/>
        <v>3.8740000000000003E-3</v>
      </c>
      <c r="AF703" s="9">
        <f t="shared" si="53"/>
        <v>3.1439000000000002E-2</v>
      </c>
      <c r="AG703" s="9">
        <f t="shared" si="54"/>
        <v>2.11</v>
      </c>
      <c r="AH703" s="11">
        <f t="shared" si="66"/>
        <v>1.0281</v>
      </c>
      <c r="AI703" s="11">
        <f t="shared" si="66"/>
        <v>1.7283999999999999</v>
      </c>
      <c r="AJ703" s="11">
        <f t="shared" si="66"/>
        <v>420.75812000000002</v>
      </c>
      <c r="AK703" s="11">
        <f t="shared" si="66"/>
        <v>0.38740000000000002</v>
      </c>
      <c r="AL703" s="11">
        <f t="shared" si="66"/>
        <v>0.41720000000000002</v>
      </c>
      <c r="AM703" s="2"/>
      <c r="AN703" s="2"/>
      <c r="AO703" s="2"/>
    </row>
    <row r="704" spans="1:41" x14ac:dyDescent="0.2">
      <c r="A704" s="2" t="s">
        <v>1401</v>
      </c>
      <c r="B704" s="2" t="s">
        <v>1336</v>
      </c>
      <c r="C704" s="2" t="s">
        <v>54</v>
      </c>
      <c r="D704" s="2" t="s">
        <v>289</v>
      </c>
      <c r="E704" s="2" t="s">
        <v>50</v>
      </c>
      <c r="F704" s="2" t="s">
        <v>1374</v>
      </c>
      <c r="G704" s="2" t="s">
        <v>1402</v>
      </c>
      <c r="H704" s="12">
        <v>79.933811000000006</v>
      </c>
      <c r="I704" s="9">
        <v>1.528</v>
      </c>
      <c r="J704" s="9">
        <v>5.2229999999999999</v>
      </c>
      <c r="K704" s="13">
        <f>0.308*31.1</f>
        <v>9.5788000000000011</v>
      </c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9">
        <f t="shared" si="48"/>
        <v>1.22138863208</v>
      </c>
      <c r="AB704" s="9">
        <f t="shared" si="49"/>
        <v>4.17494294853</v>
      </c>
      <c r="AC704" s="10">
        <f t="shared" si="50"/>
        <v>765.66998880680012</v>
      </c>
      <c r="AD704" s="10">
        <f t="shared" si="51"/>
        <v>0</v>
      </c>
      <c r="AE704" s="9">
        <f t="shared" si="52"/>
        <v>0</v>
      </c>
      <c r="AF704" s="9">
        <f t="shared" si="53"/>
        <v>5.3963315806100001</v>
      </c>
      <c r="AG704" s="9">
        <f t="shared" si="54"/>
        <v>6.7509999999999994</v>
      </c>
      <c r="AH704" s="11">
        <f t="shared" si="66"/>
        <v>122.138863208</v>
      </c>
      <c r="AI704" s="11">
        <f t="shared" si="66"/>
        <v>417.49429485300004</v>
      </c>
      <c r="AJ704" s="11">
        <f t="shared" si="66"/>
        <v>765.66998880680012</v>
      </c>
      <c r="AK704" s="11">
        <f t="shared" si="66"/>
        <v>0</v>
      </c>
      <c r="AL704" s="11">
        <f t="shared" si="66"/>
        <v>0</v>
      </c>
      <c r="AM704" s="2"/>
      <c r="AN704" s="2"/>
      <c r="AO704" s="2"/>
    </row>
    <row r="705" spans="1:41" x14ac:dyDescent="0.2">
      <c r="A705" s="2" t="s">
        <v>1403</v>
      </c>
      <c r="B705" s="2" t="s">
        <v>1336</v>
      </c>
      <c r="C705" s="2" t="s">
        <v>54</v>
      </c>
      <c r="D705" s="2" t="s">
        <v>73</v>
      </c>
      <c r="E705" s="2" t="s">
        <v>50</v>
      </c>
      <c r="F705" s="2" t="s">
        <v>1340</v>
      </c>
      <c r="G705" s="2" t="s">
        <v>106</v>
      </c>
      <c r="H705" s="2">
        <v>0.91</v>
      </c>
      <c r="I705" s="9">
        <v>3.85</v>
      </c>
      <c r="J705" s="9">
        <v>6.06</v>
      </c>
      <c r="K705" s="13">
        <f>8.69*31.1</f>
        <v>270.25900000000001</v>
      </c>
      <c r="L705" s="9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9">
        <f t="shared" si="48"/>
        <v>3.5035000000000004E-2</v>
      </c>
      <c r="AB705" s="9">
        <f t="shared" si="49"/>
        <v>5.5146000000000001E-2</v>
      </c>
      <c r="AC705" s="10">
        <f t="shared" si="50"/>
        <v>245.93569000000002</v>
      </c>
      <c r="AD705" s="10">
        <f t="shared" si="51"/>
        <v>0</v>
      </c>
      <c r="AE705" s="9">
        <f t="shared" si="52"/>
        <v>0</v>
      </c>
      <c r="AF705" s="9">
        <f t="shared" si="53"/>
        <v>9.0181000000000011E-2</v>
      </c>
      <c r="AG705" s="9">
        <f t="shared" si="54"/>
        <v>9.91</v>
      </c>
      <c r="AH705" s="11">
        <f t="shared" si="66"/>
        <v>3.5035000000000003</v>
      </c>
      <c r="AI705" s="11">
        <f t="shared" si="66"/>
        <v>5.5145999999999997</v>
      </c>
      <c r="AJ705" s="11">
        <f t="shared" si="66"/>
        <v>245.93569000000002</v>
      </c>
      <c r="AK705" s="11">
        <f t="shared" si="66"/>
        <v>0</v>
      </c>
      <c r="AL705" s="11">
        <f t="shared" si="66"/>
        <v>0</v>
      </c>
      <c r="AM705" s="2"/>
      <c r="AN705" s="2"/>
      <c r="AO705" s="2"/>
    </row>
    <row r="706" spans="1:41" x14ac:dyDescent="0.2">
      <c r="A706" s="2" t="s">
        <v>1404</v>
      </c>
      <c r="B706" s="2" t="s">
        <v>1336</v>
      </c>
      <c r="C706" s="2" t="s">
        <v>157</v>
      </c>
      <c r="D706" s="2"/>
      <c r="E706" s="2" t="s">
        <v>50</v>
      </c>
      <c r="F706" s="2" t="s">
        <v>487</v>
      </c>
      <c r="G706" s="2" t="s">
        <v>291</v>
      </c>
      <c r="H706" s="2">
        <f>8.544+22.511</f>
        <v>31.055</v>
      </c>
      <c r="I706" s="9">
        <f>(1.06*8.544+0.32*22.511)/$H706</f>
        <v>0.52359233617774925</v>
      </c>
      <c r="J706" s="9">
        <f>(3.05*8.544+3.42*22.511)/$H706</f>
        <v>3.3182038319111253</v>
      </c>
      <c r="K706" s="14">
        <f>(35*8.544+18*22.511)/$H706</f>
        <v>22.677121236515863</v>
      </c>
      <c r="L706" s="9">
        <f>(0.06*8.544+0.09*22.511)/$H706</f>
        <v>8.1746256641442583E-2</v>
      </c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9">
        <f t="shared" si="48"/>
        <v>0.16260160000000001</v>
      </c>
      <c r="AB706" s="9">
        <f t="shared" si="49"/>
        <v>1.0304682000000001</v>
      </c>
      <c r="AC706" s="10">
        <f t="shared" si="50"/>
        <v>704.23800000000006</v>
      </c>
      <c r="AD706" s="10">
        <f t="shared" si="51"/>
        <v>0</v>
      </c>
      <c r="AE706" s="9">
        <f t="shared" si="52"/>
        <v>2.5386299999999994E-2</v>
      </c>
      <c r="AF706" s="9">
        <f t="shared" si="53"/>
        <v>1.2184561</v>
      </c>
      <c r="AG706" s="9">
        <f t="shared" si="54"/>
        <v>3.9235424247303174</v>
      </c>
      <c r="AH706" s="11">
        <f t="shared" ref="AH706:AL721" si="67">$H706*I706</f>
        <v>16.260160000000003</v>
      </c>
      <c r="AI706" s="11">
        <f t="shared" si="67"/>
        <v>103.04682</v>
      </c>
      <c r="AJ706" s="11">
        <f t="shared" si="67"/>
        <v>704.23800000000006</v>
      </c>
      <c r="AK706" s="11">
        <f t="shared" si="67"/>
        <v>2.5386299999999995</v>
      </c>
      <c r="AL706" s="11">
        <f t="shared" si="67"/>
        <v>0</v>
      </c>
      <c r="AM706" s="2"/>
      <c r="AN706" s="2"/>
      <c r="AO706" s="2"/>
    </row>
    <row r="707" spans="1:41" x14ac:dyDescent="0.2">
      <c r="A707" s="2" t="s">
        <v>1405</v>
      </c>
      <c r="B707" s="2" t="s">
        <v>1336</v>
      </c>
      <c r="C707" s="2" t="s">
        <v>1406</v>
      </c>
      <c r="D707" s="2"/>
      <c r="E707" s="16" t="s">
        <v>196</v>
      </c>
      <c r="F707" s="2" t="s">
        <v>487</v>
      </c>
      <c r="G707" s="2" t="s">
        <v>291</v>
      </c>
      <c r="H707" s="2">
        <v>4.1920000000000002</v>
      </c>
      <c r="I707" s="2"/>
      <c r="J707" s="2">
        <v>1.93</v>
      </c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9">
        <f t="shared" si="48"/>
        <v>0</v>
      </c>
      <c r="AB707" s="9">
        <f t="shared" si="49"/>
        <v>8.0905599999999994E-2</v>
      </c>
      <c r="AC707" s="10">
        <f t="shared" si="50"/>
        <v>0</v>
      </c>
      <c r="AD707" s="10">
        <f t="shared" si="51"/>
        <v>0</v>
      </c>
      <c r="AE707" s="9">
        <f t="shared" si="52"/>
        <v>0</v>
      </c>
      <c r="AF707" s="9">
        <f t="shared" si="53"/>
        <v>8.0905599999999994E-2</v>
      </c>
      <c r="AG707" s="9">
        <f t="shared" si="54"/>
        <v>1.93</v>
      </c>
      <c r="AH707" s="11">
        <f t="shared" si="67"/>
        <v>0</v>
      </c>
      <c r="AI707" s="11">
        <f t="shared" si="67"/>
        <v>8.09056</v>
      </c>
      <c r="AJ707" s="11">
        <f t="shared" si="67"/>
        <v>0</v>
      </c>
      <c r="AK707" s="11">
        <f t="shared" si="67"/>
        <v>0</v>
      </c>
      <c r="AL707" s="11">
        <f t="shared" si="67"/>
        <v>0</v>
      </c>
      <c r="AM707" s="2"/>
      <c r="AN707" s="2"/>
      <c r="AO707" s="2"/>
    </row>
    <row r="708" spans="1:41" x14ac:dyDescent="0.2">
      <c r="A708" s="2" t="s">
        <v>1407</v>
      </c>
      <c r="B708" s="2" t="s">
        <v>1336</v>
      </c>
      <c r="C708" s="2" t="s">
        <v>54</v>
      </c>
      <c r="D708" s="2" t="s">
        <v>73</v>
      </c>
      <c r="E708" s="2" t="s">
        <v>50</v>
      </c>
      <c r="F708" s="2" t="s">
        <v>1374</v>
      </c>
      <c r="G708" s="2" t="s">
        <v>1402</v>
      </c>
      <c r="H708" s="2">
        <v>45.926000000000002</v>
      </c>
      <c r="I708" s="2">
        <v>0.86</v>
      </c>
      <c r="J708" s="2">
        <v>2.5299999999999998</v>
      </c>
      <c r="K708" s="13">
        <f>0.92*31.1</f>
        <v>28.612000000000002</v>
      </c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9">
        <f t="shared" si="48"/>
        <v>0.39496360000000003</v>
      </c>
      <c r="AB708" s="9">
        <f t="shared" si="49"/>
        <v>1.1619278</v>
      </c>
      <c r="AC708" s="10">
        <f t="shared" si="50"/>
        <v>1314.0347120000001</v>
      </c>
      <c r="AD708" s="10">
        <f t="shared" si="51"/>
        <v>0</v>
      </c>
      <c r="AE708" s="9">
        <f t="shared" si="52"/>
        <v>0</v>
      </c>
      <c r="AF708" s="9">
        <f t="shared" si="53"/>
        <v>1.5568914</v>
      </c>
      <c r="AG708" s="9">
        <f t="shared" si="54"/>
        <v>3.3899999999999997</v>
      </c>
      <c r="AH708" s="11">
        <f t="shared" si="67"/>
        <v>39.496360000000003</v>
      </c>
      <c r="AI708" s="11">
        <f t="shared" si="67"/>
        <v>116.19278</v>
      </c>
      <c r="AJ708" s="11">
        <f t="shared" si="67"/>
        <v>1314.0347120000001</v>
      </c>
      <c r="AK708" s="11">
        <f t="shared" si="67"/>
        <v>0</v>
      </c>
      <c r="AL708" s="11">
        <f t="shared" si="67"/>
        <v>0</v>
      </c>
      <c r="AM708" s="2"/>
      <c r="AN708" s="2"/>
      <c r="AO708" s="2"/>
    </row>
    <row r="709" spans="1:41" x14ac:dyDescent="0.2">
      <c r="A709" s="2" t="s">
        <v>1408</v>
      </c>
      <c r="B709" s="2" t="s">
        <v>1336</v>
      </c>
      <c r="C709" s="2" t="s">
        <v>54</v>
      </c>
      <c r="D709" s="2" t="s">
        <v>73</v>
      </c>
      <c r="E709" s="2" t="s">
        <v>50</v>
      </c>
      <c r="F709" s="2" t="s">
        <v>1342</v>
      </c>
      <c r="G709" s="2" t="s">
        <v>106</v>
      </c>
      <c r="H709" s="2">
        <v>1.6</v>
      </c>
      <c r="I709" s="2">
        <v>2.1</v>
      </c>
      <c r="J709" s="13">
        <v>3</v>
      </c>
      <c r="K709" s="14">
        <f>9.2*31.1</f>
        <v>286.12</v>
      </c>
      <c r="L709" s="2"/>
      <c r="M709" s="2">
        <v>13.6</v>
      </c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9">
        <f t="shared" si="48"/>
        <v>3.3600000000000005E-2</v>
      </c>
      <c r="AB709" s="9">
        <f t="shared" si="49"/>
        <v>4.8000000000000008E-2</v>
      </c>
      <c r="AC709" s="10">
        <f t="shared" si="50"/>
        <v>457.79200000000003</v>
      </c>
      <c r="AD709" s="10">
        <f t="shared" si="51"/>
        <v>21.76</v>
      </c>
      <c r="AE709" s="9">
        <f t="shared" si="52"/>
        <v>0</v>
      </c>
      <c r="AF709" s="9">
        <f t="shared" si="53"/>
        <v>8.1600000000000006E-2</v>
      </c>
      <c r="AG709" s="9">
        <f t="shared" si="54"/>
        <v>5.0999999999999996</v>
      </c>
      <c r="AH709" s="11">
        <f t="shared" si="67"/>
        <v>3.3600000000000003</v>
      </c>
      <c r="AI709" s="11">
        <f t="shared" si="67"/>
        <v>4.8000000000000007</v>
      </c>
      <c r="AJ709" s="11">
        <f t="shared" si="67"/>
        <v>457.79200000000003</v>
      </c>
      <c r="AK709" s="11">
        <f t="shared" si="67"/>
        <v>0</v>
      </c>
      <c r="AL709" s="11">
        <f t="shared" si="67"/>
        <v>21.76</v>
      </c>
      <c r="AM709" s="2"/>
      <c r="AN709" s="2"/>
      <c r="AO709" s="2"/>
    </row>
    <row r="710" spans="1:41" x14ac:dyDescent="0.2">
      <c r="A710" s="2" t="s">
        <v>1409</v>
      </c>
      <c r="B710" s="2" t="s">
        <v>1336</v>
      </c>
      <c r="C710" s="2" t="s">
        <v>157</v>
      </c>
      <c r="D710" s="2"/>
      <c r="E710" s="2" t="s">
        <v>50</v>
      </c>
      <c r="F710" s="2" t="s">
        <v>1342</v>
      </c>
      <c r="G710" s="2" t="s">
        <v>106</v>
      </c>
      <c r="H710" s="2">
        <f>3.485+0.064+0.287</f>
        <v>3.8359999999999999</v>
      </c>
      <c r="I710" s="9">
        <f>(1.05*3.485+5.1*0.064+0*0.287)/$H710</f>
        <v>1.0390119916579772</v>
      </c>
      <c r="J710" s="9">
        <f>(1.42*3.485+6.6*0.064+0*0.287)/$H710</f>
        <v>1.4001824817518247</v>
      </c>
      <c r="K710" s="13">
        <f>31.1*(16.854*3.485+7.496*0.064+19.742*0.287)/$H710</f>
        <v>526.02364880083417</v>
      </c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9">
        <f t="shared" si="48"/>
        <v>3.9856500000000003E-2</v>
      </c>
      <c r="AB710" s="9">
        <f t="shared" si="49"/>
        <v>5.3710999999999995E-2</v>
      </c>
      <c r="AC710" s="10">
        <f t="shared" si="50"/>
        <v>2017.8267167999998</v>
      </c>
      <c r="AD710" s="10">
        <f t="shared" si="51"/>
        <v>0</v>
      </c>
      <c r="AE710" s="9">
        <f t="shared" si="52"/>
        <v>0</v>
      </c>
      <c r="AF710" s="9">
        <f t="shared" si="53"/>
        <v>9.3567499999999998E-2</v>
      </c>
      <c r="AG710" s="9">
        <f t="shared" si="54"/>
        <v>2.4391944734098017</v>
      </c>
      <c r="AH710" s="11">
        <f t="shared" si="67"/>
        <v>3.9856500000000006</v>
      </c>
      <c r="AI710" s="11">
        <f t="shared" si="67"/>
        <v>5.3710999999999993</v>
      </c>
      <c r="AJ710" s="11">
        <f t="shared" si="67"/>
        <v>2017.8267167999998</v>
      </c>
      <c r="AK710" s="11">
        <f t="shared" si="67"/>
        <v>0</v>
      </c>
      <c r="AL710" s="11">
        <f t="shared" si="67"/>
        <v>0</v>
      </c>
      <c r="AM710" s="2"/>
      <c r="AN710" s="2"/>
      <c r="AO710" s="2"/>
    </row>
    <row r="711" spans="1:41" x14ac:dyDescent="0.2">
      <c r="A711" s="2" t="s">
        <v>1410</v>
      </c>
      <c r="B711" s="2" t="s">
        <v>1336</v>
      </c>
      <c r="C711" s="2" t="s">
        <v>54</v>
      </c>
      <c r="D711" s="2" t="s">
        <v>308</v>
      </c>
      <c r="E711" s="2" t="s">
        <v>50</v>
      </c>
      <c r="F711" s="2" t="s">
        <v>1340</v>
      </c>
      <c r="G711" s="2" t="s">
        <v>106</v>
      </c>
      <c r="H711" s="2">
        <f>0.187+0.821+0.341</f>
        <v>1.349</v>
      </c>
      <c r="I711" s="9">
        <f>(1.94*0.187+1.3*0.821+2.12*0.341)/$H711</f>
        <v>1.5959970348406227</v>
      </c>
      <c r="J711" s="9">
        <f>(2.02*0.187+3*0.821+4.16*0.341)/$H711</f>
        <v>3.1573758339510754</v>
      </c>
      <c r="K711" s="13">
        <f>31.1*(6.06*0.187+4.4*0.821+4.63*0.341)/$H711</f>
        <v>145.80459229058562</v>
      </c>
      <c r="L711" s="9">
        <f>(0.01*0.187+0.15*0.821+0.09*0.341)/$H711</f>
        <v>0.11542624166048925</v>
      </c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9">
        <f t="shared" si="48"/>
        <v>2.1530000000000001E-2</v>
      </c>
      <c r="AB711" s="9">
        <f t="shared" si="49"/>
        <v>4.2593000000000006E-2</v>
      </c>
      <c r="AC711" s="10">
        <f t="shared" si="50"/>
        <v>196.690395</v>
      </c>
      <c r="AD711" s="10">
        <f t="shared" si="51"/>
        <v>0</v>
      </c>
      <c r="AE711" s="9">
        <f t="shared" si="52"/>
        <v>1.5570999999999998E-3</v>
      </c>
      <c r="AF711" s="9">
        <f t="shared" si="53"/>
        <v>6.5680100000000019E-2</v>
      </c>
      <c r="AG711" s="9">
        <f t="shared" si="54"/>
        <v>4.8687991104521871</v>
      </c>
      <c r="AH711" s="11">
        <f t="shared" si="67"/>
        <v>2.153</v>
      </c>
      <c r="AI711" s="11">
        <f t="shared" si="67"/>
        <v>4.2593000000000005</v>
      </c>
      <c r="AJ711" s="11">
        <f t="shared" si="67"/>
        <v>196.690395</v>
      </c>
      <c r="AK711" s="11">
        <f t="shared" si="67"/>
        <v>0.15570999999999999</v>
      </c>
      <c r="AL711" s="11">
        <f t="shared" si="67"/>
        <v>0</v>
      </c>
      <c r="AM711" s="2"/>
      <c r="AN711" s="2"/>
      <c r="AO711" s="2"/>
    </row>
    <row r="712" spans="1:41" x14ac:dyDescent="0.2">
      <c r="A712" s="2" t="s">
        <v>1411</v>
      </c>
      <c r="B712" s="2" t="s">
        <v>1336</v>
      </c>
      <c r="C712" s="2" t="s">
        <v>157</v>
      </c>
      <c r="D712" s="2" t="s">
        <v>1138</v>
      </c>
      <c r="E712" s="2" t="s">
        <v>50</v>
      </c>
      <c r="F712" s="2" t="s">
        <v>1337</v>
      </c>
      <c r="G712" s="2" t="s">
        <v>774</v>
      </c>
      <c r="H712" s="2">
        <f>26.491+1.169</f>
        <v>27.66</v>
      </c>
      <c r="I712" s="9">
        <f>(2.18*26.491+1.09*1.169)/$H712</f>
        <v>2.1339331164135937</v>
      </c>
      <c r="J712" s="9">
        <f>(2.37*26.491+2.17*1.169)/$H712</f>
        <v>2.3615473608098339</v>
      </c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9">
        <f t="shared" si="48"/>
        <v>0.59024589999999999</v>
      </c>
      <c r="AB712" s="9">
        <f t="shared" si="49"/>
        <v>0.65320400000000012</v>
      </c>
      <c r="AC712" s="10">
        <f t="shared" si="50"/>
        <v>0</v>
      </c>
      <c r="AD712" s="10">
        <f t="shared" si="51"/>
        <v>0</v>
      </c>
      <c r="AE712" s="9">
        <f t="shared" si="52"/>
        <v>0</v>
      </c>
      <c r="AF712" s="9">
        <f t="shared" si="53"/>
        <v>1.2434499000000001</v>
      </c>
      <c r="AG712" s="9">
        <f t="shared" si="54"/>
        <v>4.4954804772234276</v>
      </c>
      <c r="AH712" s="11">
        <f t="shared" si="67"/>
        <v>59.024590000000003</v>
      </c>
      <c r="AI712" s="11">
        <f t="shared" si="67"/>
        <v>65.320400000000006</v>
      </c>
      <c r="AJ712" s="11">
        <f t="shared" si="67"/>
        <v>0</v>
      </c>
      <c r="AK712" s="11">
        <f t="shared" si="67"/>
        <v>0</v>
      </c>
      <c r="AL712" s="11">
        <f t="shared" si="67"/>
        <v>0</v>
      </c>
      <c r="AM712" s="2"/>
      <c r="AN712" s="2"/>
      <c r="AO712" s="2"/>
    </row>
    <row r="713" spans="1:41" x14ac:dyDescent="0.2">
      <c r="A713" s="2" t="s">
        <v>1412</v>
      </c>
      <c r="B713" s="2" t="s">
        <v>1336</v>
      </c>
      <c r="C713" s="2" t="s">
        <v>157</v>
      </c>
      <c r="D713" s="2"/>
      <c r="E713" s="2" t="s">
        <v>50</v>
      </c>
      <c r="F713" s="2" t="s">
        <v>1340</v>
      </c>
      <c r="G713" s="2" t="s">
        <v>106</v>
      </c>
      <c r="H713" s="2">
        <f>25.363+16.306+30.076</f>
        <v>71.745000000000005</v>
      </c>
      <c r="I713" s="9">
        <f>(0.92*25.363+0.52*16.306+0.78*30.076)/$H713</f>
        <v>0.77040016725904237</v>
      </c>
      <c r="J713" s="9">
        <f>(5.82*25.363+1.72*16.306+4.86*30.076)/$H713</f>
        <v>4.4857249982577185</v>
      </c>
      <c r="K713" s="13">
        <f>31.1*(3.9*25.363+1.67*16.306+4.23*30.076)/$H713</f>
        <v>109.82996752386926</v>
      </c>
      <c r="L713" s="9">
        <f>(0.16*25.363+0.26*16.306+0.24*30.076)/$H713</f>
        <v>0.21626426928705833</v>
      </c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9">
        <f t="shared" si="48"/>
        <v>0.55272359999999998</v>
      </c>
      <c r="AB713" s="9">
        <f t="shared" si="49"/>
        <v>3.2182834000000002</v>
      </c>
      <c r="AC713" s="10">
        <f t="shared" si="50"/>
        <v>7879.7510200000006</v>
      </c>
      <c r="AD713" s="10">
        <f t="shared" si="51"/>
        <v>0</v>
      </c>
      <c r="AE713" s="9">
        <f t="shared" si="52"/>
        <v>0.15515880000000001</v>
      </c>
      <c r="AF713" s="9">
        <f t="shared" si="53"/>
        <v>3.9261658000000002</v>
      </c>
      <c r="AG713" s="9">
        <f t="shared" si="54"/>
        <v>5.4723894348038193</v>
      </c>
      <c r="AH713" s="11">
        <f t="shared" si="67"/>
        <v>55.272359999999999</v>
      </c>
      <c r="AI713" s="11">
        <f t="shared" si="67"/>
        <v>321.82834000000003</v>
      </c>
      <c r="AJ713" s="11">
        <f t="shared" si="67"/>
        <v>7879.7510200000006</v>
      </c>
      <c r="AK713" s="11">
        <f t="shared" si="67"/>
        <v>15.515880000000001</v>
      </c>
      <c r="AL713" s="11">
        <f t="shared" si="67"/>
        <v>0</v>
      </c>
      <c r="AM713" s="2"/>
      <c r="AN713" s="2"/>
      <c r="AO713" s="2"/>
    </row>
    <row r="714" spans="1:41" x14ac:dyDescent="0.2">
      <c r="A714" s="2" t="s">
        <v>1413</v>
      </c>
      <c r="B714" s="2" t="s">
        <v>1336</v>
      </c>
      <c r="C714" s="2" t="s">
        <v>187</v>
      </c>
      <c r="D714" s="2"/>
      <c r="E714" s="2" t="s">
        <v>50</v>
      </c>
      <c r="F714" s="2" t="s">
        <v>63</v>
      </c>
      <c r="G714" s="2" t="s">
        <v>64</v>
      </c>
      <c r="H714" s="2">
        <f>1.74+8.8+13</f>
        <v>23.54</v>
      </c>
      <c r="I714" s="9">
        <f>(1.28*1.74+1.5*8.8+1*13)/$H714</f>
        <v>1.2076125743415462</v>
      </c>
      <c r="J714" s="13">
        <f>(3.58*1.74+3.5*8.8+4*13)/$H714</f>
        <v>3.7820390824129144</v>
      </c>
      <c r="K714" s="14">
        <f>(156*1.74+210*8.8+200*13)/$H714</f>
        <v>200.48598130841125</v>
      </c>
      <c r="L714" s="13">
        <f>(0.36*1.74+0.4*8.8+0.4*13)/$H714</f>
        <v>0.39704333050127449</v>
      </c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9">
        <f t="shared" si="48"/>
        <v>0.28427199999999997</v>
      </c>
      <c r="AB714" s="9">
        <f t="shared" si="49"/>
        <v>0.89029200000000008</v>
      </c>
      <c r="AC714" s="10">
        <f t="shared" si="50"/>
        <v>4719.4400000000005</v>
      </c>
      <c r="AD714" s="10">
        <f t="shared" si="51"/>
        <v>0</v>
      </c>
      <c r="AE714" s="9">
        <f t="shared" si="52"/>
        <v>9.3464000000000005E-2</v>
      </c>
      <c r="AF714" s="9">
        <f t="shared" si="53"/>
        <v>1.2680280000000002</v>
      </c>
      <c r="AG714" s="9">
        <f t="shared" si="54"/>
        <v>5.3866949872557353</v>
      </c>
      <c r="AH714" s="11">
        <f t="shared" si="67"/>
        <v>28.427199999999996</v>
      </c>
      <c r="AI714" s="11">
        <f t="shared" si="67"/>
        <v>89.029200000000003</v>
      </c>
      <c r="AJ714" s="11">
        <f t="shared" si="67"/>
        <v>4719.4400000000005</v>
      </c>
      <c r="AK714" s="11">
        <f t="shared" si="67"/>
        <v>9.3464000000000009</v>
      </c>
      <c r="AL714" s="11">
        <f t="shared" si="67"/>
        <v>0</v>
      </c>
      <c r="AM714" s="2"/>
      <c r="AN714" s="2"/>
      <c r="AO714" s="2"/>
    </row>
    <row r="715" spans="1:41" x14ac:dyDescent="0.2">
      <c r="A715" s="2" t="s">
        <v>1414</v>
      </c>
      <c r="B715" s="2" t="s">
        <v>1336</v>
      </c>
      <c r="C715" s="2" t="s">
        <v>157</v>
      </c>
      <c r="D715" s="2"/>
      <c r="E715" s="2" t="s">
        <v>50</v>
      </c>
      <c r="F715" s="2" t="s">
        <v>1181</v>
      </c>
      <c r="G715" s="2" t="s">
        <v>291</v>
      </c>
      <c r="H715" s="12">
        <f>1.229+4.91+0.37</f>
        <v>6.5090000000000003</v>
      </c>
      <c r="I715" s="9">
        <f>(3.44*1.229+2.1*4.91+5.15*0.37)/$H715</f>
        <v>2.5263880780457826</v>
      </c>
      <c r="J715" s="9">
        <f>(4.42*1.229+3.13*4.91+2.43*0.37)/$H715</f>
        <v>3.333780918727915</v>
      </c>
      <c r="K715" s="13">
        <f>(159.4*1.229+102.6*4.91+239.9*0.37)/$H715</f>
        <v>121.12945152865262</v>
      </c>
      <c r="L715" s="9">
        <f>(0.8*1.229+1.08*4.91+0.42*0.37)/$H715</f>
        <v>0.9896143800891074</v>
      </c>
      <c r="M715" s="9">
        <f>(1.09*1.229+0.91*4.91+1.45*0.37)/$H715</f>
        <v>0.97468274696573987</v>
      </c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9">
        <f t="shared" si="48"/>
        <v>0.16444259999999999</v>
      </c>
      <c r="AB715" s="9">
        <f t="shared" si="49"/>
        <v>0.21699580000000002</v>
      </c>
      <c r="AC715" s="10">
        <f t="shared" si="50"/>
        <v>788.4316</v>
      </c>
      <c r="AD715" s="10">
        <f t="shared" si="51"/>
        <v>6.3442100000000012</v>
      </c>
      <c r="AE715" s="9">
        <f t="shared" si="52"/>
        <v>6.4414000000000013E-2</v>
      </c>
      <c r="AF715" s="9">
        <f t="shared" si="53"/>
        <v>0.44585240000000004</v>
      </c>
      <c r="AG715" s="9">
        <f t="shared" si="54"/>
        <v>6.8497833768628054</v>
      </c>
      <c r="AH715" s="11">
        <f t="shared" si="67"/>
        <v>16.44426</v>
      </c>
      <c r="AI715" s="11">
        <f t="shared" si="67"/>
        <v>21.699580000000001</v>
      </c>
      <c r="AJ715" s="11">
        <f t="shared" si="67"/>
        <v>788.4316</v>
      </c>
      <c r="AK715" s="11">
        <f t="shared" si="67"/>
        <v>6.4414000000000007</v>
      </c>
      <c r="AL715" s="11">
        <f t="shared" si="67"/>
        <v>6.3442100000000012</v>
      </c>
      <c r="AM715" s="2"/>
      <c r="AN715" s="2"/>
      <c r="AO715" s="2"/>
    </row>
    <row r="716" spans="1:41" x14ac:dyDescent="0.2">
      <c r="A716" s="2" t="s">
        <v>1415</v>
      </c>
      <c r="B716" s="2" t="s">
        <v>1336</v>
      </c>
      <c r="C716" s="2" t="s">
        <v>187</v>
      </c>
      <c r="D716" s="2" t="s">
        <v>77</v>
      </c>
      <c r="E716" s="2" t="s">
        <v>50</v>
      </c>
      <c r="F716" s="2" t="s">
        <v>1340</v>
      </c>
      <c r="G716" s="2" t="s">
        <v>106</v>
      </c>
      <c r="H716" s="2">
        <f>2.74+2.9</f>
        <v>5.6400000000000006</v>
      </c>
      <c r="I716" s="9">
        <f>(1.26*2.74+1.34*2.9)/$H716</f>
        <v>1.3011347517730496</v>
      </c>
      <c r="J716" s="9">
        <f>(0.91*2.74+1.04*2.9)/$H716</f>
        <v>0.97684397163120562</v>
      </c>
      <c r="K716" s="13">
        <f>31.1*(1.71*2.74+1.72*2.9)/$H716</f>
        <v>53.340911347517732</v>
      </c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9">
        <f t="shared" si="48"/>
        <v>7.3384000000000005E-2</v>
      </c>
      <c r="AB716" s="9">
        <f t="shared" si="49"/>
        <v>5.5094000000000004E-2</v>
      </c>
      <c r="AC716" s="10">
        <f t="shared" si="50"/>
        <v>300.84274000000005</v>
      </c>
      <c r="AD716" s="10">
        <f t="shared" si="51"/>
        <v>0</v>
      </c>
      <c r="AE716" s="9">
        <f t="shared" si="52"/>
        <v>0</v>
      </c>
      <c r="AF716" s="9">
        <f t="shared" si="53"/>
        <v>0.12847800000000001</v>
      </c>
      <c r="AG716" s="9">
        <f t="shared" si="54"/>
        <v>2.2779787234042552</v>
      </c>
      <c r="AH716" s="11">
        <f t="shared" si="67"/>
        <v>7.3384000000000009</v>
      </c>
      <c r="AI716" s="11">
        <f t="shared" si="67"/>
        <v>5.5094000000000003</v>
      </c>
      <c r="AJ716" s="11">
        <f t="shared" si="67"/>
        <v>300.84274000000005</v>
      </c>
      <c r="AK716" s="11">
        <f t="shared" si="67"/>
        <v>0</v>
      </c>
      <c r="AL716" s="11">
        <f t="shared" si="67"/>
        <v>0</v>
      </c>
      <c r="AM716" s="2"/>
      <c r="AN716" s="2"/>
      <c r="AO716" s="2"/>
    </row>
    <row r="717" spans="1:41" x14ac:dyDescent="0.2">
      <c r="A717" s="2" t="s">
        <v>1416</v>
      </c>
      <c r="B717" s="2" t="s">
        <v>1417</v>
      </c>
      <c r="C717" s="2" t="s">
        <v>48</v>
      </c>
      <c r="D717" s="2"/>
      <c r="E717" s="2" t="s">
        <v>50</v>
      </c>
      <c r="F717" s="2" t="s">
        <v>1418</v>
      </c>
      <c r="G717" s="2" t="s">
        <v>1419</v>
      </c>
      <c r="H717" s="12">
        <v>0.99456299999999997</v>
      </c>
      <c r="I717" s="2"/>
      <c r="J717" s="2">
        <v>0.73</v>
      </c>
      <c r="K717" s="2">
        <v>13.48</v>
      </c>
      <c r="L717" s="2">
        <v>0.75</v>
      </c>
      <c r="M717" s="2">
        <v>0.54</v>
      </c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9">
        <f t="shared" si="48"/>
        <v>0</v>
      </c>
      <c r="AB717" s="9">
        <f t="shared" si="49"/>
        <v>7.2603098999999994E-3</v>
      </c>
      <c r="AC717" s="10">
        <f t="shared" si="50"/>
        <v>13.40670924</v>
      </c>
      <c r="AD717" s="10">
        <f t="shared" si="51"/>
        <v>0.53706401999999998</v>
      </c>
      <c r="AE717" s="9">
        <f t="shared" si="52"/>
        <v>7.4592225000000003E-3</v>
      </c>
      <c r="AF717" s="9">
        <f t="shared" si="53"/>
        <v>1.4719532399999999E-2</v>
      </c>
      <c r="AG717" s="9">
        <f t="shared" si="54"/>
        <v>1.48</v>
      </c>
      <c r="AH717" s="11">
        <f t="shared" si="67"/>
        <v>0</v>
      </c>
      <c r="AI717" s="11">
        <f t="shared" si="67"/>
        <v>0.72603098999999993</v>
      </c>
      <c r="AJ717" s="11">
        <f t="shared" si="67"/>
        <v>13.40670924</v>
      </c>
      <c r="AK717" s="11">
        <f t="shared" si="67"/>
        <v>0.74592225000000001</v>
      </c>
      <c r="AL717" s="11">
        <f t="shared" si="67"/>
        <v>0.53706401999999998</v>
      </c>
      <c r="AM717" s="2"/>
      <c r="AN717" s="2"/>
      <c r="AO717" s="2"/>
    </row>
    <row r="718" spans="1:41" x14ac:dyDescent="0.2">
      <c r="A718" s="2" t="s">
        <v>1420</v>
      </c>
      <c r="B718" s="2" t="s">
        <v>1417</v>
      </c>
      <c r="C718" s="2" t="s">
        <v>54</v>
      </c>
      <c r="D718" s="2"/>
      <c r="E718" s="2" t="s">
        <v>50</v>
      </c>
      <c r="F718" s="2" t="s">
        <v>1421</v>
      </c>
      <c r="G718" s="2" t="s">
        <v>1422</v>
      </c>
      <c r="H718" s="2">
        <v>2.7</v>
      </c>
      <c r="I718" s="2">
        <v>0.85</v>
      </c>
      <c r="J718" s="2">
        <v>1.58</v>
      </c>
      <c r="K718" s="2">
        <v>26</v>
      </c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9">
        <f t="shared" si="48"/>
        <v>2.2949999999999998E-2</v>
      </c>
      <c r="AB718" s="9">
        <f t="shared" si="49"/>
        <v>4.266000000000001E-2</v>
      </c>
      <c r="AC718" s="10">
        <f t="shared" si="50"/>
        <v>70.2</v>
      </c>
      <c r="AD718" s="10">
        <f t="shared" si="51"/>
        <v>0</v>
      </c>
      <c r="AE718" s="9">
        <f t="shared" si="52"/>
        <v>0</v>
      </c>
      <c r="AF718" s="9">
        <f t="shared" si="53"/>
        <v>6.5610000000000002E-2</v>
      </c>
      <c r="AG718" s="9">
        <f t="shared" si="54"/>
        <v>2.4300000000000002</v>
      </c>
      <c r="AH718" s="11">
        <f t="shared" si="67"/>
        <v>2.2949999999999999</v>
      </c>
      <c r="AI718" s="11">
        <f t="shared" si="67"/>
        <v>4.2660000000000009</v>
      </c>
      <c r="AJ718" s="11">
        <f t="shared" si="67"/>
        <v>70.2</v>
      </c>
      <c r="AK718" s="11">
        <f t="shared" si="67"/>
        <v>0</v>
      </c>
      <c r="AL718" s="11">
        <f t="shared" si="67"/>
        <v>0</v>
      </c>
      <c r="AM718" s="2"/>
      <c r="AN718" s="2"/>
      <c r="AO718" s="2"/>
    </row>
    <row r="719" spans="1:41" x14ac:dyDescent="0.2">
      <c r="A719" s="2" t="s">
        <v>1423</v>
      </c>
      <c r="B719" s="2" t="s">
        <v>1417</v>
      </c>
      <c r="C719" s="2" t="s">
        <v>48</v>
      </c>
      <c r="D719" s="2"/>
      <c r="E719" s="2" t="s">
        <v>50</v>
      </c>
      <c r="F719" s="2" t="s">
        <v>1424</v>
      </c>
      <c r="G719" s="2" t="s">
        <v>1425</v>
      </c>
      <c r="H719" s="2">
        <f>4.428+0.009+0.699</f>
        <v>5.1360000000000001</v>
      </c>
      <c r="I719" s="9">
        <f>(0.11*4.428+0.05*0.009+0.02*0.699)/$H719</f>
        <v>9.7646028037383176E-2</v>
      </c>
      <c r="J719" s="9">
        <f>(2.74*4.428+0.02*0.009+0.11*0.699)/$H719</f>
        <v>2.377295560747664</v>
      </c>
      <c r="K719" s="13">
        <f>(31.21*4.428+10.37*0.009+6.42*0.699)/$H719</f>
        <v>27.799608644859816</v>
      </c>
      <c r="L719" s="9">
        <f>(1.54*4.428+0.24*0.009+0.16*0.699)/$H719</f>
        <v>1.3499065420560747</v>
      </c>
      <c r="M719" s="9">
        <f>(2.78*4.428+1.78*0.009+0.98*0.699)/$H719</f>
        <v>2.5332710280373827</v>
      </c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9">
        <f t="shared" si="48"/>
        <v>5.0150999999999998E-3</v>
      </c>
      <c r="AB719" s="9">
        <f t="shared" si="49"/>
        <v>0.12209790000000004</v>
      </c>
      <c r="AC719" s="10">
        <f t="shared" si="50"/>
        <v>142.77879000000001</v>
      </c>
      <c r="AD719" s="10">
        <f t="shared" si="51"/>
        <v>13.010879999999998</v>
      </c>
      <c r="AE719" s="9">
        <f t="shared" si="52"/>
        <v>6.9331199999999996E-2</v>
      </c>
      <c r="AF719" s="9">
        <f t="shared" si="53"/>
        <v>0.19644420000000001</v>
      </c>
      <c r="AG719" s="9">
        <f t="shared" si="54"/>
        <v>3.8248481308411222</v>
      </c>
      <c r="AH719" s="11">
        <f t="shared" si="67"/>
        <v>0.50151000000000001</v>
      </c>
      <c r="AI719" s="11">
        <f t="shared" si="67"/>
        <v>12.209790000000003</v>
      </c>
      <c r="AJ719" s="11">
        <f t="shared" si="67"/>
        <v>142.77879000000001</v>
      </c>
      <c r="AK719" s="11">
        <f t="shared" si="67"/>
        <v>6.9331199999999997</v>
      </c>
      <c r="AL719" s="11">
        <f t="shared" si="67"/>
        <v>13.010879999999998</v>
      </c>
      <c r="AM719" s="2"/>
      <c r="AN719" s="2"/>
      <c r="AO719" s="2"/>
    </row>
    <row r="720" spans="1:41" x14ac:dyDescent="0.2">
      <c r="A720" s="2" t="s">
        <v>1426</v>
      </c>
      <c r="B720" s="2" t="s">
        <v>1427</v>
      </c>
      <c r="C720" s="2" t="s">
        <v>48</v>
      </c>
      <c r="D720" s="2"/>
      <c r="E720" s="2" t="s">
        <v>50</v>
      </c>
      <c r="F720" s="2" t="s">
        <v>1428</v>
      </c>
      <c r="G720" s="2" t="s">
        <v>1429</v>
      </c>
      <c r="H720" s="9">
        <v>38.4</v>
      </c>
      <c r="I720" s="12">
        <f>19.29/10000</f>
        <v>1.9289999999999999E-3</v>
      </c>
      <c r="J720" s="12">
        <f>659/10000</f>
        <v>6.59E-2</v>
      </c>
      <c r="K720" s="9">
        <v>1.802</v>
      </c>
      <c r="L720" s="9">
        <v>0.60770000000000002</v>
      </c>
      <c r="M720" s="2">
        <v>0.28000000000000003</v>
      </c>
      <c r="N720" s="2"/>
      <c r="O720" s="2"/>
      <c r="P720" s="2"/>
      <c r="Q720" s="2"/>
      <c r="R720" s="2"/>
      <c r="S720" s="2">
        <f>13/10000</f>
        <v>1.2999999999999999E-3</v>
      </c>
      <c r="T720" s="2"/>
      <c r="U720" s="2"/>
      <c r="V720" s="2"/>
      <c r="W720" s="2"/>
      <c r="X720" s="2"/>
      <c r="Y720" s="2"/>
      <c r="Z720" s="2"/>
      <c r="AA720" s="9">
        <f t="shared" si="48"/>
        <v>7.4073599999999987E-4</v>
      </c>
      <c r="AB720" s="9">
        <f t="shared" si="49"/>
        <v>2.5305599999999998E-2</v>
      </c>
      <c r="AC720" s="10">
        <f t="shared" si="50"/>
        <v>69.196799999999996</v>
      </c>
      <c r="AD720" s="10">
        <f t="shared" si="51"/>
        <v>10.752000000000001</v>
      </c>
      <c r="AE720" s="9">
        <f t="shared" si="52"/>
        <v>0.2333568</v>
      </c>
      <c r="AF720" s="9">
        <f t="shared" si="53"/>
        <v>0.25940313599999998</v>
      </c>
      <c r="AG720" s="9">
        <f t="shared" si="54"/>
        <v>0.67552900000000005</v>
      </c>
      <c r="AH720" s="11">
        <f t="shared" si="67"/>
        <v>7.4073599999999989E-2</v>
      </c>
      <c r="AI720" s="11">
        <f t="shared" si="67"/>
        <v>2.5305599999999999</v>
      </c>
      <c r="AJ720" s="11">
        <f t="shared" si="67"/>
        <v>69.196799999999996</v>
      </c>
      <c r="AK720" s="11">
        <f t="shared" si="67"/>
        <v>23.33568</v>
      </c>
      <c r="AL720" s="11">
        <f t="shared" si="67"/>
        <v>10.752000000000001</v>
      </c>
      <c r="AM720" s="2"/>
      <c r="AN720" s="2"/>
      <c r="AO720" s="2"/>
    </row>
    <row r="721" spans="1:41" x14ac:dyDescent="0.2">
      <c r="A721" s="2" t="s">
        <v>1430</v>
      </c>
      <c r="B721" s="2" t="s">
        <v>1427</v>
      </c>
      <c r="C721" s="2" t="s">
        <v>48</v>
      </c>
      <c r="D721" s="2" t="s">
        <v>1081</v>
      </c>
      <c r="E721" s="2" t="s">
        <v>50</v>
      </c>
      <c r="F721" s="2" t="s">
        <v>1431</v>
      </c>
      <c r="G721" s="2" t="s">
        <v>106</v>
      </c>
      <c r="H721" s="2">
        <f>1.03+1.54</f>
        <v>2.5700000000000003</v>
      </c>
      <c r="I721" s="2"/>
      <c r="J721" s="13">
        <f>(0.4*1.03+0.9*1.54)/$H721</f>
        <v>0.6996108949416342</v>
      </c>
      <c r="K721" s="13">
        <f>(23*1.03+34*1.54)/$H721</f>
        <v>29.591439688715948</v>
      </c>
      <c r="L721" s="13">
        <f>(7.2*1.03+8.1*1.54)/$H721</f>
        <v>7.7392996108949408</v>
      </c>
      <c r="M721" s="13">
        <f>(5*1.03+6.4*1.54)/$H721</f>
        <v>5.8389105058365764</v>
      </c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9">
        <f t="shared" si="48"/>
        <v>0</v>
      </c>
      <c r="AB721" s="9">
        <f t="shared" si="49"/>
        <v>1.7979999999999999E-2</v>
      </c>
      <c r="AC721" s="10">
        <f t="shared" si="50"/>
        <v>76.05</v>
      </c>
      <c r="AD721" s="10">
        <f t="shared" si="51"/>
        <v>15.006000000000004</v>
      </c>
      <c r="AE721" s="9">
        <f t="shared" si="52"/>
        <v>0.19889999999999999</v>
      </c>
      <c r="AF721" s="9">
        <f t="shared" si="53"/>
        <v>0.21687999999999999</v>
      </c>
      <c r="AG721" s="9">
        <f t="shared" si="54"/>
        <v>8.4389105058365743</v>
      </c>
      <c r="AH721" s="11">
        <f t="shared" si="67"/>
        <v>0</v>
      </c>
      <c r="AI721" s="11">
        <f t="shared" si="67"/>
        <v>1.798</v>
      </c>
      <c r="AJ721" s="11">
        <f t="shared" si="67"/>
        <v>76.05</v>
      </c>
      <c r="AK721" s="11">
        <f t="shared" si="67"/>
        <v>19.89</v>
      </c>
      <c r="AL721" s="11">
        <f t="shared" si="67"/>
        <v>15.006000000000004</v>
      </c>
      <c r="AM721" s="2"/>
      <c r="AN721" s="2"/>
      <c r="AO721" s="2"/>
    </row>
    <row r="722" spans="1:41" x14ac:dyDescent="0.2">
      <c r="A722" s="2" t="s">
        <v>1432</v>
      </c>
      <c r="B722" s="2" t="s">
        <v>1427</v>
      </c>
      <c r="C722" s="2" t="s">
        <v>48</v>
      </c>
      <c r="D722" s="2" t="s">
        <v>1081</v>
      </c>
      <c r="E722" s="2" t="s">
        <v>50</v>
      </c>
      <c r="F722" s="2" t="s">
        <v>1431</v>
      </c>
      <c r="G722" s="2" t="s">
        <v>106</v>
      </c>
      <c r="H722" s="2">
        <v>0.23</v>
      </c>
      <c r="I722" s="2"/>
      <c r="J722" s="2">
        <v>3.6</v>
      </c>
      <c r="K722" s="2">
        <v>56</v>
      </c>
      <c r="L722" s="2">
        <v>7.3</v>
      </c>
      <c r="M722" s="2">
        <v>3.6</v>
      </c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9">
        <f t="shared" si="48"/>
        <v>0</v>
      </c>
      <c r="AB722" s="9">
        <f t="shared" si="49"/>
        <v>8.2800000000000009E-3</v>
      </c>
      <c r="AC722" s="10">
        <f t="shared" si="50"/>
        <v>12.88</v>
      </c>
      <c r="AD722" s="10">
        <f t="shared" si="51"/>
        <v>0.82800000000000007</v>
      </c>
      <c r="AE722" s="9">
        <f t="shared" si="52"/>
        <v>1.6789999999999999E-2</v>
      </c>
      <c r="AF722" s="9">
        <f t="shared" si="53"/>
        <v>2.5070000000000002E-2</v>
      </c>
      <c r="AG722" s="9">
        <f t="shared" si="54"/>
        <v>10.9</v>
      </c>
      <c r="AH722" s="11">
        <f t="shared" ref="AH722:AL737" si="68">$H722*I722</f>
        <v>0</v>
      </c>
      <c r="AI722" s="11">
        <f t="shared" si="68"/>
        <v>0.82800000000000007</v>
      </c>
      <c r="AJ722" s="11">
        <f t="shared" si="68"/>
        <v>12.88</v>
      </c>
      <c r="AK722" s="11">
        <f t="shared" si="68"/>
        <v>1.679</v>
      </c>
      <c r="AL722" s="11">
        <f t="shared" si="68"/>
        <v>0.82800000000000007</v>
      </c>
      <c r="AM722" s="2"/>
      <c r="AN722" s="2"/>
      <c r="AO722" s="2"/>
    </row>
    <row r="723" spans="1:41" x14ac:dyDescent="0.2">
      <c r="A723" s="2" t="s">
        <v>1433</v>
      </c>
      <c r="B723" s="2" t="s">
        <v>1434</v>
      </c>
      <c r="C723" s="2" t="s">
        <v>38</v>
      </c>
      <c r="D723" s="2" t="s">
        <v>39</v>
      </c>
      <c r="E723" s="2" t="s">
        <v>50</v>
      </c>
      <c r="F723" s="2" t="s">
        <v>1435</v>
      </c>
      <c r="G723" s="2" t="s">
        <v>1228</v>
      </c>
      <c r="H723" s="2">
        <v>21.2</v>
      </c>
      <c r="I723" s="2">
        <v>1.54</v>
      </c>
      <c r="J723" s="2">
        <v>5.88</v>
      </c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9">
        <f t="shared" si="48"/>
        <v>0.32647999999999994</v>
      </c>
      <c r="AB723" s="9">
        <f t="shared" si="49"/>
        <v>1.2465599999999999</v>
      </c>
      <c r="AC723" s="10">
        <f t="shared" si="50"/>
        <v>0</v>
      </c>
      <c r="AD723" s="10">
        <f t="shared" si="51"/>
        <v>0</v>
      </c>
      <c r="AE723" s="9">
        <f t="shared" si="52"/>
        <v>0</v>
      </c>
      <c r="AF723" s="9">
        <f t="shared" si="53"/>
        <v>1.5730399999999998</v>
      </c>
      <c r="AG723" s="9">
        <f t="shared" si="54"/>
        <v>7.42</v>
      </c>
      <c r="AH723" s="11">
        <f t="shared" si="68"/>
        <v>32.647999999999996</v>
      </c>
      <c r="AI723" s="11">
        <f t="shared" si="68"/>
        <v>124.65599999999999</v>
      </c>
      <c r="AJ723" s="11">
        <f t="shared" si="68"/>
        <v>0</v>
      </c>
      <c r="AK723" s="11">
        <f t="shared" si="68"/>
        <v>0</v>
      </c>
      <c r="AL723" s="11">
        <f t="shared" si="68"/>
        <v>0</v>
      </c>
      <c r="AM723" s="2"/>
      <c r="AN723" s="2"/>
      <c r="AO723" s="2"/>
    </row>
    <row r="724" spans="1:41" x14ac:dyDescent="0.2">
      <c r="A724" s="2" t="s">
        <v>1436</v>
      </c>
      <c r="B724" s="2" t="s">
        <v>1437</v>
      </c>
      <c r="C724" s="2" t="s">
        <v>48</v>
      </c>
      <c r="D724" s="2"/>
      <c r="E724" s="7" t="s">
        <v>40</v>
      </c>
      <c r="F724" s="2" t="s">
        <v>1438</v>
      </c>
      <c r="G724" s="2" t="s">
        <v>875</v>
      </c>
      <c r="H724" s="2">
        <v>13</v>
      </c>
      <c r="I724" s="2">
        <v>1.8</v>
      </c>
      <c r="J724" s="2">
        <v>5.6</v>
      </c>
      <c r="K724" s="2">
        <v>65</v>
      </c>
      <c r="L724" s="2">
        <v>0.2</v>
      </c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9">
        <f t="shared" si="48"/>
        <v>0.23400000000000001</v>
      </c>
      <c r="AB724" s="9">
        <f t="shared" si="49"/>
        <v>0.72799999999999998</v>
      </c>
      <c r="AC724" s="10">
        <f t="shared" si="50"/>
        <v>845</v>
      </c>
      <c r="AD724" s="10">
        <f t="shared" si="51"/>
        <v>0</v>
      </c>
      <c r="AE724" s="9">
        <f t="shared" si="52"/>
        <v>2.6000000000000002E-2</v>
      </c>
      <c r="AF724" s="18">
        <f t="shared" si="53"/>
        <v>0.98799999999999999</v>
      </c>
      <c r="AG724" s="9">
        <f t="shared" si="54"/>
        <v>7.6</v>
      </c>
      <c r="AH724" s="11">
        <f t="shared" si="68"/>
        <v>23.400000000000002</v>
      </c>
      <c r="AI724" s="11">
        <f t="shared" si="68"/>
        <v>72.8</v>
      </c>
      <c r="AJ724" s="11">
        <f t="shared" si="68"/>
        <v>845</v>
      </c>
      <c r="AK724" s="11">
        <f t="shared" si="68"/>
        <v>2.6</v>
      </c>
      <c r="AL724" s="11">
        <f t="shared" si="68"/>
        <v>0</v>
      </c>
      <c r="AM724" s="2"/>
      <c r="AN724" s="2"/>
      <c r="AO724" s="2"/>
    </row>
    <row r="725" spans="1:41" x14ac:dyDescent="0.2">
      <c r="A725" s="2" t="s">
        <v>1439</v>
      </c>
      <c r="B725" s="2" t="s">
        <v>1437</v>
      </c>
      <c r="C725" s="2" t="s">
        <v>48</v>
      </c>
      <c r="D725" s="2"/>
      <c r="E725" s="2" t="s">
        <v>50</v>
      </c>
      <c r="F725" s="2" t="s">
        <v>1440</v>
      </c>
      <c r="G725" s="2" t="s">
        <v>1441</v>
      </c>
      <c r="H725" s="2">
        <f>4.37+4.04</f>
        <v>8.41</v>
      </c>
      <c r="I725" s="9">
        <f>(2.94*4.37+2.5*4.04)/$H725</f>
        <v>2.7286325802615936</v>
      </c>
      <c r="J725" s="9">
        <f>(3.4*4.37+1.8*4.04)/$H725</f>
        <v>2.6313912009512488</v>
      </c>
      <c r="K725" s="13">
        <f>(54.72*4.37+51*4.04)/$H725</f>
        <v>52.932984542211649</v>
      </c>
      <c r="L725" s="9">
        <f>(0.34*4.37+0.35*4.04)/$H725</f>
        <v>0.34480380499405466</v>
      </c>
      <c r="M725" s="9">
        <f>(0.82*4.37+0.78*4.04)/$H725</f>
        <v>0.80078478002378128</v>
      </c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9">
        <f t="shared" si="48"/>
        <v>0.22947800000000004</v>
      </c>
      <c r="AB725" s="9">
        <f t="shared" si="49"/>
        <v>0.22130000000000002</v>
      </c>
      <c r="AC725" s="10">
        <f t="shared" si="50"/>
        <v>445.16639999999995</v>
      </c>
      <c r="AD725" s="10">
        <f t="shared" si="51"/>
        <v>6.7346000000000004</v>
      </c>
      <c r="AE725" s="9">
        <f t="shared" si="52"/>
        <v>2.8997999999999999E-2</v>
      </c>
      <c r="AF725" s="9">
        <f t="shared" si="53"/>
        <v>0.47977600000000009</v>
      </c>
      <c r="AG725" s="9">
        <f t="shared" si="54"/>
        <v>5.7048275862068962</v>
      </c>
      <c r="AH725" s="11">
        <f t="shared" si="68"/>
        <v>22.947800000000004</v>
      </c>
      <c r="AI725" s="11">
        <f t="shared" si="68"/>
        <v>22.130000000000003</v>
      </c>
      <c r="AJ725" s="11">
        <f t="shared" si="68"/>
        <v>445.16639999999995</v>
      </c>
      <c r="AK725" s="11">
        <f t="shared" si="68"/>
        <v>2.8997999999999999</v>
      </c>
      <c r="AL725" s="11">
        <f t="shared" si="68"/>
        <v>6.7346000000000004</v>
      </c>
      <c r="AM725" s="2"/>
      <c r="AN725" s="2"/>
      <c r="AO725" s="2"/>
    </row>
    <row r="726" spans="1:41" x14ac:dyDescent="0.2">
      <c r="A726" s="2" t="s">
        <v>1442</v>
      </c>
      <c r="B726" s="2" t="s">
        <v>1437</v>
      </c>
      <c r="C726" s="2" t="s">
        <v>48</v>
      </c>
      <c r="D726" s="2"/>
      <c r="E726" s="2" t="s">
        <v>50</v>
      </c>
      <c r="F726" s="2" t="s">
        <v>1443</v>
      </c>
      <c r="G726" s="2" t="s">
        <v>64</v>
      </c>
      <c r="H726" s="2">
        <f>10.401+44.867+24.701+23.545+67.313+22.496</f>
        <v>193.32300000000001</v>
      </c>
      <c r="I726" s="13">
        <f>(0.3*10.401+0.3*44.867+0.4*24.701+1.9*23.545+1.3*67.313+0.9*22.496)/$H726</f>
        <v>0.92565085375252809</v>
      </c>
      <c r="J726" s="13">
        <f>(1*10.401+1*44.867+1.1*24.701+7.5*23.545+5.5*67.313+4.5*22.496)/$H726</f>
        <v>3.7785473016661233</v>
      </c>
      <c r="K726" s="14">
        <f>(46*10.401+46*44.867+45*24.701+68*23.545+58*67.313+51*22.496)/$H726</f>
        <v>53.3117270060986</v>
      </c>
      <c r="L726" s="13">
        <f>(4.8*10.401+2.5*44.867+1.8*24.701+0.3*23.545+0.3*67.313+0.3*22.496)/$H726</f>
        <v>1.2443439218303047</v>
      </c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9">
        <f t="shared" si="48"/>
        <v>1.789496</v>
      </c>
      <c r="AB726" s="9">
        <f t="shared" si="49"/>
        <v>7.3048010000000003</v>
      </c>
      <c r="AC726" s="10">
        <f t="shared" si="50"/>
        <v>10306.383</v>
      </c>
      <c r="AD726" s="10">
        <f t="shared" si="51"/>
        <v>0</v>
      </c>
      <c r="AE726" s="9">
        <f t="shared" si="52"/>
        <v>2.4056030000000002</v>
      </c>
      <c r="AF726" s="9">
        <f t="shared" si="53"/>
        <v>11.4999</v>
      </c>
      <c r="AG726" s="9">
        <f t="shared" si="54"/>
        <v>5.9485420772489555</v>
      </c>
      <c r="AH726" s="11">
        <f t="shared" si="68"/>
        <v>178.9496</v>
      </c>
      <c r="AI726" s="11">
        <f t="shared" si="68"/>
        <v>730.48009999999999</v>
      </c>
      <c r="AJ726" s="11">
        <f t="shared" si="68"/>
        <v>10306.383</v>
      </c>
      <c r="AK726" s="11">
        <f t="shared" si="68"/>
        <v>240.56030000000001</v>
      </c>
      <c r="AL726" s="11">
        <f t="shared" si="68"/>
        <v>0</v>
      </c>
      <c r="AM726" s="2"/>
      <c r="AN726" s="2"/>
      <c r="AO726" s="2"/>
    </row>
    <row r="727" spans="1:41" x14ac:dyDescent="0.2">
      <c r="A727" s="2" t="s">
        <v>1444</v>
      </c>
      <c r="B727" s="2" t="s">
        <v>1445</v>
      </c>
      <c r="C727" s="2" t="s">
        <v>54</v>
      </c>
      <c r="D727" s="2" t="s">
        <v>73</v>
      </c>
      <c r="E727" s="7" t="s">
        <v>40</v>
      </c>
      <c r="F727" s="2" t="s">
        <v>41</v>
      </c>
      <c r="G727" s="2" t="s">
        <v>1446</v>
      </c>
      <c r="H727" s="2">
        <v>20</v>
      </c>
      <c r="I727" s="2">
        <v>1.5</v>
      </c>
      <c r="J727" s="2">
        <v>2</v>
      </c>
      <c r="K727" s="2">
        <v>30</v>
      </c>
      <c r="L727" s="2">
        <v>1</v>
      </c>
      <c r="M727" s="2">
        <v>1</v>
      </c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9">
        <f t="shared" si="48"/>
        <v>0.3</v>
      </c>
      <c r="AB727" s="9">
        <f t="shared" si="49"/>
        <v>0.4</v>
      </c>
      <c r="AC727" s="10">
        <f t="shared" si="50"/>
        <v>600</v>
      </c>
      <c r="AD727" s="10">
        <f t="shared" si="51"/>
        <v>20</v>
      </c>
      <c r="AE727" s="9">
        <f t="shared" si="52"/>
        <v>0.2</v>
      </c>
      <c r="AF727" s="9">
        <f t="shared" si="53"/>
        <v>0.89999999999999991</v>
      </c>
      <c r="AG727" s="9">
        <f t="shared" si="54"/>
        <v>4.5</v>
      </c>
      <c r="AH727" s="11">
        <f t="shared" si="68"/>
        <v>30</v>
      </c>
      <c r="AI727" s="11">
        <f t="shared" si="68"/>
        <v>40</v>
      </c>
      <c r="AJ727" s="11">
        <f t="shared" si="68"/>
        <v>600</v>
      </c>
      <c r="AK727" s="11">
        <f t="shared" si="68"/>
        <v>20</v>
      </c>
      <c r="AL727" s="11">
        <f t="shared" si="68"/>
        <v>20</v>
      </c>
      <c r="AM727" s="2"/>
      <c r="AN727" s="2"/>
      <c r="AO727" s="2"/>
    </row>
    <row r="728" spans="1:41" x14ac:dyDescent="0.2">
      <c r="A728" s="2" t="s">
        <v>1447</v>
      </c>
      <c r="B728" s="2" t="s">
        <v>1445</v>
      </c>
      <c r="C728" s="2" t="s">
        <v>54</v>
      </c>
      <c r="D728" s="2" t="s">
        <v>73</v>
      </c>
      <c r="E728" s="7" t="s">
        <v>40</v>
      </c>
      <c r="F728" s="2" t="s">
        <v>41</v>
      </c>
      <c r="G728" s="2" t="s">
        <v>1448</v>
      </c>
      <c r="H728" s="2">
        <v>9.3000000000000007</v>
      </c>
      <c r="I728" s="2">
        <v>1.4</v>
      </c>
      <c r="J728" s="2">
        <v>2.2999999999999998</v>
      </c>
      <c r="K728" s="2">
        <v>36</v>
      </c>
      <c r="L728" s="2"/>
      <c r="M728" s="2">
        <v>3</v>
      </c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9">
        <f t="shared" si="48"/>
        <v>0.13019999999999998</v>
      </c>
      <c r="AB728" s="9">
        <f t="shared" si="49"/>
        <v>0.21390000000000001</v>
      </c>
      <c r="AC728" s="10">
        <f t="shared" si="50"/>
        <v>334.8</v>
      </c>
      <c r="AD728" s="10">
        <f t="shared" si="51"/>
        <v>27.900000000000002</v>
      </c>
      <c r="AE728" s="9">
        <f t="shared" si="52"/>
        <v>0</v>
      </c>
      <c r="AF728" s="9">
        <f t="shared" si="53"/>
        <v>0.34409999999999996</v>
      </c>
      <c r="AG728" s="9">
        <f t="shared" si="54"/>
        <v>3.6999999999999997</v>
      </c>
      <c r="AH728" s="11">
        <f t="shared" si="68"/>
        <v>13.02</v>
      </c>
      <c r="AI728" s="11">
        <f t="shared" si="68"/>
        <v>21.39</v>
      </c>
      <c r="AJ728" s="11">
        <f t="shared" si="68"/>
        <v>334.8</v>
      </c>
      <c r="AK728" s="11">
        <f t="shared" si="68"/>
        <v>0</v>
      </c>
      <c r="AL728" s="11">
        <f t="shared" si="68"/>
        <v>27.900000000000002</v>
      </c>
      <c r="AM728" s="2"/>
      <c r="AN728" s="2"/>
      <c r="AO728" s="2"/>
    </row>
    <row r="729" spans="1:41" x14ac:dyDescent="0.2">
      <c r="A729" s="2" t="s">
        <v>1449</v>
      </c>
      <c r="B729" s="2" t="s">
        <v>1450</v>
      </c>
      <c r="C729" s="2" t="s">
        <v>48</v>
      </c>
      <c r="D729" s="2"/>
      <c r="E729" s="7" t="s">
        <v>40</v>
      </c>
      <c r="F729" s="2" t="s">
        <v>41</v>
      </c>
      <c r="G729" s="2" t="s">
        <v>1451</v>
      </c>
      <c r="H729" s="2">
        <v>46</v>
      </c>
      <c r="I729" s="2"/>
      <c r="J729" s="2">
        <v>0.47</v>
      </c>
      <c r="K729" s="2"/>
      <c r="L729" s="2">
        <v>1.82</v>
      </c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9">
        <f t="shared" si="48"/>
        <v>0</v>
      </c>
      <c r="AB729" s="9">
        <f t="shared" si="49"/>
        <v>0.21619999999999998</v>
      </c>
      <c r="AC729" s="10">
        <f t="shared" si="50"/>
        <v>0</v>
      </c>
      <c r="AD729" s="10">
        <f t="shared" si="51"/>
        <v>0</v>
      </c>
      <c r="AE729" s="9">
        <f t="shared" si="52"/>
        <v>0.83719999999999994</v>
      </c>
      <c r="AF729" s="9">
        <f t="shared" si="53"/>
        <v>1.0533999999999999</v>
      </c>
      <c r="AG729" s="9">
        <f t="shared" si="54"/>
        <v>2.29</v>
      </c>
      <c r="AH729" s="11">
        <f t="shared" si="68"/>
        <v>0</v>
      </c>
      <c r="AI729" s="11">
        <f t="shared" si="68"/>
        <v>21.619999999999997</v>
      </c>
      <c r="AJ729" s="11">
        <f t="shared" si="68"/>
        <v>0</v>
      </c>
      <c r="AK729" s="11">
        <f t="shared" si="68"/>
        <v>83.72</v>
      </c>
      <c r="AL729" s="11">
        <f t="shared" si="68"/>
        <v>0</v>
      </c>
      <c r="AM729" s="2"/>
      <c r="AN729" s="2"/>
      <c r="AO729" s="2"/>
    </row>
    <row r="730" spans="1:41" x14ac:dyDescent="0.2">
      <c r="A730" s="2" t="s">
        <v>1452</v>
      </c>
      <c r="B730" s="2" t="s">
        <v>1450</v>
      </c>
      <c r="C730" s="2" t="s">
        <v>48</v>
      </c>
      <c r="D730" s="2"/>
      <c r="E730" s="7" t="s">
        <v>40</v>
      </c>
      <c r="F730" s="2" t="s">
        <v>41</v>
      </c>
      <c r="G730" s="2" t="s">
        <v>1451</v>
      </c>
      <c r="H730" s="2">
        <v>10</v>
      </c>
      <c r="I730" s="2"/>
      <c r="J730" s="2">
        <v>5.5</v>
      </c>
      <c r="K730" s="2"/>
      <c r="L730" s="2">
        <v>4.4000000000000004</v>
      </c>
      <c r="M730" s="2">
        <v>2.2000000000000002</v>
      </c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9">
        <f t="shared" si="48"/>
        <v>0</v>
      </c>
      <c r="AB730" s="9">
        <f t="shared" si="49"/>
        <v>0.55000000000000004</v>
      </c>
      <c r="AC730" s="10">
        <f t="shared" si="50"/>
        <v>0</v>
      </c>
      <c r="AD730" s="10">
        <f t="shared" si="51"/>
        <v>22</v>
      </c>
      <c r="AE730" s="9">
        <f t="shared" si="52"/>
        <v>0.44</v>
      </c>
      <c r="AF730" s="9">
        <f t="shared" si="53"/>
        <v>0.99</v>
      </c>
      <c r="AG730" s="9">
        <f t="shared" si="54"/>
        <v>9.9</v>
      </c>
      <c r="AH730" s="11">
        <f t="shared" si="68"/>
        <v>0</v>
      </c>
      <c r="AI730" s="11">
        <f t="shared" si="68"/>
        <v>55</v>
      </c>
      <c r="AJ730" s="11">
        <f t="shared" si="68"/>
        <v>0</v>
      </c>
      <c r="AK730" s="11">
        <f t="shared" si="68"/>
        <v>44</v>
      </c>
      <c r="AL730" s="11">
        <f t="shared" si="68"/>
        <v>22</v>
      </c>
      <c r="AM730" s="2"/>
      <c r="AN730" s="2"/>
      <c r="AO730" s="2"/>
    </row>
    <row r="731" spans="1:41" x14ac:dyDescent="0.2">
      <c r="A731" s="2" t="s">
        <v>1453</v>
      </c>
      <c r="B731" s="2" t="s">
        <v>1450</v>
      </c>
      <c r="C731" s="2" t="s">
        <v>48</v>
      </c>
      <c r="D731" s="2"/>
      <c r="E731" s="7" t="s">
        <v>40</v>
      </c>
      <c r="F731" s="2" t="s">
        <v>41</v>
      </c>
      <c r="G731" s="2" t="s">
        <v>1451</v>
      </c>
      <c r="H731" s="2">
        <v>1.3</v>
      </c>
      <c r="I731" s="2">
        <v>0.67</v>
      </c>
      <c r="J731" s="2">
        <v>4.66</v>
      </c>
      <c r="K731" s="2"/>
      <c r="L731" s="2">
        <v>2.63</v>
      </c>
      <c r="M731" s="2">
        <v>1.5</v>
      </c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9">
        <f t="shared" si="48"/>
        <v>8.7100000000000007E-3</v>
      </c>
      <c r="AB731" s="9">
        <f t="shared" si="49"/>
        <v>6.0580000000000009E-2</v>
      </c>
      <c r="AC731" s="10">
        <f t="shared" si="50"/>
        <v>0</v>
      </c>
      <c r="AD731" s="10">
        <f t="shared" si="51"/>
        <v>1.9500000000000002</v>
      </c>
      <c r="AE731" s="9">
        <f t="shared" si="52"/>
        <v>3.4189999999999998E-2</v>
      </c>
      <c r="AF731" s="9">
        <f t="shared" si="53"/>
        <v>0.10348</v>
      </c>
      <c r="AG731" s="9">
        <f t="shared" si="54"/>
        <v>7.96</v>
      </c>
      <c r="AH731" s="11">
        <f t="shared" si="68"/>
        <v>0.87100000000000011</v>
      </c>
      <c r="AI731" s="11">
        <f t="shared" si="68"/>
        <v>6.0580000000000007</v>
      </c>
      <c r="AJ731" s="11">
        <f t="shared" si="68"/>
        <v>0</v>
      </c>
      <c r="AK731" s="11">
        <f t="shared" si="68"/>
        <v>3.419</v>
      </c>
      <c r="AL731" s="11">
        <f t="shared" si="68"/>
        <v>1.9500000000000002</v>
      </c>
      <c r="AM731" s="2"/>
      <c r="AN731" s="2"/>
      <c r="AO731" s="2"/>
    </row>
    <row r="732" spans="1:41" x14ac:dyDescent="0.2">
      <c r="A732" s="2" t="s">
        <v>1454</v>
      </c>
      <c r="B732" s="2" t="s">
        <v>1450</v>
      </c>
      <c r="C732" s="2" t="s">
        <v>48</v>
      </c>
      <c r="D732" s="2"/>
      <c r="E732" s="7" t="s">
        <v>40</v>
      </c>
      <c r="F732" s="2" t="s">
        <v>41</v>
      </c>
      <c r="G732" s="2" t="s">
        <v>1451</v>
      </c>
      <c r="H732" s="2">
        <v>3.5</v>
      </c>
      <c r="I732" s="2"/>
      <c r="J732" s="2">
        <v>5.0999999999999996</v>
      </c>
      <c r="K732" s="2"/>
      <c r="L732" s="2">
        <v>3</v>
      </c>
      <c r="M732" s="2">
        <v>4.5</v>
      </c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9">
        <f t="shared" si="48"/>
        <v>0</v>
      </c>
      <c r="AB732" s="9">
        <f t="shared" si="49"/>
        <v>0.17849999999999999</v>
      </c>
      <c r="AC732" s="10">
        <f t="shared" si="50"/>
        <v>0</v>
      </c>
      <c r="AD732" s="10">
        <f t="shared" si="51"/>
        <v>15.75</v>
      </c>
      <c r="AE732" s="9">
        <f t="shared" si="52"/>
        <v>0.105</v>
      </c>
      <c r="AF732" s="9">
        <f t="shared" si="53"/>
        <v>0.28349999999999997</v>
      </c>
      <c r="AG732" s="9">
        <f t="shared" si="54"/>
        <v>8.1</v>
      </c>
      <c r="AH732" s="11">
        <f t="shared" si="68"/>
        <v>0</v>
      </c>
      <c r="AI732" s="11">
        <f t="shared" si="68"/>
        <v>17.849999999999998</v>
      </c>
      <c r="AJ732" s="11">
        <f t="shared" si="68"/>
        <v>0</v>
      </c>
      <c r="AK732" s="11">
        <f t="shared" si="68"/>
        <v>10.5</v>
      </c>
      <c r="AL732" s="11">
        <f t="shared" si="68"/>
        <v>15.75</v>
      </c>
      <c r="AM732" s="2"/>
      <c r="AN732" s="2"/>
      <c r="AO732" s="2"/>
    </row>
    <row r="733" spans="1:41" x14ac:dyDescent="0.2">
      <c r="A733" s="2" t="s">
        <v>1455</v>
      </c>
      <c r="B733" s="2" t="s">
        <v>1450</v>
      </c>
      <c r="C733" s="2" t="s">
        <v>336</v>
      </c>
      <c r="D733" s="2"/>
      <c r="E733" s="2" t="s">
        <v>50</v>
      </c>
      <c r="F733" s="2" t="s">
        <v>1456</v>
      </c>
      <c r="G733" s="2" t="s">
        <v>1457</v>
      </c>
      <c r="H733" s="2">
        <f>21.931+5.102</f>
        <v>27.033000000000001</v>
      </c>
      <c r="I733" s="9">
        <f>(((1.5*21.931+1.06*5.102)/(21.931+5.102))/1.87)*0.6</f>
        <v>0.45463886384852259</v>
      </c>
      <c r="J733" s="9">
        <f>(((1.5*21.931+1.06*5.102)/(21.931+5.102))/1.87)*0.9</f>
        <v>0.68195829577278388</v>
      </c>
      <c r="K733" s="13">
        <f>(((1.5*21.931+1.06*5.102)/(21.931+5.102))/1.87)*11.7</f>
        <v>8.8654578450461905</v>
      </c>
      <c r="L733" s="2"/>
      <c r="M733" s="9">
        <f>(((1.5*21.931+1.06*5.102)/(21.931+5.102))/1.87)*2.3</f>
        <v>1.7427823114193364</v>
      </c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9">
        <f t="shared" si="48"/>
        <v>0.12290252406417113</v>
      </c>
      <c r="AB733" s="9">
        <f t="shared" si="49"/>
        <v>0.18435378609625669</v>
      </c>
      <c r="AC733" s="10">
        <f t="shared" si="50"/>
        <v>239.65992192513369</v>
      </c>
      <c r="AD733" s="10">
        <f t="shared" si="51"/>
        <v>47.112634224598921</v>
      </c>
      <c r="AE733" s="9">
        <f t="shared" si="52"/>
        <v>0</v>
      </c>
      <c r="AF733" s="9">
        <f t="shared" si="53"/>
        <v>0.30725631016042781</v>
      </c>
      <c r="AG733" s="9">
        <f t="shared" si="54"/>
        <v>1.1365971596213065</v>
      </c>
      <c r="AH733" s="11">
        <f t="shared" si="68"/>
        <v>12.290252406417112</v>
      </c>
      <c r="AI733" s="11">
        <f t="shared" si="68"/>
        <v>18.435378609625669</v>
      </c>
      <c r="AJ733" s="11">
        <f t="shared" si="68"/>
        <v>239.65992192513369</v>
      </c>
      <c r="AK733" s="11">
        <f t="shared" si="68"/>
        <v>0</v>
      </c>
      <c r="AL733" s="11">
        <f t="shared" si="68"/>
        <v>47.112634224598921</v>
      </c>
      <c r="AM733" s="2"/>
      <c r="AN733" s="2"/>
      <c r="AO733" s="2"/>
    </row>
    <row r="734" spans="1:41" x14ac:dyDescent="0.2">
      <c r="A734" s="2" t="s">
        <v>1458</v>
      </c>
      <c r="B734" s="2" t="s">
        <v>1450</v>
      </c>
      <c r="C734" s="2" t="s">
        <v>48</v>
      </c>
      <c r="D734" s="2"/>
      <c r="E734" s="7" t="s">
        <v>40</v>
      </c>
      <c r="F734" s="2" t="s">
        <v>41</v>
      </c>
      <c r="G734" s="2" t="s">
        <v>1451</v>
      </c>
      <c r="H734" s="2">
        <v>10</v>
      </c>
      <c r="I734" s="2"/>
      <c r="J734" s="2">
        <v>5</v>
      </c>
      <c r="K734" s="2"/>
      <c r="L734" s="2">
        <v>3</v>
      </c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9">
        <f t="shared" si="48"/>
        <v>0</v>
      </c>
      <c r="AB734" s="9">
        <f t="shared" si="49"/>
        <v>0.5</v>
      </c>
      <c r="AC734" s="10">
        <f t="shared" si="50"/>
        <v>0</v>
      </c>
      <c r="AD734" s="10">
        <f t="shared" si="51"/>
        <v>0</v>
      </c>
      <c r="AE734" s="9">
        <f t="shared" si="52"/>
        <v>0.3</v>
      </c>
      <c r="AF734" s="9">
        <f t="shared" si="53"/>
        <v>0.8</v>
      </c>
      <c r="AG734" s="9">
        <f t="shared" si="54"/>
        <v>8</v>
      </c>
      <c r="AH734" s="11">
        <f t="shared" si="68"/>
        <v>0</v>
      </c>
      <c r="AI734" s="11">
        <f t="shared" si="68"/>
        <v>50</v>
      </c>
      <c r="AJ734" s="11">
        <f t="shared" si="68"/>
        <v>0</v>
      </c>
      <c r="AK734" s="11">
        <f t="shared" si="68"/>
        <v>30</v>
      </c>
      <c r="AL734" s="11">
        <f t="shared" si="68"/>
        <v>0</v>
      </c>
      <c r="AM734" s="2"/>
      <c r="AN734" s="2"/>
      <c r="AO734" s="2"/>
    </row>
    <row r="735" spans="1:41" x14ac:dyDescent="0.2">
      <c r="A735" s="2" t="s">
        <v>1459</v>
      </c>
      <c r="B735" s="2" t="s">
        <v>1450</v>
      </c>
      <c r="C735" s="2" t="s">
        <v>48</v>
      </c>
      <c r="D735" s="2"/>
      <c r="E735" s="7" t="s">
        <v>40</v>
      </c>
      <c r="F735" s="2" t="s">
        <v>41</v>
      </c>
      <c r="G735" s="2" t="s">
        <v>1451</v>
      </c>
      <c r="H735" s="2">
        <v>30</v>
      </c>
      <c r="I735" s="2">
        <v>0.1</v>
      </c>
      <c r="J735" s="2">
        <v>1.2</v>
      </c>
      <c r="K735" s="2"/>
      <c r="L735" s="2">
        <v>1.9</v>
      </c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9">
        <f t="shared" si="48"/>
        <v>0.03</v>
      </c>
      <c r="AB735" s="9">
        <f t="shared" si="49"/>
        <v>0.36</v>
      </c>
      <c r="AC735" s="10">
        <f t="shared" si="50"/>
        <v>0</v>
      </c>
      <c r="AD735" s="10">
        <f t="shared" si="51"/>
        <v>0</v>
      </c>
      <c r="AE735" s="9">
        <f t="shared" si="52"/>
        <v>0.56999999999999995</v>
      </c>
      <c r="AF735" s="9">
        <f t="shared" si="53"/>
        <v>0.96</v>
      </c>
      <c r="AG735" s="9">
        <f t="shared" si="54"/>
        <v>3.2</v>
      </c>
      <c r="AH735" s="11">
        <f t="shared" si="68"/>
        <v>3</v>
      </c>
      <c r="AI735" s="11">
        <f t="shared" si="68"/>
        <v>36</v>
      </c>
      <c r="AJ735" s="11">
        <f t="shared" si="68"/>
        <v>0</v>
      </c>
      <c r="AK735" s="11">
        <f t="shared" si="68"/>
        <v>57</v>
      </c>
      <c r="AL735" s="11">
        <f t="shared" si="68"/>
        <v>0</v>
      </c>
      <c r="AM735" s="2"/>
      <c r="AN735" s="2"/>
      <c r="AO735" s="2"/>
    </row>
    <row r="736" spans="1:41" x14ac:dyDescent="0.2">
      <c r="A736" s="2" t="s">
        <v>1460</v>
      </c>
      <c r="B736" s="2" t="s">
        <v>1450</v>
      </c>
      <c r="C736" s="2" t="s">
        <v>48</v>
      </c>
      <c r="D736" s="2"/>
      <c r="E736" s="7" t="s">
        <v>40</v>
      </c>
      <c r="F736" s="2" t="s">
        <v>41</v>
      </c>
      <c r="G736" s="2" t="s">
        <v>1451</v>
      </c>
      <c r="H736" s="2">
        <v>130</v>
      </c>
      <c r="I736" s="2">
        <v>0.1</v>
      </c>
      <c r="J736" s="2">
        <v>1.5</v>
      </c>
      <c r="K736" s="2"/>
      <c r="L736" s="2">
        <v>1</v>
      </c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>
        <v>7.0000000000000007E-2</v>
      </c>
      <c r="X736" s="2"/>
      <c r="Y736" s="2"/>
      <c r="Z736" s="2"/>
      <c r="AA736" s="9">
        <f t="shared" si="48"/>
        <v>0.13</v>
      </c>
      <c r="AB736" s="9">
        <f t="shared" si="49"/>
        <v>1.95</v>
      </c>
      <c r="AC736" s="10">
        <f t="shared" si="50"/>
        <v>0</v>
      </c>
      <c r="AD736" s="10">
        <f t="shared" si="51"/>
        <v>0</v>
      </c>
      <c r="AE736" s="9">
        <f t="shared" si="52"/>
        <v>1.3</v>
      </c>
      <c r="AF736" s="9">
        <f t="shared" si="53"/>
        <v>3.38</v>
      </c>
      <c r="AG736" s="9">
        <f t="shared" si="54"/>
        <v>2.6</v>
      </c>
      <c r="AH736" s="11">
        <f t="shared" si="68"/>
        <v>13</v>
      </c>
      <c r="AI736" s="11">
        <f t="shared" si="68"/>
        <v>195</v>
      </c>
      <c r="AJ736" s="11">
        <f t="shared" si="68"/>
        <v>0</v>
      </c>
      <c r="AK736" s="11">
        <f t="shared" si="68"/>
        <v>130</v>
      </c>
      <c r="AL736" s="11">
        <f t="shared" si="68"/>
        <v>0</v>
      </c>
      <c r="AM736" s="2"/>
      <c r="AN736" s="2"/>
      <c r="AO736" s="2"/>
    </row>
    <row r="737" spans="1:41" x14ac:dyDescent="0.2">
      <c r="A737" s="2" t="s">
        <v>1461</v>
      </c>
      <c r="B737" s="2" t="s">
        <v>1450</v>
      </c>
      <c r="C737" s="2" t="s">
        <v>48</v>
      </c>
      <c r="D737" s="2"/>
      <c r="E737" s="7" t="s">
        <v>40</v>
      </c>
      <c r="F737" s="2" t="s">
        <v>41</v>
      </c>
      <c r="G737" s="2" t="s">
        <v>1451</v>
      </c>
      <c r="H737" s="2">
        <v>380</v>
      </c>
      <c r="I737" s="2">
        <v>0.06</v>
      </c>
      <c r="J737" s="2">
        <v>0.74</v>
      </c>
      <c r="K737" s="2">
        <v>6.3</v>
      </c>
      <c r="L737" s="2">
        <v>1.57</v>
      </c>
      <c r="M737" s="2">
        <v>0.9</v>
      </c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9">
        <f t="shared" si="48"/>
        <v>0.22800000000000001</v>
      </c>
      <c r="AB737" s="9">
        <f t="shared" si="49"/>
        <v>2.8119999999999998</v>
      </c>
      <c r="AC737" s="10">
        <f t="shared" si="50"/>
        <v>2394</v>
      </c>
      <c r="AD737" s="10">
        <f t="shared" si="51"/>
        <v>342</v>
      </c>
      <c r="AE737" s="9">
        <f t="shared" si="52"/>
        <v>5.9660000000000002</v>
      </c>
      <c r="AF737" s="9">
        <f t="shared" si="53"/>
        <v>9.0060000000000002</v>
      </c>
      <c r="AG737" s="9">
        <f t="shared" si="54"/>
        <v>2.37</v>
      </c>
      <c r="AH737" s="11">
        <f t="shared" si="68"/>
        <v>22.8</v>
      </c>
      <c r="AI737" s="11">
        <f t="shared" si="68"/>
        <v>281.2</v>
      </c>
      <c r="AJ737" s="11">
        <f t="shared" si="68"/>
        <v>2394</v>
      </c>
      <c r="AK737" s="11">
        <f t="shared" si="68"/>
        <v>596.6</v>
      </c>
      <c r="AL737" s="11">
        <f t="shared" si="68"/>
        <v>342</v>
      </c>
      <c r="AM737" s="2"/>
      <c r="AN737" s="2"/>
      <c r="AO737" s="2"/>
    </row>
    <row r="738" spans="1:41" x14ac:dyDescent="0.2">
      <c r="A738" s="2" t="s">
        <v>1462</v>
      </c>
      <c r="B738" s="2" t="s">
        <v>1450</v>
      </c>
      <c r="C738" s="2" t="s">
        <v>54</v>
      </c>
      <c r="D738" s="2"/>
      <c r="E738" s="2" t="s">
        <v>50</v>
      </c>
      <c r="F738" s="2" t="s">
        <v>1463</v>
      </c>
      <c r="G738" s="2" t="s">
        <v>101</v>
      </c>
      <c r="H738" s="2">
        <f>0.16+0.12+0.47</f>
        <v>0.75</v>
      </c>
      <c r="I738" s="13">
        <f>(3.9*0.263+2.8*0.408+2.3*1.614)/(0.263+0.408+1.614)</f>
        <v>2.5734354485776803</v>
      </c>
      <c r="J738" s="2"/>
      <c r="K738" s="14">
        <f>(773*0.263+617*0.408+622*1.614)/(0.263+0.408+1.614)</f>
        <v>638.48708971553606</v>
      </c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9">
        <f t="shared" si="48"/>
        <v>1.9300765864332603E-2</v>
      </c>
      <c r="AB738" s="9">
        <f t="shared" si="49"/>
        <v>0</v>
      </c>
      <c r="AC738" s="10">
        <f t="shared" si="50"/>
        <v>478.86531728665204</v>
      </c>
      <c r="AD738" s="10">
        <f t="shared" si="51"/>
        <v>0</v>
      </c>
      <c r="AE738" s="9">
        <f t="shared" si="52"/>
        <v>0</v>
      </c>
      <c r="AF738" s="9">
        <f t="shared" si="53"/>
        <v>1.9300765864332603E-2</v>
      </c>
      <c r="AG738" s="9">
        <f t="shared" si="54"/>
        <v>2.5734354485776803</v>
      </c>
      <c r="AH738" s="11">
        <f t="shared" ref="AH738:AL753" si="69">$H738*I738</f>
        <v>1.9300765864332603</v>
      </c>
      <c r="AI738" s="11">
        <f t="shared" si="69"/>
        <v>0</v>
      </c>
      <c r="AJ738" s="11">
        <f t="shared" si="69"/>
        <v>478.86531728665204</v>
      </c>
      <c r="AK738" s="11">
        <f t="shared" si="69"/>
        <v>0</v>
      </c>
      <c r="AL738" s="11">
        <f t="shared" si="69"/>
        <v>0</v>
      </c>
      <c r="AM738" s="2"/>
      <c r="AN738" s="2"/>
      <c r="AO738" s="2"/>
    </row>
    <row r="739" spans="1:41" x14ac:dyDescent="0.2">
      <c r="A739" s="2" t="s">
        <v>1464</v>
      </c>
      <c r="B739" s="2" t="s">
        <v>1450</v>
      </c>
      <c r="C739" s="2" t="s">
        <v>38</v>
      </c>
      <c r="D739" s="2" t="s">
        <v>62</v>
      </c>
      <c r="E739" s="7" t="s">
        <v>40</v>
      </c>
      <c r="F739" s="2" t="s">
        <v>41</v>
      </c>
      <c r="G739" s="2" t="s">
        <v>1465</v>
      </c>
      <c r="H739" s="2">
        <v>300</v>
      </c>
      <c r="I739" s="13">
        <v>6.5</v>
      </c>
      <c r="J739" s="2">
        <v>1.4</v>
      </c>
      <c r="K739" s="14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9">
        <f t="shared" si="48"/>
        <v>19.5</v>
      </c>
      <c r="AB739" s="9">
        <f t="shared" si="49"/>
        <v>4.2</v>
      </c>
      <c r="AC739" s="10">
        <f t="shared" si="50"/>
        <v>0</v>
      </c>
      <c r="AD739" s="10">
        <f t="shared" si="51"/>
        <v>0</v>
      </c>
      <c r="AE739" s="9">
        <f t="shared" si="52"/>
        <v>0</v>
      </c>
      <c r="AF739" s="9">
        <f t="shared" si="53"/>
        <v>23.7</v>
      </c>
      <c r="AG739" s="9">
        <f t="shared" si="54"/>
        <v>7.9</v>
      </c>
      <c r="AH739" s="11">
        <f t="shared" si="69"/>
        <v>1950</v>
      </c>
      <c r="AI739" s="11">
        <f t="shared" si="69"/>
        <v>420</v>
      </c>
      <c r="AJ739" s="11">
        <f t="shared" si="69"/>
        <v>0</v>
      </c>
      <c r="AK739" s="11">
        <f t="shared" si="69"/>
        <v>0</v>
      </c>
      <c r="AL739" s="11">
        <f t="shared" si="69"/>
        <v>0</v>
      </c>
      <c r="AM739" s="2"/>
      <c r="AN739" s="2"/>
      <c r="AO739" s="2"/>
    </row>
    <row r="740" spans="1:41" x14ac:dyDescent="0.2">
      <c r="A740" s="2" t="s">
        <v>1466</v>
      </c>
      <c r="B740" s="2" t="s">
        <v>1450</v>
      </c>
      <c r="C740" s="2" t="s">
        <v>157</v>
      </c>
      <c r="D740" s="2"/>
      <c r="E740" s="7" t="s">
        <v>40</v>
      </c>
      <c r="F740" s="2" t="s">
        <v>41</v>
      </c>
      <c r="G740" s="2" t="s">
        <v>1451</v>
      </c>
      <c r="H740" s="2">
        <v>160</v>
      </c>
      <c r="I740" s="2"/>
      <c r="J740" s="2">
        <v>0.08</v>
      </c>
      <c r="K740" s="2"/>
      <c r="L740" s="2">
        <v>0.13</v>
      </c>
      <c r="M740" s="2"/>
      <c r="N740" s="2"/>
      <c r="O740" s="2"/>
      <c r="P740" s="2">
        <v>2.1999999999999999E-2</v>
      </c>
      <c r="Q740" s="2"/>
      <c r="R740" s="2"/>
      <c r="S740" s="2"/>
      <c r="T740" s="2">
        <v>35.5</v>
      </c>
      <c r="U740" s="2"/>
      <c r="V740" s="2"/>
      <c r="W740" s="2"/>
      <c r="X740" s="9">
        <f>0.68*(2*50.9415/(2*50.9415+5*16))</f>
        <v>0.38090662678755033</v>
      </c>
      <c r="Y740" s="2">
        <v>0.6</v>
      </c>
      <c r="Z740" s="2" t="s">
        <v>1467</v>
      </c>
      <c r="AA740" s="9">
        <f t="shared" si="48"/>
        <v>0</v>
      </c>
      <c r="AB740" s="9">
        <f t="shared" si="49"/>
        <v>0.128</v>
      </c>
      <c r="AC740" s="10">
        <f t="shared" si="50"/>
        <v>0</v>
      </c>
      <c r="AD740" s="10">
        <f t="shared" si="51"/>
        <v>0</v>
      </c>
      <c r="AE740" s="9">
        <f t="shared" si="52"/>
        <v>0.20800000000000002</v>
      </c>
      <c r="AF740" s="9">
        <f t="shared" si="53"/>
        <v>0.33600000000000002</v>
      </c>
      <c r="AG740" s="9">
        <f t="shared" si="54"/>
        <v>0.21000000000000002</v>
      </c>
      <c r="AH740" s="11">
        <f t="shared" si="69"/>
        <v>0</v>
      </c>
      <c r="AI740" s="11">
        <f t="shared" si="69"/>
        <v>12.8</v>
      </c>
      <c r="AJ740" s="11">
        <f t="shared" si="69"/>
        <v>0</v>
      </c>
      <c r="AK740" s="11">
        <f t="shared" si="69"/>
        <v>20.8</v>
      </c>
      <c r="AL740" s="11">
        <f t="shared" si="69"/>
        <v>0</v>
      </c>
      <c r="AM740" s="2"/>
      <c r="AN740" s="2"/>
      <c r="AO740" s="2"/>
    </row>
    <row r="741" spans="1:41" x14ac:dyDescent="0.2">
      <c r="A741" s="2" t="s">
        <v>1468</v>
      </c>
      <c r="B741" s="2" t="s">
        <v>1450</v>
      </c>
      <c r="C741" s="2" t="s">
        <v>48</v>
      </c>
      <c r="D741" s="2"/>
      <c r="E741" s="7" t="s">
        <v>40</v>
      </c>
      <c r="F741" s="2" t="s">
        <v>41</v>
      </c>
      <c r="G741" s="2" t="s">
        <v>1451</v>
      </c>
      <c r="H741" s="2">
        <v>1</v>
      </c>
      <c r="I741" s="2"/>
      <c r="J741" s="2">
        <v>0.2</v>
      </c>
      <c r="K741" s="2">
        <v>5.0999999999999996</v>
      </c>
      <c r="L741" s="2">
        <v>6.4</v>
      </c>
      <c r="M741" s="2">
        <v>1.4</v>
      </c>
      <c r="N741" s="2"/>
      <c r="O741" s="2">
        <v>0.3</v>
      </c>
      <c r="P741" s="2">
        <v>0.2</v>
      </c>
      <c r="Q741" s="2"/>
      <c r="R741" s="2"/>
      <c r="S741" s="2"/>
      <c r="T741" s="2"/>
      <c r="U741" s="2"/>
      <c r="V741" s="2"/>
      <c r="W741" s="2">
        <v>0.2</v>
      </c>
      <c r="X741" s="2"/>
      <c r="Y741" s="2">
        <v>1</v>
      </c>
      <c r="Z741" s="2" t="s">
        <v>1469</v>
      </c>
      <c r="AA741" s="9">
        <f t="shared" si="48"/>
        <v>0</v>
      </c>
      <c r="AB741" s="9">
        <f t="shared" si="49"/>
        <v>2E-3</v>
      </c>
      <c r="AC741" s="10">
        <f t="shared" si="50"/>
        <v>5.0999999999999996</v>
      </c>
      <c r="AD741" s="10">
        <f t="shared" si="51"/>
        <v>1.4</v>
      </c>
      <c r="AE741" s="9">
        <f t="shared" si="52"/>
        <v>6.4000000000000001E-2</v>
      </c>
      <c r="AF741" s="9">
        <f t="shared" si="53"/>
        <v>6.6000000000000003E-2</v>
      </c>
      <c r="AG741" s="9">
        <f t="shared" si="54"/>
        <v>6.6000000000000005</v>
      </c>
      <c r="AH741" s="11">
        <f t="shared" si="69"/>
        <v>0</v>
      </c>
      <c r="AI741" s="11">
        <f t="shared" si="69"/>
        <v>0.2</v>
      </c>
      <c r="AJ741" s="11">
        <f t="shared" si="69"/>
        <v>5.0999999999999996</v>
      </c>
      <c r="AK741" s="11">
        <f t="shared" si="69"/>
        <v>6.4</v>
      </c>
      <c r="AL741" s="11">
        <f t="shared" si="69"/>
        <v>1.4</v>
      </c>
      <c r="AM741" s="2"/>
      <c r="AN741" s="2"/>
      <c r="AO741" s="2"/>
    </row>
    <row r="742" spans="1:41" x14ac:dyDescent="0.2">
      <c r="A742" s="2" t="s">
        <v>1470</v>
      </c>
      <c r="B742" s="2" t="s">
        <v>1450</v>
      </c>
      <c r="C742" s="2" t="s">
        <v>38</v>
      </c>
      <c r="D742" s="2" t="s">
        <v>62</v>
      </c>
      <c r="E742" s="7" t="s">
        <v>40</v>
      </c>
      <c r="F742" s="2" t="s">
        <v>1471</v>
      </c>
      <c r="G742" s="2" t="s">
        <v>1472</v>
      </c>
      <c r="H742" s="14">
        <f>334+185</f>
        <v>519</v>
      </c>
      <c r="I742" s="9">
        <f>100*(2.01+1.35)/$H742</f>
        <v>0.64739884393063585</v>
      </c>
      <c r="J742" s="9">
        <f>100*(13.34+7.86)/$H742</f>
        <v>4.0847784200385355</v>
      </c>
      <c r="K742" s="2">
        <v>28</v>
      </c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 t="s">
        <v>1473</v>
      </c>
      <c r="AA742" s="9">
        <f t="shared" si="48"/>
        <v>3.36</v>
      </c>
      <c r="AB742" s="9">
        <f t="shared" si="49"/>
        <v>21.2</v>
      </c>
      <c r="AC742" s="10">
        <f t="shared" si="50"/>
        <v>14532</v>
      </c>
      <c r="AD742" s="10">
        <f t="shared" si="51"/>
        <v>0</v>
      </c>
      <c r="AE742" s="9">
        <f t="shared" si="52"/>
        <v>0</v>
      </c>
      <c r="AF742" s="9">
        <f t="shared" si="53"/>
        <v>24.56</v>
      </c>
      <c r="AG742" s="9">
        <f t="shared" si="54"/>
        <v>4.732177263969171</v>
      </c>
      <c r="AH742" s="11">
        <f t="shared" si="69"/>
        <v>336</v>
      </c>
      <c r="AI742" s="11">
        <f t="shared" si="69"/>
        <v>2120</v>
      </c>
      <c r="AJ742" s="11">
        <f t="shared" si="69"/>
        <v>14532</v>
      </c>
      <c r="AK742" s="11">
        <f t="shared" si="69"/>
        <v>0</v>
      </c>
      <c r="AL742" s="11">
        <f t="shared" si="69"/>
        <v>0</v>
      </c>
      <c r="AM742" s="2"/>
      <c r="AN742" s="2"/>
      <c r="AO742" s="2"/>
    </row>
    <row r="743" spans="1:41" x14ac:dyDescent="0.2">
      <c r="A743" s="2" t="s">
        <v>1474</v>
      </c>
      <c r="B743" s="2" t="s">
        <v>1450</v>
      </c>
      <c r="C743" s="2" t="s">
        <v>336</v>
      </c>
      <c r="D743" s="2"/>
      <c r="E743" s="7" t="s">
        <v>40</v>
      </c>
      <c r="F743" s="2" t="s">
        <v>1475</v>
      </c>
      <c r="G743" s="2" t="s">
        <v>862</v>
      </c>
      <c r="H743" s="13">
        <v>31</v>
      </c>
      <c r="I743" s="2"/>
      <c r="J743" s="2">
        <v>0.9</v>
      </c>
      <c r="K743" s="2">
        <v>11</v>
      </c>
      <c r="L743" s="2">
        <v>1.6</v>
      </c>
      <c r="M743" s="2">
        <v>0.8</v>
      </c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12"/>
      <c r="Z743" s="2"/>
      <c r="AA743" s="9">
        <f t="shared" si="48"/>
        <v>0</v>
      </c>
      <c r="AB743" s="9">
        <f t="shared" si="49"/>
        <v>0.27900000000000003</v>
      </c>
      <c r="AC743" s="10">
        <f t="shared" si="50"/>
        <v>341</v>
      </c>
      <c r="AD743" s="10">
        <f t="shared" si="51"/>
        <v>24.8</v>
      </c>
      <c r="AE743" s="9">
        <f t="shared" si="52"/>
        <v>0.496</v>
      </c>
      <c r="AF743" s="9">
        <f t="shared" si="53"/>
        <v>0.77500000000000002</v>
      </c>
      <c r="AG743" s="9">
        <f t="shared" si="54"/>
        <v>2.5</v>
      </c>
      <c r="AH743" s="11">
        <f t="shared" si="69"/>
        <v>0</v>
      </c>
      <c r="AI743" s="11">
        <f t="shared" si="69"/>
        <v>27.900000000000002</v>
      </c>
      <c r="AJ743" s="11">
        <f t="shared" si="69"/>
        <v>341</v>
      </c>
      <c r="AK743" s="11">
        <f t="shared" si="69"/>
        <v>49.6</v>
      </c>
      <c r="AL743" s="11">
        <f t="shared" si="69"/>
        <v>24.8</v>
      </c>
      <c r="AM743" s="2"/>
      <c r="AN743" s="2"/>
      <c r="AO743" s="2"/>
    </row>
    <row r="744" spans="1:41" x14ac:dyDescent="0.2">
      <c r="A744" s="2" t="s">
        <v>1476</v>
      </c>
      <c r="B744" s="2" t="s">
        <v>1450</v>
      </c>
      <c r="C744" s="2" t="s">
        <v>48</v>
      </c>
      <c r="D744" s="2"/>
      <c r="E744" s="7" t="s">
        <v>40</v>
      </c>
      <c r="F744" s="2" t="s">
        <v>41</v>
      </c>
      <c r="G744" s="2" t="s">
        <v>1451</v>
      </c>
      <c r="H744" s="2">
        <v>0.5</v>
      </c>
      <c r="I744" s="2"/>
      <c r="J744" s="2">
        <v>0.85</v>
      </c>
      <c r="K744" s="2">
        <v>14.8</v>
      </c>
      <c r="L744" s="2">
        <v>2.1</v>
      </c>
      <c r="M744" s="2">
        <v>1.6</v>
      </c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9">
        <f t="shared" si="48"/>
        <v>0</v>
      </c>
      <c r="AB744" s="9">
        <f t="shared" si="49"/>
        <v>4.2500000000000003E-3</v>
      </c>
      <c r="AC744" s="10">
        <f t="shared" si="50"/>
        <v>7.4</v>
      </c>
      <c r="AD744" s="10">
        <f t="shared" si="51"/>
        <v>0.8</v>
      </c>
      <c r="AE744" s="9">
        <f t="shared" si="52"/>
        <v>1.0500000000000001E-2</v>
      </c>
      <c r="AF744" s="9">
        <f t="shared" si="53"/>
        <v>1.4750000000000001E-2</v>
      </c>
      <c r="AG744" s="9">
        <f t="shared" si="54"/>
        <v>2.95</v>
      </c>
      <c r="AH744" s="11">
        <f t="shared" si="69"/>
        <v>0</v>
      </c>
      <c r="AI744" s="11">
        <f t="shared" si="69"/>
        <v>0.42499999999999999</v>
      </c>
      <c r="AJ744" s="11">
        <f t="shared" si="69"/>
        <v>7.4</v>
      </c>
      <c r="AK744" s="11">
        <f t="shared" si="69"/>
        <v>1.05</v>
      </c>
      <c r="AL744" s="11">
        <f t="shared" si="69"/>
        <v>0.8</v>
      </c>
      <c r="AM744" s="2"/>
      <c r="AN744" s="2"/>
      <c r="AO744" s="2"/>
    </row>
    <row r="745" spans="1:41" x14ac:dyDescent="0.2">
      <c r="A745" s="2" t="s">
        <v>1477</v>
      </c>
      <c r="B745" s="2" t="s">
        <v>1450</v>
      </c>
      <c r="C745" s="2" t="s">
        <v>48</v>
      </c>
      <c r="D745" s="2"/>
      <c r="E745" s="7" t="s">
        <v>40</v>
      </c>
      <c r="F745" s="2" t="s">
        <v>41</v>
      </c>
      <c r="G745" s="2" t="s">
        <v>1478</v>
      </c>
      <c r="H745" s="2">
        <v>24.5</v>
      </c>
      <c r="I745" s="2">
        <v>2.0099999999999998</v>
      </c>
      <c r="J745" s="2">
        <v>9.8000000000000007</v>
      </c>
      <c r="K745" s="13">
        <f>43.5*31.1/H745</f>
        <v>55.218367346938784</v>
      </c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9">
        <f t="shared" si="48"/>
        <v>0.49245</v>
      </c>
      <c r="AB745" s="9">
        <f t="shared" si="49"/>
        <v>2.4010000000000002</v>
      </c>
      <c r="AC745" s="10">
        <f t="shared" si="50"/>
        <v>1352.8500000000001</v>
      </c>
      <c r="AD745" s="10">
        <f t="shared" si="51"/>
        <v>0</v>
      </c>
      <c r="AE745" s="9">
        <f t="shared" si="52"/>
        <v>0</v>
      </c>
      <c r="AF745" s="9">
        <f t="shared" si="53"/>
        <v>2.8934500000000001</v>
      </c>
      <c r="AG745" s="9">
        <f t="shared" si="54"/>
        <v>11.81</v>
      </c>
      <c r="AH745" s="11">
        <f t="shared" si="69"/>
        <v>49.244999999999997</v>
      </c>
      <c r="AI745" s="11">
        <f t="shared" si="69"/>
        <v>240.10000000000002</v>
      </c>
      <c r="AJ745" s="11">
        <f t="shared" si="69"/>
        <v>1352.8500000000001</v>
      </c>
      <c r="AK745" s="11">
        <f t="shared" si="69"/>
        <v>0</v>
      </c>
      <c r="AL745" s="11">
        <f t="shared" si="69"/>
        <v>0</v>
      </c>
      <c r="AM745" s="2"/>
      <c r="AN745" s="2"/>
      <c r="AO745" s="2"/>
    </row>
    <row r="746" spans="1:41" x14ac:dyDescent="0.2">
      <c r="A746" s="2" t="s">
        <v>1479</v>
      </c>
      <c r="B746" s="2" t="s">
        <v>1450</v>
      </c>
      <c r="C746" s="2" t="s">
        <v>48</v>
      </c>
      <c r="D746" s="2"/>
      <c r="E746" s="7" t="s">
        <v>40</v>
      </c>
      <c r="F746" s="2" t="s">
        <v>41</v>
      </c>
      <c r="G746" s="2" t="s">
        <v>1451</v>
      </c>
      <c r="H746" s="2">
        <v>14.1</v>
      </c>
      <c r="I746" s="2"/>
      <c r="J746" s="2">
        <v>0.73</v>
      </c>
      <c r="K746" s="2"/>
      <c r="L746" s="2">
        <v>2.16</v>
      </c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9">
        <f t="shared" si="48"/>
        <v>0</v>
      </c>
      <c r="AB746" s="9">
        <f t="shared" si="49"/>
        <v>0.10292999999999999</v>
      </c>
      <c r="AC746" s="10">
        <f t="shared" si="50"/>
        <v>0</v>
      </c>
      <c r="AD746" s="10">
        <f t="shared" si="51"/>
        <v>0</v>
      </c>
      <c r="AE746" s="9">
        <f t="shared" si="52"/>
        <v>0.30456</v>
      </c>
      <c r="AF746" s="9">
        <f t="shared" si="53"/>
        <v>0.40749000000000002</v>
      </c>
      <c r="AG746" s="9">
        <f t="shared" si="54"/>
        <v>2.89</v>
      </c>
      <c r="AH746" s="11">
        <f t="shared" si="69"/>
        <v>0</v>
      </c>
      <c r="AI746" s="11">
        <f t="shared" si="69"/>
        <v>10.292999999999999</v>
      </c>
      <c r="AJ746" s="11">
        <f t="shared" si="69"/>
        <v>0</v>
      </c>
      <c r="AK746" s="11">
        <f t="shared" si="69"/>
        <v>30.456</v>
      </c>
      <c r="AL746" s="11">
        <f t="shared" si="69"/>
        <v>0</v>
      </c>
      <c r="AM746" s="2"/>
      <c r="AN746" s="2"/>
      <c r="AO746" s="2"/>
    </row>
    <row r="747" spans="1:41" x14ac:dyDescent="0.2">
      <c r="A747" s="2" t="s">
        <v>1480</v>
      </c>
      <c r="B747" s="2" t="s">
        <v>1450</v>
      </c>
      <c r="C747" s="2" t="s">
        <v>48</v>
      </c>
      <c r="D747" s="2"/>
      <c r="E747" s="7" t="s">
        <v>40</v>
      </c>
      <c r="F747" s="2" t="s">
        <v>41</v>
      </c>
      <c r="G747" s="2" t="s">
        <v>1451</v>
      </c>
      <c r="H747" s="2">
        <v>6</v>
      </c>
      <c r="I747" s="2">
        <v>0.6</v>
      </c>
      <c r="J747" s="2">
        <v>1.2</v>
      </c>
      <c r="K747" s="2">
        <v>13.7</v>
      </c>
      <c r="L747" s="2">
        <v>2.8</v>
      </c>
      <c r="M747" s="2"/>
      <c r="N747" s="2"/>
      <c r="O747" s="2"/>
      <c r="P747" s="2">
        <v>0.17</v>
      </c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9">
        <f t="shared" si="48"/>
        <v>3.5999999999999997E-2</v>
      </c>
      <c r="AB747" s="9">
        <f t="shared" si="49"/>
        <v>7.1999999999999995E-2</v>
      </c>
      <c r="AC747" s="10">
        <f t="shared" si="50"/>
        <v>82.199999999999989</v>
      </c>
      <c r="AD747" s="10">
        <f t="shared" si="51"/>
        <v>0</v>
      </c>
      <c r="AE747" s="9">
        <f t="shared" si="52"/>
        <v>0.16799999999999998</v>
      </c>
      <c r="AF747" s="9">
        <f t="shared" si="53"/>
        <v>0.27599999999999997</v>
      </c>
      <c r="AG747" s="9">
        <f t="shared" si="54"/>
        <v>4.5999999999999996</v>
      </c>
      <c r="AH747" s="11">
        <f t="shared" si="69"/>
        <v>3.5999999999999996</v>
      </c>
      <c r="AI747" s="11">
        <f t="shared" si="69"/>
        <v>7.1999999999999993</v>
      </c>
      <c r="AJ747" s="11">
        <f t="shared" si="69"/>
        <v>82.199999999999989</v>
      </c>
      <c r="AK747" s="11">
        <f t="shared" si="69"/>
        <v>16.799999999999997</v>
      </c>
      <c r="AL747" s="11">
        <f t="shared" si="69"/>
        <v>0</v>
      </c>
      <c r="AM747" s="2"/>
      <c r="AN747" s="2"/>
      <c r="AO747" s="2"/>
    </row>
    <row r="748" spans="1:41" x14ac:dyDescent="0.2">
      <c r="A748" s="2" t="s">
        <v>1481</v>
      </c>
      <c r="B748" s="2" t="s">
        <v>1450</v>
      </c>
      <c r="C748" s="2" t="s">
        <v>38</v>
      </c>
      <c r="D748" s="2"/>
      <c r="E748" s="7" t="s">
        <v>40</v>
      </c>
      <c r="F748" s="2" t="s">
        <v>41</v>
      </c>
      <c r="G748" s="8" t="s">
        <v>461</v>
      </c>
      <c r="H748" s="2">
        <v>80</v>
      </c>
      <c r="I748" s="2"/>
      <c r="J748" s="2">
        <v>1.9</v>
      </c>
      <c r="K748" s="2"/>
      <c r="L748" s="2">
        <v>0.7</v>
      </c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9">
        <f t="shared" si="48"/>
        <v>0</v>
      </c>
      <c r="AB748" s="9">
        <f t="shared" si="49"/>
        <v>1.52</v>
      </c>
      <c r="AC748" s="10">
        <f t="shared" si="50"/>
        <v>0</v>
      </c>
      <c r="AD748" s="10">
        <f t="shared" si="51"/>
        <v>0</v>
      </c>
      <c r="AE748" s="9">
        <f t="shared" si="52"/>
        <v>0.56000000000000005</v>
      </c>
      <c r="AF748" s="9">
        <f t="shared" si="53"/>
        <v>2.08</v>
      </c>
      <c r="AG748" s="9">
        <f t="shared" si="54"/>
        <v>2.5999999999999996</v>
      </c>
      <c r="AH748" s="11">
        <f t="shared" si="69"/>
        <v>0</v>
      </c>
      <c r="AI748" s="11">
        <f t="shared" si="69"/>
        <v>152</v>
      </c>
      <c r="AJ748" s="11">
        <f t="shared" si="69"/>
        <v>0</v>
      </c>
      <c r="AK748" s="11">
        <f t="shared" si="69"/>
        <v>56</v>
      </c>
      <c r="AL748" s="11">
        <f t="shared" si="69"/>
        <v>0</v>
      </c>
      <c r="AM748" s="2"/>
      <c r="AN748" s="2"/>
      <c r="AO748" s="2"/>
    </row>
    <row r="749" spans="1:41" x14ac:dyDescent="0.2">
      <c r="A749" s="2" t="s">
        <v>1482</v>
      </c>
      <c r="B749" s="2" t="s">
        <v>1450</v>
      </c>
      <c r="C749" s="2" t="s">
        <v>48</v>
      </c>
      <c r="D749" s="2"/>
      <c r="E749" s="7" t="s">
        <v>40</v>
      </c>
      <c r="F749" s="2" t="s">
        <v>41</v>
      </c>
      <c r="G749" s="2" t="s">
        <v>1451</v>
      </c>
      <c r="H749" s="2">
        <v>3</v>
      </c>
      <c r="I749" s="2"/>
      <c r="J749" s="2">
        <v>1.7</v>
      </c>
      <c r="K749" s="2"/>
      <c r="L749" s="2">
        <v>1.55</v>
      </c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9">
        <f t="shared" si="48"/>
        <v>0</v>
      </c>
      <c r="AB749" s="9">
        <f t="shared" si="49"/>
        <v>5.0999999999999997E-2</v>
      </c>
      <c r="AC749" s="10">
        <f t="shared" si="50"/>
        <v>0</v>
      </c>
      <c r="AD749" s="10">
        <f t="shared" si="51"/>
        <v>0</v>
      </c>
      <c r="AE749" s="9">
        <f t="shared" si="52"/>
        <v>4.6500000000000007E-2</v>
      </c>
      <c r="AF749" s="9">
        <f t="shared" si="53"/>
        <v>9.7500000000000003E-2</v>
      </c>
      <c r="AG749" s="9">
        <f t="shared" si="54"/>
        <v>3.25</v>
      </c>
      <c r="AH749" s="11">
        <f t="shared" si="69"/>
        <v>0</v>
      </c>
      <c r="AI749" s="11">
        <f t="shared" si="69"/>
        <v>5.0999999999999996</v>
      </c>
      <c r="AJ749" s="11">
        <f t="shared" si="69"/>
        <v>0</v>
      </c>
      <c r="AK749" s="11">
        <f t="shared" si="69"/>
        <v>4.6500000000000004</v>
      </c>
      <c r="AL749" s="11">
        <f t="shared" si="69"/>
        <v>0</v>
      </c>
      <c r="AM749" s="2"/>
      <c r="AN749" s="2"/>
      <c r="AO749" s="2"/>
    </row>
    <row r="750" spans="1:41" x14ac:dyDescent="0.2">
      <c r="A750" s="2" t="s">
        <v>1483</v>
      </c>
      <c r="B750" s="2" t="s">
        <v>1450</v>
      </c>
      <c r="C750" s="2" t="s">
        <v>157</v>
      </c>
      <c r="D750" s="2"/>
      <c r="E750" s="2" t="s">
        <v>50</v>
      </c>
      <c r="F750" s="2" t="s">
        <v>1471</v>
      </c>
      <c r="G750" s="2" t="s">
        <v>1472</v>
      </c>
      <c r="H750" s="9">
        <f>(0.1659+0.214)/(J750/100)</f>
        <v>5.0758618385419974</v>
      </c>
      <c r="I750" s="2"/>
      <c r="J750" s="9">
        <f>(7*0.1659+7.86*0.214)/(0.1659+0.214)</f>
        <v>7.4844432745459324</v>
      </c>
      <c r="K750" s="13">
        <f>(0*0.1659+266.3*0.214)/(0.1659+0.214)</f>
        <v>150.00842326928139</v>
      </c>
      <c r="L750" s="2"/>
      <c r="M750" s="13">
        <f>(0*0.1659+1.4*0.214)/(0.1659+0.214)</f>
        <v>0.78862858647012357</v>
      </c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9">
        <f t="shared" si="48"/>
        <v>0</v>
      </c>
      <c r="AB750" s="9">
        <f t="shared" si="49"/>
        <v>0.37990000000000002</v>
      </c>
      <c r="AC750" s="10">
        <f t="shared" si="50"/>
        <v>761.42203113240078</v>
      </c>
      <c r="AD750" s="10">
        <f t="shared" si="51"/>
        <v>4.0029697468470182</v>
      </c>
      <c r="AE750" s="9">
        <f t="shared" si="52"/>
        <v>0</v>
      </c>
      <c r="AF750" s="9">
        <f t="shared" si="53"/>
        <v>0.37990000000000002</v>
      </c>
      <c r="AG750" s="9">
        <f t="shared" si="54"/>
        <v>7.4844432745459324</v>
      </c>
      <c r="AH750" s="11">
        <f t="shared" si="69"/>
        <v>0</v>
      </c>
      <c r="AI750" s="11">
        <f t="shared" si="69"/>
        <v>37.99</v>
      </c>
      <c r="AJ750" s="11">
        <f t="shared" si="69"/>
        <v>761.42203113240078</v>
      </c>
      <c r="AK750" s="11">
        <f t="shared" si="69"/>
        <v>0</v>
      </c>
      <c r="AL750" s="11">
        <f t="shared" si="69"/>
        <v>4.0029697468470182</v>
      </c>
      <c r="AM750" s="2"/>
      <c r="AN750" s="2"/>
      <c r="AO750" s="2"/>
    </row>
    <row r="751" spans="1:41" x14ac:dyDescent="0.2">
      <c r="A751" s="2" t="s">
        <v>1484</v>
      </c>
      <c r="B751" s="2" t="s">
        <v>1450</v>
      </c>
      <c r="C751" s="2" t="s">
        <v>1485</v>
      </c>
      <c r="D751" s="2"/>
      <c r="E751" s="2" t="s">
        <v>50</v>
      </c>
      <c r="F751" s="2" t="s">
        <v>1486</v>
      </c>
      <c r="G751" s="2" t="s">
        <v>106</v>
      </c>
      <c r="H751" s="12">
        <v>7.3909390000000004</v>
      </c>
      <c r="I751" s="2">
        <v>2.2000000000000002</v>
      </c>
      <c r="J751" s="2">
        <v>1.1000000000000001</v>
      </c>
      <c r="K751" s="2">
        <v>66.5</v>
      </c>
      <c r="L751" s="2"/>
      <c r="M751" s="13">
        <f>7.6-(2.2*0.510496+1.1*0.430005+66.5*0.01723)</f>
        <v>4.8581082999999996</v>
      </c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9">
        <f t="shared" si="48"/>
        <v>0.16260065800000004</v>
      </c>
      <c r="AB751" s="9">
        <f t="shared" si="49"/>
        <v>8.1300329000000018E-2</v>
      </c>
      <c r="AC751" s="10">
        <f t="shared" si="50"/>
        <v>491.49744350000003</v>
      </c>
      <c r="AD751" s="10">
        <f t="shared" si="51"/>
        <v>35.905982100693699</v>
      </c>
      <c r="AE751" s="9">
        <f t="shared" si="52"/>
        <v>0</v>
      </c>
      <c r="AF751" s="9">
        <f t="shared" si="53"/>
        <v>0.24390098700000007</v>
      </c>
      <c r="AG751" s="9">
        <f t="shared" si="54"/>
        <v>3.3000000000000003</v>
      </c>
      <c r="AH751" s="11">
        <f t="shared" si="69"/>
        <v>16.260065800000003</v>
      </c>
      <c r="AI751" s="11">
        <f t="shared" si="69"/>
        <v>8.1300329000000016</v>
      </c>
      <c r="AJ751" s="11">
        <f t="shared" si="69"/>
        <v>491.49744350000003</v>
      </c>
      <c r="AK751" s="11">
        <f t="shared" si="69"/>
        <v>0</v>
      </c>
      <c r="AL751" s="11">
        <f t="shared" si="69"/>
        <v>35.905982100693699</v>
      </c>
      <c r="AM751" s="2"/>
      <c r="AN751" s="2"/>
      <c r="AO751" s="2"/>
    </row>
    <row r="752" spans="1:41" x14ac:dyDescent="0.2">
      <c r="A752" s="2" t="s">
        <v>1487</v>
      </c>
      <c r="B752" s="2" t="s">
        <v>1450</v>
      </c>
      <c r="C752" s="2" t="s">
        <v>157</v>
      </c>
      <c r="D752" s="2"/>
      <c r="E752" s="7" t="s">
        <v>40</v>
      </c>
      <c r="F752" s="2" t="s">
        <v>1488</v>
      </c>
      <c r="G752" s="2" t="s">
        <v>1478</v>
      </c>
      <c r="H752" s="2">
        <v>14</v>
      </c>
      <c r="I752" s="2">
        <v>1.79</v>
      </c>
      <c r="J752" s="2">
        <v>1.55</v>
      </c>
      <c r="K752" s="13">
        <f>30.4*31.1/H752</f>
        <v>67.531428571428577</v>
      </c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9">
        <f t="shared" si="48"/>
        <v>0.25060000000000004</v>
      </c>
      <c r="AB752" s="9">
        <f t="shared" si="49"/>
        <v>0.217</v>
      </c>
      <c r="AC752" s="10">
        <f t="shared" si="50"/>
        <v>945.44</v>
      </c>
      <c r="AD752" s="10">
        <f t="shared" si="51"/>
        <v>0</v>
      </c>
      <c r="AE752" s="9">
        <f t="shared" si="52"/>
        <v>0</v>
      </c>
      <c r="AF752" s="18">
        <f t="shared" si="53"/>
        <v>0.46760000000000002</v>
      </c>
      <c r="AG752" s="9">
        <f t="shared" si="54"/>
        <v>3.34</v>
      </c>
      <c r="AH752" s="11">
        <f t="shared" si="69"/>
        <v>25.060000000000002</v>
      </c>
      <c r="AI752" s="11">
        <f t="shared" si="69"/>
        <v>21.7</v>
      </c>
      <c r="AJ752" s="11">
        <f t="shared" si="69"/>
        <v>945.44</v>
      </c>
      <c r="AK752" s="11">
        <f t="shared" si="69"/>
        <v>0</v>
      </c>
      <c r="AL752" s="11">
        <f t="shared" si="69"/>
        <v>0</v>
      </c>
      <c r="AM752" s="2"/>
      <c r="AN752" s="2"/>
      <c r="AO752" s="2"/>
    </row>
    <row r="753" spans="1:41" x14ac:dyDescent="0.2">
      <c r="A753" s="2" t="s">
        <v>1489</v>
      </c>
      <c r="B753" s="2" t="s">
        <v>1450</v>
      </c>
      <c r="C753" s="2" t="s">
        <v>38</v>
      </c>
      <c r="D753" s="2" t="s">
        <v>62</v>
      </c>
      <c r="E753" s="2" t="s">
        <v>50</v>
      </c>
      <c r="F753" s="2" t="s">
        <v>1471</v>
      </c>
      <c r="G753" s="2" t="s">
        <v>1472</v>
      </c>
      <c r="H753" s="9">
        <f>125.271+9.787</f>
        <v>135.05799999999999</v>
      </c>
      <c r="I753" s="9">
        <f>(1.17*125.271+1.02*9.787)/$H753</f>
        <v>1.1591302255327343</v>
      </c>
      <c r="J753" s="9">
        <f>(6.16*125.271+5.63*9.787)/$H753</f>
        <v>6.1215934635489946</v>
      </c>
      <c r="K753" s="13">
        <f>(37.6*125.271+25.5*9.787)/$H753</f>
        <v>36.723171526307226</v>
      </c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12">
        <f>(0.016*125.271+0.014*9.787)/$H753</f>
        <v>1.5855069673769786E-2</v>
      </c>
      <c r="Z753" s="2" t="s">
        <v>416</v>
      </c>
      <c r="AA753" s="9">
        <f t="shared" si="48"/>
        <v>1.5654981000000001</v>
      </c>
      <c r="AB753" s="9">
        <f t="shared" si="49"/>
        <v>8.2677017000000017</v>
      </c>
      <c r="AC753" s="10">
        <f t="shared" si="50"/>
        <v>4959.7581000000009</v>
      </c>
      <c r="AD753" s="10">
        <f t="shared" si="51"/>
        <v>0</v>
      </c>
      <c r="AE753" s="9">
        <f t="shared" si="52"/>
        <v>0</v>
      </c>
      <c r="AF753" s="9">
        <f t="shared" si="53"/>
        <v>9.8331998000000027</v>
      </c>
      <c r="AG753" s="9">
        <f t="shared" si="54"/>
        <v>7.2807236890817286</v>
      </c>
      <c r="AH753" s="11">
        <f t="shared" si="69"/>
        <v>156.54981000000001</v>
      </c>
      <c r="AI753" s="11">
        <f t="shared" si="69"/>
        <v>826.77017000000012</v>
      </c>
      <c r="AJ753" s="11">
        <f t="shared" si="69"/>
        <v>4959.7581000000009</v>
      </c>
      <c r="AK753" s="11">
        <f t="shared" si="69"/>
        <v>0</v>
      </c>
      <c r="AL753" s="11">
        <f t="shared" si="69"/>
        <v>0</v>
      </c>
      <c r="AM753" s="2"/>
      <c r="AN753" s="2"/>
      <c r="AO753" s="2"/>
    </row>
    <row r="754" spans="1:41" x14ac:dyDescent="0.2">
      <c r="A754" s="2" t="s">
        <v>1490</v>
      </c>
      <c r="B754" s="2" t="s">
        <v>1450</v>
      </c>
      <c r="C754" s="2" t="s">
        <v>38</v>
      </c>
      <c r="D754" s="2" t="s">
        <v>39</v>
      </c>
      <c r="E754" s="7" t="s">
        <v>40</v>
      </c>
      <c r="F754" s="2" t="s">
        <v>1491</v>
      </c>
      <c r="G754" s="2" t="s">
        <v>875</v>
      </c>
      <c r="H754" s="2">
        <v>21.4</v>
      </c>
      <c r="I754" s="2">
        <v>2.1</v>
      </c>
      <c r="J754" s="2">
        <v>9.1999999999999993</v>
      </c>
      <c r="K754" s="2">
        <v>31</v>
      </c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9">
        <f t="shared" si="48"/>
        <v>0.44939999999999997</v>
      </c>
      <c r="AB754" s="9">
        <f t="shared" si="49"/>
        <v>1.9687999999999997</v>
      </c>
      <c r="AC754" s="10">
        <f t="shared" si="50"/>
        <v>663.4</v>
      </c>
      <c r="AD754" s="10">
        <f t="shared" si="51"/>
        <v>0</v>
      </c>
      <c r="AE754" s="9">
        <f t="shared" si="52"/>
        <v>0</v>
      </c>
      <c r="AF754" s="9">
        <f t="shared" si="53"/>
        <v>2.4181999999999997</v>
      </c>
      <c r="AG754" s="9">
        <f t="shared" si="54"/>
        <v>11.299999999999999</v>
      </c>
      <c r="AH754" s="11">
        <f t="shared" ref="AH754:AL769" si="70">$H754*I754</f>
        <v>44.94</v>
      </c>
      <c r="AI754" s="11">
        <f t="shared" si="70"/>
        <v>196.87999999999997</v>
      </c>
      <c r="AJ754" s="11">
        <f t="shared" si="70"/>
        <v>663.4</v>
      </c>
      <c r="AK754" s="11">
        <f t="shared" si="70"/>
        <v>0</v>
      </c>
      <c r="AL754" s="11">
        <f t="shared" si="70"/>
        <v>0</v>
      </c>
      <c r="AM754" s="2"/>
      <c r="AN754" s="2"/>
      <c r="AO754" s="2"/>
    </row>
    <row r="755" spans="1:41" x14ac:dyDescent="0.2">
      <c r="A755" s="2" t="s">
        <v>1492</v>
      </c>
      <c r="B755" s="2" t="s">
        <v>1450</v>
      </c>
      <c r="C755" s="2" t="s">
        <v>187</v>
      </c>
      <c r="D755" s="2" t="s">
        <v>77</v>
      </c>
      <c r="E755" s="2" t="s">
        <v>50</v>
      </c>
      <c r="F755" s="2" t="s">
        <v>1463</v>
      </c>
      <c r="G755" s="2" t="s">
        <v>101</v>
      </c>
      <c r="H755" s="2">
        <f>1.096+0.078</f>
        <v>1.1740000000000002</v>
      </c>
      <c r="I755" s="13">
        <f t="shared" ref="I755:J755" si="71">(2.3*1.096+3.7*0.078)/$H755</f>
        <v>2.3930153321976149</v>
      </c>
      <c r="J755" s="13">
        <f t="shared" si="71"/>
        <v>2.3930153321976149</v>
      </c>
      <c r="K755" s="14">
        <f>(375*1.096+206*0.078)/$H755</f>
        <v>363.77172061328787</v>
      </c>
      <c r="L755" s="9">
        <f>(0.34*1.096+0.46*0.078)/$H755</f>
        <v>0.34797274275979562</v>
      </c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9">
        <f t="shared" si="48"/>
        <v>2.8094000000000001E-2</v>
      </c>
      <c r="AB755" s="9">
        <f t="shared" si="49"/>
        <v>2.8094000000000001E-2</v>
      </c>
      <c r="AC755" s="10">
        <f t="shared" si="50"/>
        <v>427.06800000000004</v>
      </c>
      <c r="AD755" s="10">
        <f t="shared" si="51"/>
        <v>0</v>
      </c>
      <c r="AE755" s="9">
        <f t="shared" si="52"/>
        <v>4.0852000000000006E-3</v>
      </c>
      <c r="AF755" s="9">
        <f t="shared" si="53"/>
        <v>6.0273199999999999E-2</v>
      </c>
      <c r="AG755" s="9">
        <f t="shared" si="54"/>
        <v>5.1340034071550251</v>
      </c>
      <c r="AH755" s="11">
        <f t="shared" si="70"/>
        <v>2.8094000000000001</v>
      </c>
      <c r="AI755" s="11">
        <f t="shared" si="70"/>
        <v>2.8094000000000001</v>
      </c>
      <c r="AJ755" s="11">
        <f t="shared" si="70"/>
        <v>427.06800000000004</v>
      </c>
      <c r="AK755" s="11">
        <f t="shared" si="70"/>
        <v>0.40852000000000011</v>
      </c>
      <c r="AL755" s="11">
        <f t="shared" si="70"/>
        <v>0</v>
      </c>
      <c r="AM755" s="2"/>
      <c r="AN755" s="2"/>
      <c r="AO755" s="2"/>
    </row>
    <row r="756" spans="1:41" x14ac:dyDescent="0.2">
      <c r="A756" s="2" t="s">
        <v>1493</v>
      </c>
      <c r="B756" s="2" t="s">
        <v>1450</v>
      </c>
      <c r="C756" s="2" t="s">
        <v>48</v>
      </c>
      <c r="D756" s="2"/>
      <c r="E756" s="7" t="s">
        <v>40</v>
      </c>
      <c r="F756" s="2" t="s">
        <v>41</v>
      </c>
      <c r="G756" s="2" t="s">
        <v>1451</v>
      </c>
      <c r="H756" s="2">
        <v>80.8</v>
      </c>
      <c r="I756" s="2">
        <v>0.13</v>
      </c>
      <c r="J756" s="2">
        <v>1.75</v>
      </c>
      <c r="K756" s="2"/>
      <c r="L756" s="2">
        <v>1.73</v>
      </c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>
        <v>0.15</v>
      </c>
      <c r="X756" s="2"/>
      <c r="Y756" s="2"/>
      <c r="Z756" s="2"/>
      <c r="AA756" s="9">
        <f t="shared" si="48"/>
        <v>0.10503999999999999</v>
      </c>
      <c r="AB756" s="9">
        <f t="shared" si="49"/>
        <v>1.4140000000000001</v>
      </c>
      <c r="AC756" s="10">
        <f t="shared" si="50"/>
        <v>0</v>
      </c>
      <c r="AD756" s="10">
        <f t="shared" si="51"/>
        <v>0</v>
      </c>
      <c r="AE756" s="9">
        <f t="shared" si="52"/>
        <v>1.39784</v>
      </c>
      <c r="AF756" s="9">
        <f t="shared" si="53"/>
        <v>2.9168799999999999</v>
      </c>
      <c r="AG756" s="9">
        <f t="shared" si="54"/>
        <v>3.61</v>
      </c>
      <c r="AH756" s="11">
        <f t="shared" si="70"/>
        <v>10.504</v>
      </c>
      <c r="AI756" s="11">
        <f t="shared" si="70"/>
        <v>141.4</v>
      </c>
      <c r="AJ756" s="11">
        <f t="shared" si="70"/>
        <v>0</v>
      </c>
      <c r="AK756" s="11">
        <f t="shared" si="70"/>
        <v>139.78399999999999</v>
      </c>
      <c r="AL756" s="11">
        <f t="shared" si="70"/>
        <v>0</v>
      </c>
      <c r="AM756" s="2"/>
      <c r="AN756" s="2"/>
      <c r="AO756" s="2"/>
    </row>
    <row r="757" spans="1:41" x14ac:dyDescent="0.2">
      <c r="A757" s="2" t="s">
        <v>1494</v>
      </c>
      <c r="B757" s="2" t="s">
        <v>1450</v>
      </c>
      <c r="C757" s="2" t="s">
        <v>48</v>
      </c>
      <c r="D757" s="2"/>
      <c r="E757" s="7" t="s">
        <v>40</v>
      </c>
      <c r="F757" s="2" t="s">
        <v>41</v>
      </c>
      <c r="G757" s="2" t="s">
        <v>1451</v>
      </c>
      <c r="H757" s="2">
        <v>18.2</v>
      </c>
      <c r="I757" s="2"/>
      <c r="J757" s="2">
        <v>0.86</v>
      </c>
      <c r="K757" s="2"/>
      <c r="L757" s="2">
        <v>2.94</v>
      </c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9">
        <f t="shared" si="48"/>
        <v>0</v>
      </c>
      <c r="AB757" s="9">
        <f t="shared" si="49"/>
        <v>0.15651999999999999</v>
      </c>
      <c r="AC757" s="10">
        <f t="shared" si="50"/>
        <v>0</v>
      </c>
      <c r="AD757" s="10">
        <f t="shared" si="51"/>
        <v>0</v>
      </c>
      <c r="AE757" s="9">
        <f t="shared" si="52"/>
        <v>0.53508</v>
      </c>
      <c r="AF757" s="9">
        <f t="shared" si="53"/>
        <v>0.69159999999999999</v>
      </c>
      <c r="AG757" s="9">
        <f t="shared" si="54"/>
        <v>3.8</v>
      </c>
      <c r="AH757" s="11">
        <f t="shared" si="70"/>
        <v>0</v>
      </c>
      <c r="AI757" s="11">
        <f t="shared" si="70"/>
        <v>15.651999999999999</v>
      </c>
      <c r="AJ757" s="11">
        <f t="shared" si="70"/>
        <v>0</v>
      </c>
      <c r="AK757" s="11">
        <f t="shared" si="70"/>
        <v>53.507999999999996</v>
      </c>
      <c r="AL757" s="11">
        <f t="shared" si="70"/>
        <v>0</v>
      </c>
      <c r="AM757" s="2"/>
      <c r="AN757" s="2"/>
      <c r="AO757" s="2"/>
    </row>
    <row r="758" spans="1:41" x14ac:dyDescent="0.2">
      <c r="A758" s="2" t="s">
        <v>1495</v>
      </c>
      <c r="B758" s="2" t="s">
        <v>1450</v>
      </c>
      <c r="C758" s="2" t="s">
        <v>48</v>
      </c>
      <c r="D758" s="2"/>
      <c r="E758" s="7" t="s">
        <v>40</v>
      </c>
      <c r="F758" s="2" t="s">
        <v>41</v>
      </c>
      <c r="G758" s="2" t="s">
        <v>1478</v>
      </c>
      <c r="H758" s="2">
        <v>25</v>
      </c>
      <c r="I758" s="2">
        <v>0.13</v>
      </c>
      <c r="J758" s="2">
        <v>2.42</v>
      </c>
      <c r="K758" s="13">
        <f>7*31.1/H758</f>
        <v>8.7080000000000002</v>
      </c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9">
        <f t="shared" si="48"/>
        <v>3.2500000000000001E-2</v>
      </c>
      <c r="AB758" s="9">
        <f t="shared" si="49"/>
        <v>0.60499999999999998</v>
      </c>
      <c r="AC758" s="10">
        <f t="shared" si="50"/>
        <v>217.70000000000002</v>
      </c>
      <c r="AD758" s="10">
        <f t="shared" si="51"/>
        <v>0</v>
      </c>
      <c r="AE758" s="9">
        <f t="shared" si="52"/>
        <v>0</v>
      </c>
      <c r="AF758" s="9">
        <f t="shared" si="53"/>
        <v>0.63749999999999996</v>
      </c>
      <c r="AG758" s="9">
        <f t="shared" si="54"/>
        <v>2.5499999999999998</v>
      </c>
      <c r="AH758" s="11">
        <f t="shared" si="70"/>
        <v>3.25</v>
      </c>
      <c r="AI758" s="11">
        <f t="shared" si="70"/>
        <v>60.5</v>
      </c>
      <c r="AJ758" s="11">
        <f t="shared" si="70"/>
        <v>217.70000000000002</v>
      </c>
      <c r="AK758" s="11">
        <f t="shared" si="70"/>
        <v>0</v>
      </c>
      <c r="AL758" s="11">
        <f t="shared" si="70"/>
        <v>0</v>
      </c>
      <c r="AM758" s="2"/>
      <c r="AN758" s="2"/>
      <c r="AO758" s="2"/>
    </row>
    <row r="759" spans="1:41" x14ac:dyDescent="0.2">
      <c r="A759" s="2" t="s">
        <v>1496</v>
      </c>
      <c r="B759" s="2" t="s">
        <v>1450</v>
      </c>
      <c r="C759" s="21" t="s">
        <v>38</v>
      </c>
      <c r="D759" s="21" t="s">
        <v>39</v>
      </c>
      <c r="E759" s="2" t="s">
        <v>50</v>
      </c>
      <c r="F759" s="2" t="s">
        <v>1497</v>
      </c>
      <c r="G759" s="8" t="s">
        <v>1083</v>
      </c>
      <c r="H759" s="2">
        <v>18.3</v>
      </c>
      <c r="I759" s="13">
        <f>100*0.53/H759</f>
        <v>2.8961748633879782</v>
      </c>
      <c r="J759" s="13">
        <f>100*1.9/H759</f>
        <v>10.382513661202186</v>
      </c>
      <c r="K759" s="13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9">
        <f t="shared" si="48"/>
        <v>0.53</v>
      </c>
      <c r="AB759" s="9">
        <f t="shared" si="49"/>
        <v>1.9</v>
      </c>
      <c r="AC759" s="10">
        <f t="shared" si="50"/>
        <v>0</v>
      </c>
      <c r="AD759" s="10">
        <f t="shared" si="51"/>
        <v>0</v>
      </c>
      <c r="AE759" s="9">
        <f t="shared" si="52"/>
        <v>0</v>
      </c>
      <c r="AF759" s="9">
        <f t="shared" si="53"/>
        <v>2.4299999999999997</v>
      </c>
      <c r="AG759" s="9">
        <f t="shared" si="54"/>
        <v>13.278688524590164</v>
      </c>
      <c r="AH759" s="11">
        <f t="shared" si="70"/>
        <v>53.000000000000007</v>
      </c>
      <c r="AI759" s="11">
        <f t="shared" si="70"/>
        <v>190</v>
      </c>
      <c r="AJ759" s="11">
        <f t="shared" si="70"/>
        <v>0</v>
      </c>
      <c r="AK759" s="11">
        <f t="shared" si="70"/>
        <v>0</v>
      </c>
      <c r="AL759" s="11">
        <f t="shared" si="70"/>
        <v>0</v>
      </c>
      <c r="AM759" s="2"/>
      <c r="AN759" s="2"/>
      <c r="AO759" s="2"/>
    </row>
    <row r="760" spans="1:41" x14ac:dyDescent="0.2">
      <c r="A760" s="2" t="s">
        <v>1498</v>
      </c>
      <c r="B760" s="2" t="s">
        <v>1450</v>
      </c>
      <c r="C760" s="2" t="s">
        <v>48</v>
      </c>
      <c r="D760" s="2"/>
      <c r="E760" s="7" t="s">
        <v>40</v>
      </c>
      <c r="F760" s="2" t="s">
        <v>41</v>
      </c>
      <c r="G760" s="2" t="s">
        <v>1451</v>
      </c>
      <c r="H760" s="2">
        <v>110</v>
      </c>
      <c r="I760" s="2">
        <v>0.04</v>
      </c>
      <c r="J760" s="2">
        <v>0.4</v>
      </c>
      <c r="K760" s="2">
        <v>16</v>
      </c>
      <c r="L760" s="2">
        <v>1.6</v>
      </c>
      <c r="M760" s="2">
        <v>0.6</v>
      </c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9">
        <f t="shared" si="48"/>
        <v>4.4000000000000004E-2</v>
      </c>
      <c r="AB760" s="9">
        <f t="shared" si="49"/>
        <v>0.44</v>
      </c>
      <c r="AC760" s="10">
        <f t="shared" si="50"/>
        <v>1760</v>
      </c>
      <c r="AD760" s="10">
        <f t="shared" si="51"/>
        <v>66</v>
      </c>
      <c r="AE760" s="9">
        <f t="shared" si="52"/>
        <v>1.76</v>
      </c>
      <c r="AF760" s="9">
        <f t="shared" si="53"/>
        <v>2.2439999999999998</v>
      </c>
      <c r="AG760" s="9">
        <f t="shared" si="54"/>
        <v>2.04</v>
      </c>
      <c r="AH760" s="11">
        <f t="shared" si="70"/>
        <v>4.4000000000000004</v>
      </c>
      <c r="AI760" s="11">
        <f t="shared" si="70"/>
        <v>44</v>
      </c>
      <c r="AJ760" s="11">
        <f t="shared" si="70"/>
        <v>1760</v>
      </c>
      <c r="AK760" s="11">
        <f t="shared" si="70"/>
        <v>176</v>
      </c>
      <c r="AL760" s="11">
        <f t="shared" si="70"/>
        <v>66</v>
      </c>
      <c r="AM760" s="2"/>
      <c r="AN760" s="2"/>
      <c r="AO760" s="2"/>
    </row>
    <row r="761" spans="1:41" x14ac:dyDescent="0.2">
      <c r="A761" s="2" t="s">
        <v>1499</v>
      </c>
      <c r="B761" s="2" t="s">
        <v>1450</v>
      </c>
      <c r="C761" s="2" t="s">
        <v>48</v>
      </c>
      <c r="D761" s="2"/>
      <c r="E761" s="7" t="s">
        <v>40</v>
      </c>
      <c r="F761" s="2" t="s">
        <v>41</v>
      </c>
      <c r="G761" s="2" t="s">
        <v>1451</v>
      </c>
      <c r="H761" s="2">
        <v>9.1</v>
      </c>
      <c r="I761" s="2"/>
      <c r="J761" s="2">
        <v>4.24</v>
      </c>
      <c r="K761" s="2"/>
      <c r="L761" s="2">
        <v>1.58</v>
      </c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9">
        <f t="shared" si="48"/>
        <v>0</v>
      </c>
      <c r="AB761" s="9">
        <f t="shared" si="49"/>
        <v>0.38584000000000002</v>
      </c>
      <c r="AC761" s="10">
        <f t="shared" si="50"/>
        <v>0</v>
      </c>
      <c r="AD761" s="10">
        <f t="shared" si="51"/>
        <v>0</v>
      </c>
      <c r="AE761" s="9">
        <f t="shared" si="52"/>
        <v>0.14377999999999999</v>
      </c>
      <c r="AF761" s="9">
        <f t="shared" si="53"/>
        <v>0.52961999999999998</v>
      </c>
      <c r="AG761" s="9">
        <f t="shared" si="54"/>
        <v>5.82</v>
      </c>
      <c r="AH761" s="11">
        <f t="shared" si="70"/>
        <v>0</v>
      </c>
      <c r="AI761" s="11">
        <f t="shared" si="70"/>
        <v>38.584000000000003</v>
      </c>
      <c r="AJ761" s="11">
        <f t="shared" si="70"/>
        <v>0</v>
      </c>
      <c r="AK761" s="11">
        <f t="shared" si="70"/>
        <v>14.378</v>
      </c>
      <c r="AL761" s="11">
        <f t="shared" si="70"/>
        <v>0</v>
      </c>
      <c r="AM761" s="2"/>
      <c r="AN761" s="2"/>
      <c r="AO761" s="2"/>
    </row>
    <row r="762" spans="1:41" x14ac:dyDescent="0.2">
      <c r="A762" s="2" t="s">
        <v>1500</v>
      </c>
      <c r="B762" s="2" t="s">
        <v>1450</v>
      </c>
      <c r="C762" s="2" t="s">
        <v>48</v>
      </c>
      <c r="D762" s="2"/>
      <c r="E762" s="2" t="s">
        <v>50</v>
      </c>
      <c r="F762" s="2" t="s">
        <v>883</v>
      </c>
      <c r="G762" s="2" t="s">
        <v>1419</v>
      </c>
      <c r="H762" s="2">
        <v>12.92</v>
      </c>
      <c r="I762" s="13">
        <f>100*0.2/$H762</f>
        <v>1.5479876160990713</v>
      </c>
      <c r="J762" s="13">
        <f>100*1.29/$H762</f>
        <v>9.98452012383901</v>
      </c>
      <c r="K762" s="2">
        <v>52.24</v>
      </c>
      <c r="L762" s="9">
        <f>100*0.0823/$H762</f>
        <v>0.63699690402476783</v>
      </c>
      <c r="M762" s="2">
        <v>1.17</v>
      </c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9">
        <f t="shared" si="48"/>
        <v>0.2</v>
      </c>
      <c r="AB762" s="9">
        <f t="shared" si="49"/>
        <v>1.29</v>
      </c>
      <c r="AC762" s="10">
        <f t="shared" si="50"/>
        <v>674.94079999999997</v>
      </c>
      <c r="AD762" s="10">
        <f t="shared" si="51"/>
        <v>15.116399999999999</v>
      </c>
      <c r="AE762" s="9">
        <f t="shared" si="52"/>
        <v>8.2299999999999998E-2</v>
      </c>
      <c r="AF762" s="9">
        <f t="shared" si="53"/>
        <v>1.5723</v>
      </c>
      <c r="AG762" s="9">
        <f t="shared" si="54"/>
        <v>12.169504643962849</v>
      </c>
      <c r="AH762" s="11">
        <f t="shared" si="70"/>
        <v>20</v>
      </c>
      <c r="AI762" s="11">
        <f t="shared" si="70"/>
        <v>129</v>
      </c>
      <c r="AJ762" s="11">
        <f t="shared" si="70"/>
        <v>674.94079999999997</v>
      </c>
      <c r="AK762" s="11">
        <f t="shared" si="70"/>
        <v>8.23</v>
      </c>
      <c r="AL762" s="11">
        <f t="shared" si="70"/>
        <v>15.116399999999999</v>
      </c>
      <c r="AM762" s="2"/>
      <c r="AN762" s="2"/>
      <c r="AO762" s="2"/>
    </row>
    <row r="763" spans="1:41" x14ac:dyDescent="0.2">
      <c r="A763" s="2" t="s">
        <v>1501</v>
      </c>
      <c r="B763" s="2" t="s">
        <v>1450</v>
      </c>
      <c r="C763" s="2" t="s">
        <v>48</v>
      </c>
      <c r="D763" s="2"/>
      <c r="E763" s="7" t="s">
        <v>40</v>
      </c>
      <c r="F763" s="2" t="s">
        <v>41</v>
      </c>
      <c r="G763" s="2" t="s">
        <v>1451</v>
      </c>
      <c r="H763" s="2">
        <v>113</v>
      </c>
      <c r="I763" s="2"/>
      <c r="J763" s="2">
        <v>3.73</v>
      </c>
      <c r="K763" s="2">
        <v>18</v>
      </c>
      <c r="L763" s="2">
        <v>1.08</v>
      </c>
      <c r="M763" s="2">
        <v>1.26</v>
      </c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9">
        <f t="shared" si="48"/>
        <v>0</v>
      </c>
      <c r="AB763" s="9">
        <f t="shared" si="49"/>
        <v>4.2149000000000001</v>
      </c>
      <c r="AC763" s="10">
        <f t="shared" si="50"/>
        <v>2034</v>
      </c>
      <c r="AD763" s="10">
        <f t="shared" si="51"/>
        <v>142.38</v>
      </c>
      <c r="AE763" s="9">
        <f t="shared" si="52"/>
        <v>1.2204000000000002</v>
      </c>
      <c r="AF763" s="9">
        <f t="shared" si="53"/>
        <v>5.4352999999999998</v>
      </c>
      <c r="AG763" s="9">
        <f t="shared" si="54"/>
        <v>4.8100000000000005</v>
      </c>
      <c r="AH763" s="11">
        <f t="shared" si="70"/>
        <v>0</v>
      </c>
      <c r="AI763" s="11">
        <f t="shared" si="70"/>
        <v>421.49</v>
      </c>
      <c r="AJ763" s="11">
        <f t="shared" si="70"/>
        <v>2034</v>
      </c>
      <c r="AK763" s="11">
        <f t="shared" si="70"/>
        <v>122.04</v>
      </c>
      <c r="AL763" s="11">
        <f t="shared" si="70"/>
        <v>142.38</v>
      </c>
      <c r="AM763" s="2"/>
      <c r="AN763" s="2"/>
      <c r="AO763" s="2"/>
    </row>
    <row r="764" spans="1:41" x14ac:dyDescent="0.2">
      <c r="A764" s="2" t="s">
        <v>1502</v>
      </c>
      <c r="B764" s="2" t="s">
        <v>1450</v>
      </c>
      <c r="C764" s="21" t="s">
        <v>38</v>
      </c>
      <c r="D764" s="21" t="s">
        <v>39</v>
      </c>
      <c r="E764" s="7" t="s">
        <v>40</v>
      </c>
      <c r="F764" s="2" t="s">
        <v>41</v>
      </c>
      <c r="G764" s="8" t="s">
        <v>44</v>
      </c>
      <c r="H764" s="2">
        <v>23</v>
      </c>
      <c r="I764" s="2">
        <v>2.85</v>
      </c>
      <c r="J764" s="2">
        <v>6.74</v>
      </c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9">
        <f t="shared" si="48"/>
        <v>0.65549999999999997</v>
      </c>
      <c r="AB764" s="9">
        <f t="shared" si="49"/>
        <v>1.5502</v>
      </c>
      <c r="AC764" s="10">
        <f t="shared" si="50"/>
        <v>0</v>
      </c>
      <c r="AD764" s="10">
        <f t="shared" si="51"/>
        <v>0</v>
      </c>
      <c r="AE764" s="9">
        <f t="shared" si="52"/>
        <v>0</v>
      </c>
      <c r="AF764" s="9">
        <f t="shared" si="53"/>
        <v>2.2057000000000002</v>
      </c>
      <c r="AG764" s="9">
        <f t="shared" si="54"/>
        <v>9.59</v>
      </c>
      <c r="AH764" s="11">
        <f t="shared" si="70"/>
        <v>65.55</v>
      </c>
      <c r="AI764" s="11">
        <f t="shared" si="70"/>
        <v>155.02000000000001</v>
      </c>
      <c r="AJ764" s="11">
        <f t="shared" si="70"/>
        <v>0</v>
      </c>
      <c r="AK764" s="11">
        <f t="shared" si="70"/>
        <v>0</v>
      </c>
      <c r="AL764" s="11">
        <f t="shared" si="70"/>
        <v>0</v>
      </c>
      <c r="AM764" s="2"/>
      <c r="AN764" s="2"/>
      <c r="AO764" s="2"/>
    </row>
    <row r="765" spans="1:41" x14ac:dyDescent="0.2">
      <c r="A765" s="2" t="s">
        <v>1503</v>
      </c>
      <c r="B765" s="2" t="s">
        <v>1450</v>
      </c>
      <c r="C765" s="2" t="s">
        <v>48</v>
      </c>
      <c r="D765" s="2"/>
      <c r="E765" s="7" t="s">
        <v>40</v>
      </c>
      <c r="F765" s="2" t="s">
        <v>41</v>
      </c>
      <c r="G765" s="2" t="s">
        <v>1451</v>
      </c>
      <c r="H765" s="2">
        <f>27+42</f>
        <v>69</v>
      </c>
      <c r="I765" s="9">
        <f>(0.1*27+0*42)/$H765</f>
        <v>3.9130434782608699E-2</v>
      </c>
      <c r="J765" s="13">
        <f>(0.23*27+4.55*42)/$H765</f>
        <v>2.8595652173913044</v>
      </c>
      <c r="K765" s="2">
        <v>35</v>
      </c>
      <c r="L765" s="13">
        <f>(2.13*27+0.91*42)/$H765</f>
        <v>1.3873913043478259</v>
      </c>
      <c r="M765" s="2">
        <v>1.8</v>
      </c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9">
        <f t="shared" si="48"/>
        <v>2.7000000000000003E-2</v>
      </c>
      <c r="AB765" s="9">
        <f t="shared" si="49"/>
        <v>1.9731000000000001</v>
      </c>
      <c r="AC765" s="10">
        <f t="shared" si="50"/>
        <v>2415</v>
      </c>
      <c r="AD765" s="10">
        <f t="shared" si="51"/>
        <v>124.2</v>
      </c>
      <c r="AE765" s="9">
        <f t="shared" si="52"/>
        <v>0.95729999999999993</v>
      </c>
      <c r="AF765" s="9">
        <f t="shared" si="53"/>
        <v>2.9574000000000003</v>
      </c>
      <c r="AG765" s="9">
        <f t="shared" si="54"/>
        <v>4.2860869565217392</v>
      </c>
      <c r="AH765" s="11">
        <f t="shared" si="70"/>
        <v>2.7</v>
      </c>
      <c r="AI765" s="11">
        <f t="shared" si="70"/>
        <v>197.31</v>
      </c>
      <c r="AJ765" s="11">
        <f t="shared" si="70"/>
        <v>2415</v>
      </c>
      <c r="AK765" s="11">
        <f t="shared" si="70"/>
        <v>95.72999999999999</v>
      </c>
      <c r="AL765" s="11">
        <f t="shared" si="70"/>
        <v>124.2</v>
      </c>
      <c r="AM765" s="2"/>
      <c r="AN765" s="2"/>
      <c r="AO765" s="2"/>
    </row>
    <row r="766" spans="1:41" x14ac:dyDescent="0.2">
      <c r="A766" s="2" t="s">
        <v>1504</v>
      </c>
      <c r="B766" s="2" t="s">
        <v>1450</v>
      </c>
      <c r="C766" s="2" t="s">
        <v>48</v>
      </c>
      <c r="D766" s="2"/>
      <c r="E766" s="7" t="s">
        <v>40</v>
      </c>
      <c r="F766" s="2" t="s">
        <v>41</v>
      </c>
      <c r="G766" s="2" t="s">
        <v>1451</v>
      </c>
      <c r="H766" s="2">
        <v>2.2999999999999998</v>
      </c>
      <c r="I766" s="2"/>
      <c r="J766" s="2">
        <v>5.56</v>
      </c>
      <c r="K766" s="2">
        <v>33.5</v>
      </c>
      <c r="L766" s="2">
        <v>2.56</v>
      </c>
      <c r="M766" s="2">
        <v>3.3</v>
      </c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9">
        <f t="shared" si="48"/>
        <v>0</v>
      </c>
      <c r="AB766" s="9">
        <f t="shared" si="49"/>
        <v>0.12787999999999999</v>
      </c>
      <c r="AC766" s="10">
        <f t="shared" si="50"/>
        <v>77.05</v>
      </c>
      <c r="AD766" s="10">
        <f t="shared" si="51"/>
        <v>7.589999999999999</v>
      </c>
      <c r="AE766" s="9">
        <f t="shared" si="52"/>
        <v>5.8880000000000002E-2</v>
      </c>
      <c r="AF766" s="9">
        <f t="shared" si="53"/>
        <v>0.18675999999999998</v>
      </c>
      <c r="AG766" s="9">
        <f t="shared" si="54"/>
        <v>8.1199999999999992</v>
      </c>
      <c r="AH766" s="11">
        <f t="shared" si="70"/>
        <v>0</v>
      </c>
      <c r="AI766" s="11">
        <f t="shared" si="70"/>
        <v>12.787999999999998</v>
      </c>
      <c r="AJ766" s="11">
        <f t="shared" si="70"/>
        <v>77.05</v>
      </c>
      <c r="AK766" s="11">
        <f t="shared" si="70"/>
        <v>5.8879999999999999</v>
      </c>
      <c r="AL766" s="11">
        <f t="shared" si="70"/>
        <v>7.589999999999999</v>
      </c>
      <c r="AM766" s="2"/>
      <c r="AN766" s="2"/>
      <c r="AO766" s="2"/>
    </row>
    <row r="767" spans="1:41" x14ac:dyDescent="0.2">
      <c r="A767" s="2" t="s">
        <v>1505</v>
      </c>
      <c r="B767" s="2" t="s">
        <v>1450</v>
      </c>
      <c r="C767" s="2" t="s">
        <v>48</v>
      </c>
      <c r="D767" s="2"/>
      <c r="E767" s="7" t="s">
        <v>40</v>
      </c>
      <c r="F767" s="2" t="s">
        <v>41</v>
      </c>
      <c r="G767" s="2" t="s">
        <v>1451</v>
      </c>
      <c r="H767" s="2">
        <v>106</v>
      </c>
      <c r="I767" s="2"/>
      <c r="J767" s="2">
        <v>1</v>
      </c>
      <c r="K767" s="2"/>
      <c r="L767" s="2">
        <v>1.5</v>
      </c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9">
        <f t="shared" ref="AA767:AA852" si="72">H767*I767/100</f>
        <v>0</v>
      </c>
      <c r="AB767" s="9">
        <f t="shared" ref="AB767:AB852" si="73">H767*J767/100</f>
        <v>1.06</v>
      </c>
      <c r="AC767" s="10">
        <f t="shared" ref="AC767:AC852" si="74">H767*K767</f>
        <v>0</v>
      </c>
      <c r="AD767" s="10">
        <f t="shared" ref="AD767:AD852" si="75">H767*M767</f>
        <v>0</v>
      </c>
      <c r="AE767" s="9">
        <f t="shared" ref="AE767:AE852" si="76">H767*L767/100</f>
        <v>1.59</v>
      </c>
      <c r="AF767" s="9">
        <f t="shared" ref="AF767:AF852" si="77">AA767+AB767+AE767</f>
        <v>2.6500000000000004</v>
      </c>
      <c r="AG767" s="9">
        <f t="shared" ref="AG767:AG852" si="78">I767+J767+L767</f>
        <v>2.5</v>
      </c>
      <c r="AH767" s="11">
        <f t="shared" si="70"/>
        <v>0</v>
      </c>
      <c r="AI767" s="11">
        <f t="shared" si="70"/>
        <v>106</v>
      </c>
      <c r="AJ767" s="11">
        <f t="shared" si="70"/>
        <v>0</v>
      </c>
      <c r="AK767" s="11">
        <f t="shared" si="70"/>
        <v>159</v>
      </c>
      <c r="AL767" s="11">
        <f t="shared" si="70"/>
        <v>0</v>
      </c>
      <c r="AM767" s="2"/>
      <c r="AN767" s="2"/>
      <c r="AO767" s="2"/>
    </row>
    <row r="768" spans="1:41" x14ac:dyDescent="0.2">
      <c r="A768" s="2" t="s">
        <v>1506</v>
      </c>
      <c r="B768" s="2" t="s">
        <v>1450</v>
      </c>
      <c r="C768" s="2" t="s">
        <v>48</v>
      </c>
      <c r="D768" s="2"/>
      <c r="E768" s="7" t="s">
        <v>40</v>
      </c>
      <c r="F768" s="2" t="s">
        <v>41</v>
      </c>
      <c r="G768" s="2" t="s">
        <v>1451</v>
      </c>
      <c r="H768" s="2">
        <v>12.5</v>
      </c>
      <c r="I768" s="2"/>
      <c r="J768" s="2">
        <v>0.87</v>
      </c>
      <c r="K768" s="2">
        <v>7</v>
      </c>
      <c r="L768" s="2">
        <v>1.21</v>
      </c>
      <c r="M768" s="2">
        <v>0.1</v>
      </c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9">
        <f t="shared" si="72"/>
        <v>0</v>
      </c>
      <c r="AB768" s="9">
        <f t="shared" si="73"/>
        <v>0.10875</v>
      </c>
      <c r="AC768" s="10">
        <f t="shared" si="74"/>
        <v>87.5</v>
      </c>
      <c r="AD768" s="10">
        <f t="shared" si="75"/>
        <v>1.25</v>
      </c>
      <c r="AE768" s="9">
        <f t="shared" si="76"/>
        <v>0.15125</v>
      </c>
      <c r="AF768" s="9">
        <f t="shared" si="77"/>
        <v>0.26</v>
      </c>
      <c r="AG768" s="9">
        <f t="shared" si="78"/>
        <v>2.08</v>
      </c>
      <c r="AH768" s="11">
        <f t="shared" si="70"/>
        <v>0</v>
      </c>
      <c r="AI768" s="11">
        <f t="shared" si="70"/>
        <v>10.875</v>
      </c>
      <c r="AJ768" s="11">
        <f t="shared" si="70"/>
        <v>87.5</v>
      </c>
      <c r="AK768" s="11">
        <f t="shared" si="70"/>
        <v>15.125</v>
      </c>
      <c r="AL768" s="11">
        <f t="shared" si="70"/>
        <v>1.25</v>
      </c>
      <c r="AM768" s="2"/>
      <c r="AN768" s="2"/>
      <c r="AO768" s="2"/>
    </row>
    <row r="769" spans="1:41" x14ac:dyDescent="0.2">
      <c r="A769" s="2" t="s">
        <v>1507</v>
      </c>
      <c r="B769" s="2" t="s">
        <v>1508</v>
      </c>
      <c r="C769" s="2" t="s">
        <v>48</v>
      </c>
      <c r="D769" s="2"/>
      <c r="E769" s="2" t="s">
        <v>50</v>
      </c>
      <c r="F769" s="2" t="s">
        <v>1509</v>
      </c>
      <c r="G769" s="2" t="s">
        <v>1510</v>
      </c>
      <c r="H769" s="2">
        <f>9.433+0.603</f>
        <v>10.036</v>
      </c>
      <c r="I769" s="2"/>
      <c r="J769" s="9">
        <f>(4.23*9.433+7.42*0.603)/$H769</f>
        <v>4.4216669988043051</v>
      </c>
      <c r="K769" s="13">
        <f>(31.24*9.433+56.2*0.603)/$H769</f>
        <v>32.739689119170983</v>
      </c>
      <c r="L769" s="9">
        <f>(1.21*9.433+1*0.603)/$H769</f>
        <v>1.1973824232762056</v>
      </c>
      <c r="M769" s="9">
        <f>(0.97*9.433+1.18*0.603)/$H769</f>
        <v>0.98261757672379435</v>
      </c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9">
        <f t="shared" si="72"/>
        <v>0</v>
      </c>
      <c r="AB769" s="9">
        <f t="shared" si="73"/>
        <v>0.44375850000000006</v>
      </c>
      <c r="AC769" s="10">
        <f t="shared" si="74"/>
        <v>328.57551999999998</v>
      </c>
      <c r="AD769" s="10">
        <f t="shared" si="75"/>
        <v>9.8615499999999994</v>
      </c>
      <c r="AE769" s="9">
        <f t="shared" si="76"/>
        <v>0.12016929999999998</v>
      </c>
      <c r="AF769" s="9">
        <f t="shared" si="77"/>
        <v>0.56392780000000009</v>
      </c>
      <c r="AG769" s="9">
        <f t="shared" si="78"/>
        <v>5.6190494220805105</v>
      </c>
      <c r="AH769" s="11">
        <f t="shared" si="70"/>
        <v>0</v>
      </c>
      <c r="AI769" s="11">
        <f t="shared" si="70"/>
        <v>44.375850000000007</v>
      </c>
      <c r="AJ769" s="11">
        <f t="shared" si="70"/>
        <v>328.57551999999998</v>
      </c>
      <c r="AK769" s="11">
        <f t="shared" si="70"/>
        <v>12.016929999999999</v>
      </c>
      <c r="AL769" s="11">
        <f t="shared" si="70"/>
        <v>9.8615499999999994</v>
      </c>
      <c r="AM769" s="2"/>
      <c r="AN769" s="2"/>
      <c r="AO769" s="2"/>
    </row>
    <row r="770" spans="1:41" x14ac:dyDescent="0.2">
      <c r="A770" s="2" t="s">
        <v>1511</v>
      </c>
      <c r="B770" s="2" t="s">
        <v>1508</v>
      </c>
      <c r="C770" s="21" t="s">
        <v>38</v>
      </c>
      <c r="D770" s="21" t="s">
        <v>39</v>
      </c>
      <c r="E770" s="7" t="s">
        <v>40</v>
      </c>
      <c r="F770" s="2" t="s">
        <v>41</v>
      </c>
      <c r="G770" s="8" t="s">
        <v>44</v>
      </c>
      <c r="H770" s="2">
        <v>1.2</v>
      </c>
      <c r="I770" s="2">
        <v>1.4</v>
      </c>
      <c r="J770" s="2">
        <v>5.6</v>
      </c>
      <c r="K770" s="13"/>
      <c r="L770" s="9"/>
      <c r="M770" s="9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9">
        <f t="shared" si="72"/>
        <v>1.6799999999999999E-2</v>
      </c>
      <c r="AB770" s="9">
        <f t="shared" si="73"/>
        <v>6.7199999999999996E-2</v>
      </c>
      <c r="AC770" s="10">
        <f t="shared" si="74"/>
        <v>0</v>
      </c>
      <c r="AD770" s="10">
        <f t="shared" si="75"/>
        <v>0</v>
      </c>
      <c r="AE770" s="9">
        <f t="shared" si="76"/>
        <v>0</v>
      </c>
      <c r="AF770" s="9">
        <f t="shared" si="77"/>
        <v>8.3999999999999991E-2</v>
      </c>
      <c r="AG770" s="9">
        <f t="shared" si="78"/>
        <v>7</v>
      </c>
      <c r="AH770" s="11">
        <f t="shared" ref="AH770:AL785" si="79">$H770*I770</f>
        <v>1.68</v>
      </c>
      <c r="AI770" s="11">
        <f t="shared" si="79"/>
        <v>6.72</v>
      </c>
      <c r="AJ770" s="11">
        <f t="shared" si="79"/>
        <v>0</v>
      </c>
      <c r="AK770" s="11">
        <f t="shared" si="79"/>
        <v>0</v>
      </c>
      <c r="AL770" s="11">
        <f t="shared" si="79"/>
        <v>0</v>
      </c>
      <c r="AM770" s="2"/>
      <c r="AN770" s="2"/>
      <c r="AO770" s="2"/>
    </row>
    <row r="771" spans="1:41" x14ac:dyDescent="0.2">
      <c r="A771" s="2" t="s">
        <v>1512</v>
      </c>
      <c r="B771" s="2" t="s">
        <v>1508</v>
      </c>
      <c r="C771" s="2" t="s">
        <v>48</v>
      </c>
      <c r="D771" s="2"/>
      <c r="E771" s="2" t="s">
        <v>50</v>
      </c>
      <c r="F771" s="2" t="s">
        <v>1513</v>
      </c>
      <c r="G771" s="2" t="s">
        <v>1514</v>
      </c>
      <c r="H771" s="2">
        <f>0.9+1.8+3.7+10.9</f>
        <v>17.3</v>
      </c>
      <c r="I771" s="2"/>
      <c r="J771" s="13">
        <f>(1.4*0.9+1.4*1.8+1.2*3.7+2.9*10.9)/$H771</f>
        <v>2.3023121387283236</v>
      </c>
      <c r="K771" s="14">
        <f>(31*0.9+30*1.8+26*3.7+24*10.9)/$H771</f>
        <v>25.416184971098268</v>
      </c>
      <c r="L771" s="13">
        <f>(1.9*0.9+1.8*1.8+1.7*3.7+0.4*10.9)/$H771</f>
        <v>0.90173410404624277</v>
      </c>
      <c r="M771" s="13">
        <f>(0.5*0.9+0.5*1.8+0.4*3.7+0.3*10.9)/$H771</f>
        <v>0.35260115606936415</v>
      </c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9">
        <f t="shared" si="72"/>
        <v>0</v>
      </c>
      <c r="AB771" s="9">
        <f t="shared" si="73"/>
        <v>0.39829999999999999</v>
      </c>
      <c r="AC771" s="10">
        <f t="shared" si="74"/>
        <v>439.70000000000005</v>
      </c>
      <c r="AD771" s="10">
        <f t="shared" si="75"/>
        <v>6.1</v>
      </c>
      <c r="AE771" s="9">
        <f t="shared" si="76"/>
        <v>0.156</v>
      </c>
      <c r="AF771" s="9">
        <f t="shared" si="77"/>
        <v>0.55430000000000001</v>
      </c>
      <c r="AG771" s="9">
        <f t="shared" si="78"/>
        <v>3.2040462427745666</v>
      </c>
      <c r="AH771" s="11">
        <f t="shared" si="79"/>
        <v>0</v>
      </c>
      <c r="AI771" s="11">
        <f t="shared" si="79"/>
        <v>39.83</v>
      </c>
      <c r="AJ771" s="11">
        <f t="shared" si="79"/>
        <v>439.70000000000005</v>
      </c>
      <c r="AK771" s="11">
        <f t="shared" si="79"/>
        <v>15.6</v>
      </c>
      <c r="AL771" s="11">
        <f t="shared" si="79"/>
        <v>6.1</v>
      </c>
      <c r="AM771" s="2"/>
      <c r="AN771" s="2"/>
      <c r="AO771" s="2"/>
    </row>
    <row r="772" spans="1:41" x14ac:dyDescent="0.2">
      <c r="A772" s="2" t="s">
        <v>1515</v>
      </c>
      <c r="B772" s="2" t="s">
        <v>1508</v>
      </c>
      <c r="C772" s="2" t="s">
        <v>48</v>
      </c>
      <c r="D772" s="2"/>
      <c r="E772" s="2" t="s">
        <v>50</v>
      </c>
      <c r="F772" s="2" t="s">
        <v>1516</v>
      </c>
      <c r="G772" s="2" t="s">
        <v>106</v>
      </c>
      <c r="H772" s="2">
        <f>25.32+4.32</f>
        <v>29.64</v>
      </c>
      <c r="I772" s="2"/>
      <c r="J772" s="9">
        <f>(4.03*25.32+2.9*4.32)/$H772</f>
        <v>3.8653036437246966</v>
      </c>
      <c r="K772" s="2"/>
      <c r="L772" s="9">
        <f>(0.17*25.32+0.03*4.32)/$H772</f>
        <v>0.14959514170040486</v>
      </c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9">
        <f t="shared" si="72"/>
        <v>0</v>
      </c>
      <c r="AB772" s="9">
        <f t="shared" si="73"/>
        <v>1.1456760000000001</v>
      </c>
      <c r="AC772" s="10">
        <f t="shared" si="74"/>
        <v>0</v>
      </c>
      <c r="AD772" s="10">
        <f t="shared" si="75"/>
        <v>0</v>
      </c>
      <c r="AE772" s="9">
        <f t="shared" si="76"/>
        <v>4.4340000000000004E-2</v>
      </c>
      <c r="AF772" s="9">
        <f t="shared" si="77"/>
        <v>1.1900160000000002</v>
      </c>
      <c r="AG772" s="9">
        <f t="shared" si="78"/>
        <v>4.0148987854251015</v>
      </c>
      <c r="AH772" s="11">
        <f t="shared" si="79"/>
        <v>0</v>
      </c>
      <c r="AI772" s="11">
        <f t="shared" si="79"/>
        <v>114.56760000000001</v>
      </c>
      <c r="AJ772" s="11">
        <f t="shared" si="79"/>
        <v>0</v>
      </c>
      <c r="AK772" s="11">
        <f t="shared" si="79"/>
        <v>4.4340000000000002</v>
      </c>
      <c r="AL772" s="11">
        <f t="shared" si="79"/>
        <v>0</v>
      </c>
      <c r="AM772" s="2"/>
      <c r="AN772" s="2"/>
      <c r="AO772" s="2"/>
    </row>
    <row r="773" spans="1:41" x14ac:dyDescent="0.2">
      <c r="A773" s="2" t="s">
        <v>1517</v>
      </c>
      <c r="B773" s="2" t="s">
        <v>1518</v>
      </c>
      <c r="C773" s="2" t="s">
        <v>48</v>
      </c>
      <c r="D773" s="2"/>
      <c r="E773" s="7" t="s">
        <v>40</v>
      </c>
      <c r="F773" s="2" t="s">
        <v>1519</v>
      </c>
      <c r="G773" s="2" t="s">
        <v>1520</v>
      </c>
      <c r="H773" s="2">
        <v>7.7</v>
      </c>
      <c r="I773" s="13">
        <v>1</v>
      </c>
      <c r="J773" s="2">
        <v>2.6</v>
      </c>
      <c r="K773" s="2"/>
      <c r="L773" s="2">
        <v>1.2</v>
      </c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9">
        <f t="shared" si="72"/>
        <v>7.6999999999999999E-2</v>
      </c>
      <c r="AB773" s="9">
        <f t="shared" si="73"/>
        <v>0.20019999999999999</v>
      </c>
      <c r="AC773" s="10">
        <f t="shared" si="74"/>
        <v>0</v>
      </c>
      <c r="AD773" s="10">
        <f t="shared" si="75"/>
        <v>0</v>
      </c>
      <c r="AE773" s="9">
        <f t="shared" si="76"/>
        <v>9.2399999999999996E-2</v>
      </c>
      <c r="AF773" s="18">
        <f t="shared" si="77"/>
        <v>0.36959999999999998</v>
      </c>
      <c r="AG773" s="9">
        <f t="shared" si="78"/>
        <v>4.8</v>
      </c>
      <c r="AH773" s="11">
        <f t="shared" si="79"/>
        <v>7.7</v>
      </c>
      <c r="AI773" s="11">
        <f t="shared" si="79"/>
        <v>20.02</v>
      </c>
      <c r="AJ773" s="11">
        <f t="shared" si="79"/>
        <v>0</v>
      </c>
      <c r="AK773" s="11">
        <f t="shared" si="79"/>
        <v>9.24</v>
      </c>
      <c r="AL773" s="11">
        <f t="shared" si="79"/>
        <v>0</v>
      </c>
      <c r="AM773" s="2"/>
      <c r="AN773" s="2"/>
      <c r="AO773" s="2"/>
    </row>
    <row r="774" spans="1:41" x14ac:dyDescent="0.2">
      <c r="A774" s="2" t="s">
        <v>1521</v>
      </c>
      <c r="B774" s="2" t="s">
        <v>1518</v>
      </c>
      <c r="C774" s="2" t="s">
        <v>54</v>
      </c>
      <c r="D774" s="2"/>
      <c r="E774" s="7" t="s">
        <v>40</v>
      </c>
      <c r="F774" s="2" t="s">
        <v>1522</v>
      </c>
      <c r="G774" s="2" t="s">
        <v>429</v>
      </c>
      <c r="H774" s="2">
        <v>6.5</v>
      </c>
      <c r="I774" s="2">
        <v>4.07</v>
      </c>
      <c r="J774" s="9">
        <v>2.12</v>
      </c>
      <c r="K774" s="2">
        <v>130</v>
      </c>
      <c r="L774" s="9">
        <v>0.26</v>
      </c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9">
        <f t="shared" si="72"/>
        <v>0.26455000000000001</v>
      </c>
      <c r="AB774" s="9">
        <f t="shared" si="73"/>
        <v>0.13780000000000001</v>
      </c>
      <c r="AC774" s="10">
        <f t="shared" si="74"/>
        <v>845</v>
      </c>
      <c r="AD774" s="10">
        <f t="shared" si="75"/>
        <v>0</v>
      </c>
      <c r="AE774" s="9">
        <f t="shared" si="76"/>
        <v>1.6899999999999998E-2</v>
      </c>
      <c r="AF774" s="18">
        <f t="shared" si="77"/>
        <v>0.41925000000000001</v>
      </c>
      <c r="AG774" s="9">
        <f t="shared" si="78"/>
        <v>6.45</v>
      </c>
      <c r="AH774" s="11">
        <f t="shared" si="79"/>
        <v>26.455000000000002</v>
      </c>
      <c r="AI774" s="11">
        <f t="shared" si="79"/>
        <v>13.780000000000001</v>
      </c>
      <c r="AJ774" s="11">
        <f t="shared" si="79"/>
        <v>845</v>
      </c>
      <c r="AK774" s="11">
        <f t="shared" si="79"/>
        <v>1.69</v>
      </c>
      <c r="AL774" s="11">
        <f t="shared" si="79"/>
        <v>0</v>
      </c>
      <c r="AM774" s="2"/>
      <c r="AN774" s="2"/>
      <c r="AO774" s="2"/>
    </row>
    <row r="775" spans="1:41" x14ac:dyDescent="0.2">
      <c r="A775" s="2" t="s">
        <v>1523</v>
      </c>
      <c r="B775" s="2" t="s">
        <v>1518</v>
      </c>
      <c r="C775" s="2" t="s">
        <v>38</v>
      </c>
      <c r="D775" s="2" t="s">
        <v>39</v>
      </c>
      <c r="E775" s="7" t="s">
        <v>40</v>
      </c>
      <c r="F775" s="2" t="s">
        <v>41</v>
      </c>
      <c r="G775" s="2" t="s">
        <v>1524</v>
      </c>
      <c r="H775" s="2">
        <v>4</v>
      </c>
      <c r="I775" s="13">
        <f>8/6</f>
        <v>1.3333333333333333</v>
      </c>
      <c r="J775" s="13">
        <f>8*(5/6)</f>
        <v>6.666666666666667</v>
      </c>
      <c r="K775" s="2"/>
      <c r="L775" s="2"/>
      <c r="M775" s="2">
        <v>3.5</v>
      </c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9">
        <f t="shared" si="72"/>
        <v>5.333333333333333E-2</v>
      </c>
      <c r="AB775" s="9">
        <f t="shared" si="73"/>
        <v>0.26666666666666666</v>
      </c>
      <c r="AC775" s="10">
        <f t="shared" si="74"/>
        <v>0</v>
      </c>
      <c r="AD775" s="10">
        <f t="shared" si="75"/>
        <v>14</v>
      </c>
      <c r="AE775" s="9">
        <f t="shared" si="76"/>
        <v>0</v>
      </c>
      <c r="AF775" s="18">
        <f t="shared" si="77"/>
        <v>0.32</v>
      </c>
      <c r="AG775" s="9">
        <f t="shared" si="78"/>
        <v>8</v>
      </c>
      <c r="AH775" s="11">
        <f t="shared" si="79"/>
        <v>5.333333333333333</v>
      </c>
      <c r="AI775" s="11">
        <f t="shared" si="79"/>
        <v>26.666666666666668</v>
      </c>
      <c r="AJ775" s="11">
        <f t="shared" si="79"/>
        <v>0</v>
      </c>
      <c r="AK775" s="11">
        <f t="shared" si="79"/>
        <v>0</v>
      </c>
      <c r="AL775" s="11">
        <f t="shared" si="79"/>
        <v>14</v>
      </c>
      <c r="AM775" s="2"/>
      <c r="AN775" s="2"/>
      <c r="AO775" s="2"/>
    </row>
    <row r="776" spans="1:41" x14ac:dyDescent="0.2">
      <c r="A776" s="2" t="s">
        <v>1525</v>
      </c>
      <c r="B776" s="2" t="s">
        <v>1526</v>
      </c>
      <c r="C776" s="2" t="s">
        <v>38</v>
      </c>
      <c r="D776" s="2" t="s">
        <v>62</v>
      </c>
      <c r="E776" s="2" t="s">
        <v>50</v>
      </c>
      <c r="F776" s="2" t="s">
        <v>1113</v>
      </c>
      <c r="G776" s="2" t="s">
        <v>1014</v>
      </c>
      <c r="H776" s="2">
        <f>14.2+11.7</f>
        <v>25.9</v>
      </c>
      <c r="I776" s="9">
        <f>(2.51*14.2+2.84*11.7)/$H776</f>
        <v>2.6590733590733588</v>
      </c>
      <c r="J776" s="9">
        <f>(2.62*14.2+2.63*11.7)/$H776</f>
        <v>2.6245173745173744</v>
      </c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9">
        <f t="shared" si="72"/>
        <v>0.68869999999999987</v>
      </c>
      <c r="AB776" s="9">
        <f t="shared" si="73"/>
        <v>0.67974999999999997</v>
      </c>
      <c r="AC776" s="10">
        <f t="shared" si="74"/>
        <v>0</v>
      </c>
      <c r="AD776" s="10">
        <f t="shared" si="75"/>
        <v>0</v>
      </c>
      <c r="AE776" s="9">
        <f t="shared" si="76"/>
        <v>0</v>
      </c>
      <c r="AF776" s="9">
        <f t="shared" si="77"/>
        <v>1.3684499999999997</v>
      </c>
      <c r="AG776" s="9">
        <f t="shared" si="78"/>
        <v>5.2835907335907333</v>
      </c>
      <c r="AH776" s="11">
        <f t="shared" si="79"/>
        <v>68.86999999999999</v>
      </c>
      <c r="AI776" s="11">
        <f t="shared" si="79"/>
        <v>67.974999999999994</v>
      </c>
      <c r="AJ776" s="11">
        <f t="shared" si="79"/>
        <v>0</v>
      </c>
      <c r="AK776" s="11">
        <f t="shared" si="79"/>
        <v>0</v>
      </c>
      <c r="AL776" s="11">
        <f t="shared" si="79"/>
        <v>0</v>
      </c>
      <c r="AM776" s="2"/>
      <c r="AN776" s="2"/>
      <c r="AO776" s="2"/>
    </row>
    <row r="777" spans="1:41" x14ac:dyDescent="0.2">
      <c r="A777" s="2" t="s">
        <v>1527</v>
      </c>
      <c r="B777" s="2" t="s">
        <v>1526</v>
      </c>
      <c r="C777" s="2" t="s">
        <v>38</v>
      </c>
      <c r="D777" s="2" t="s">
        <v>62</v>
      </c>
      <c r="E777" s="2" t="s">
        <v>50</v>
      </c>
      <c r="F777" s="2" t="s">
        <v>1113</v>
      </c>
      <c r="G777" s="2" t="s">
        <v>1014</v>
      </c>
      <c r="H777" s="2">
        <f>154.6+59.7</f>
        <v>214.3</v>
      </c>
      <c r="I777" s="9">
        <f>(0.53*154.6+0.22*59.7)/$H777</f>
        <v>0.44363975734951</v>
      </c>
      <c r="J777" s="9">
        <f>(6.23*154.6+7.8*59.7)/$H777</f>
        <v>6.6673728418105451</v>
      </c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9">
        <f t="shared" si="72"/>
        <v>0.95072000000000001</v>
      </c>
      <c r="AB777" s="9">
        <f t="shared" si="73"/>
        <v>14.288180000000001</v>
      </c>
      <c r="AC777" s="10">
        <f t="shared" si="74"/>
        <v>0</v>
      </c>
      <c r="AD777" s="10">
        <f t="shared" si="75"/>
        <v>0</v>
      </c>
      <c r="AE777" s="9">
        <f t="shared" si="76"/>
        <v>0</v>
      </c>
      <c r="AF777" s="9">
        <f t="shared" si="77"/>
        <v>15.238900000000001</v>
      </c>
      <c r="AG777" s="9">
        <f t="shared" si="78"/>
        <v>7.1110125991600555</v>
      </c>
      <c r="AH777" s="11">
        <f t="shared" si="79"/>
        <v>95.072000000000003</v>
      </c>
      <c r="AI777" s="11">
        <f t="shared" si="79"/>
        <v>1428.818</v>
      </c>
      <c r="AJ777" s="11">
        <f t="shared" si="79"/>
        <v>0</v>
      </c>
      <c r="AK777" s="11">
        <f t="shared" si="79"/>
        <v>0</v>
      </c>
      <c r="AL777" s="11">
        <f t="shared" si="79"/>
        <v>0</v>
      </c>
      <c r="AM777" s="2"/>
      <c r="AN777" s="2"/>
      <c r="AO777" s="2"/>
    </row>
    <row r="778" spans="1:41" x14ac:dyDescent="0.2">
      <c r="A778" s="2" t="s">
        <v>1528</v>
      </c>
      <c r="B778" s="2" t="s">
        <v>1526</v>
      </c>
      <c r="C778" s="2" t="s">
        <v>38</v>
      </c>
      <c r="D778" s="2"/>
      <c r="E778" s="2" t="s">
        <v>50</v>
      </c>
      <c r="F778" s="2" t="s">
        <v>1113</v>
      </c>
      <c r="G778" s="2" t="s">
        <v>1014</v>
      </c>
      <c r="H778" s="13">
        <f>18.8+24.4+2.8</f>
        <v>46</v>
      </c>
      <c r="I778" s="9">
        <f>(2.88*18.8+2.61*24.4+2.53*2.8)/$H778</f>
        <v>2.7154782608695651</v>
      </c>
      <c r="J778" s="9">
        <f>(0.56*18.8+0.53*24.4+0.5*2.8)/$H778</f>
        <v>0.5404347826086956</v>
      </c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9">
        <f t="shared" si="72"/>
        <v>1.24912</v>
      </c>
      <c r="AB778" s="9">
        <f t="shared" si="73"/>
        <v>0.24859999999999996</v>
      </c>
      <c r="AC778" s="10">
        <f t="shared" si="74"/>
        <v>0</v>
      </c>
      <c r="AD778" s="10">
        <f t="shared" si="75"/>
        <v>0</v>
      </c>
      <c r="AE778" s="9">
        <f t="shared" si="76"/>
        <v>0</v>
      </c>
      <c r="AF778" s="9">
        <f t="shared" si="77"/>
        <v>1.4977199999999999</v>
      </c>
      <c r="AG778" s="9">
        <f t="shared" si="78"/>
        <v>3.2559130434782606</v>
      </c>
      <c r="AH778" s="11">
        <f t="shared" si="79"/>
        <v>124.91199999999999</v>
      </c>
      <c r="AI778" s="11">
        <f t="shared" si="79"/>
        <v>24.859999999999996</v>
      </c>
      <c r="AJ778" s="11">
        <f t="shared" si="79"/>
        <v>0</v>
      </c>
      <c r="AK778" s="11">
        <f t="shared" si="79"/>
        <v>0</v>
      </c>
      <c r="AL778" s="11">
        <f t="shared" si="79"/>
        <v>0</v>
      </c>
      <c r="AM778" s="2"/>
      <c r="AN778" s="2"/>
      <c r="AO778" s="2"/>
    </row>
    <row r="779" spans="1:41" x14ac:dyDescent="0.2">
      <c r="A779" s="2" t="s">
        <v>1529</v>
      </c>
      <c r="B779" s="2" t="s">
        <v>1526</v>
      </c>
      <c r="C779" s="2" t="s">
        <v>38</v>
      </c>
      <c r="D779" s="2" t="s">
        <v>39</v>
      </c>
      <c r="E779" s="7" t="s">
        <v>40</v>
      </c>
      <c r="F779" s="2" t="s">
        <v>41</v>
      </c>
      <c r="G779" s="8" t="s">
        <v>1530</v>
      </c>
      <c r="H779" s="2">
        <v>0.63</v>
      </c>
      <c r="I779" s="2">
        <v>0.18</v>
      </c>
      <c r="J779" s="2">
        <v>3.3</v>
      </c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9">
        <f t="shared" si="72"/>
        <v>1.134E-3</v>
      </c>
      <c r="AB779" s="9">
        <f t="shared" si="73"/>
        <v>2.0789999999999996E-2</v>
      </c>
      <c r="AC779" s="10">
        <f t="shared" si="74"/>
        <v>0</v>
      </c>
      <c r="AD779" s="10">
        <f t="shared" si="75"/>
        <v>0</v>
      </c>
      <c r="AE779" s="9">
        <f t="shared" si="76"/>
        <v>0</v>
      </c>
      <c r="AF779" s="9">
        <f t="shared" si="77"/>
        <v>2.1923999999999996E-2</v>
      </c>
      <c r="AG779" s="9">
        <f t="shared" si="78"/>
        <v>3.48</v>
      </c>
      <c r="AH779" s="11">
        <f t="shared" si="79"/>
        <v>0.1134</v>
      </c>
      <c r="AI779" s="11">
        <f t="shared" si="79"/>
        <v>2.0789999999999997</v>
      </c>
      <c r="AJ779" s="11">
        <f t="shared" si="79"/>
        <v>0</v>
      </c>
      <c r="AK779" s="11">
        <f t="shared" si="79"/>
        <v>0</v>
      </c>
      <c r="AL779" s="11">
        <f t="shared" si="79"/>
        <v>0</v>
      </c>
      <c r="AM779" s="2"/>
      <c r="AN779" s="2"/>
      <c r="AO779" s="2"/>
    </row>
    <row r="780" spans="1:41" x14ac:dyDescent="0.2">
      <c r="A780" s="2" t="s">
        <v>1531</v>
      </c>
      <c r="B780" s="2" t="s">
        <v>1526</v>
      </c>
      <c r="C780" s="2" t="s">
        <v>38</v>
      </c>
      <c r="D780" s="2" t="s">
        <v>39</v>
      </c>
      <c r="E780" s="2" t="s">
        <v>50</v>
      </c>
      <c r="F780" s="2" t="s">
        <v>1532</v>
      </c>
      <c r="G780" s="2" t="s">
        <v>1533</v>
      </c>
      <c r="H780" s="9">
        <v>347.76773900000001</v>
      </c>
      <c r="I780" s="2">
        <v>0.09</v>
      </c>
      <c r="J780" s="2">
        <v>0.37</v>
      </c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9">
        <f t="shared" si="72"/>
        <v>0.31299096509999996</v>
      </c>
      <c r="AB780" s="9">
        <f t="shared" si="73"/>
        <v>1.2867406342999999</v>
      </c>
      <c r="AC780" s="10">
        <f t="shared" si="74"/>
        <v>0</v>
      </c>
      <c r="AD780" s="10">
        <f t="shared" si="75"/>
        <v>0</v>
      </c>
      <c r="AE780" s="9">
        <f t="shared" si="76"/>
        <v>0</v>
      </c>
      <c r="AF780" s="9">
        <f t="shared" si="77"/>
        <v>1.5997315993999999</v>
      </c>
      <c r="AG780" s="9">
        <f t="shared" si="78"/>
        <v>0.45999999999999996</v>
      </c>
      <c r="AH780" s="11">
        <f t="shared" si="79"/>
        <v>31.299096509999998</v>
      </c>
      <c r="AI780" s="11">
        <f t="shared" si="79"/>
        <v>128.67406342999999</v>
      </c>
      <c r="AJ780" s="11">
        <f t="shared" si="79"/>
        <v>0</v>
      </c>
      <c r="AK780" s="11">
        <f t="shared" si="79"/>
        <v>0</v>
      </c>
      <c r="AL780" s="11">
        <f t="shared" si="79"/>
        <v>0</v>
      </c>
      <c r="AM780" s="2"/>
      <c r="AN780" s="2"/>
      <c r="AO780" s="2"/>
    </row>
    <row r="781" spans="1:41" x14ac:dyDescent="0.2">
      <c r="A781" s="2" t="s">
        <v>1534</v>
      </c>
      <c r="B781" s="2" t="s">
        <v>1526</v>
      </c>
      <c r="C781" s="2" t="s">
        <v>48</v>
      </c>
      <c r="D781" s="2"/>
      <c r="E781" s="2" t="s">
        <v>50</v>
      </c>
      <c r="F781" s="2" t="s">
        <v>1535</v>
      </c>
      <c r="G781" s="2" t="s">
        <v>1419</v>
      </c>
      <c r="H781" s="2">
        <v>14.91</v>
      </c>
      <c r="I781" s="2">
        <v>0.57999999999999996</v>
      </c>
      <c r="J781" s="2">
        <v>3.04</v>
      </c>
      <c r="K781" s="2">
        <v>18.79</v>
      </c>
      <c r="L781" s="2">
        <v>0.45</v>
      </c>
      <c r="M781" s="2">
        <v>0.03</v>
      </c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9">
        <f t="shared" si="72"/>
        <v>8.6477999999999999E-2</v>
      </c>
      <c r="AB781" s="9">
        <f t="shared" si="73"/>
        <v>0.453264</v>
      </c>
      <c r="AC781" s="10">
        <f t="shared" si="74"/>
        <v>280.15890000000002</v>
      </c>
      <c r="AD781" s="10">
        <f t="shared" si="75"/>
        <v>0.44729999999999998</v>
      </c>
      <c r="AE781" s="9">
        <f t="shared" si="76"/>
        <v>6.7095000000000002E-2</v>
      </c>
      <c r="AF781" s="9">
        <f t="shared" si="77"/>
        <v>0.60683699999999996</v>
      </c>
      <c r="AG781" s="9">
        <f t="shared" si="78"/>
        <v>4.07</v>
      </c>
      <c r="AH781" s="11">
        <f t="shared" si="79"/>
        <v>8.6478000000000002</v>
      </c>
      <c r="AI781" s="11">
        <f t="shared" si="79"/>
        <v>45.3264</v>
      </c>
      <c r="AJ781" s="11">
        <f t="shared" si="79"/>
        <v>280.15890000000002</v>
      </c>
      <c r="AK781" s="11">
        <f t="shared" si="79"/>
        <v>6.7095000000000002</v>
      </c>
      <c r="AL781" s="11">
        <f t="shared" si="79"/>
        <v>0.44729999999999998</v>
      </c>
      <c r="AM781" s="2"/>
      <c r="AN781" s="2"/>
      <c r="AO781" s="2"/>
    </row>
    <row r="782" spans="1:41" x14ac:dyDescent="0.2">
      <c r="A782" s="2" t="s">
        <v>1536</v>
      </c>
      <c r="B782" s="2" t="s">
        <v>1526</v>
      </c>
      <c r="C782" s="2" t="s">
        <v>48</v>
      </c>
      <c r="D782" s="2"/>
      <c r="E782" s="2" t="s">
        <v>50</v>
      </c>
      <c r="F782" s="2" t="s">
        <v>1535</v>
      </c>
      <c r="G782" s="2" t="s">
        <v>1419</v>
      </c>
      <c r="H782" s="2">
        <v>1.1299999999999999</v>
      </c>
      <c r="I782" s="2">
        <v>3.95</v>
      </c>
      <c r="J782" s="2">
        <v>0.64</v>
      </c>
      <c r="K782" s="2">
        <v>38</v>
      </c>
      <c r="L782" s="2">
        <v>0.01</v>
      </c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9">
        <f t="shared" si="72"/>
        <v>4.4635000000000001E-2</v>
      </c>
      <c r="AB782" s="9">
        <f t="shared" si="73"/>
        <v>7.2319999999999997E-3</v>
      </c>
      <c r="AC782" s="10">
        <f t="shared" si="74"/>
        <v>42.94</v>
      </c>
      <c r="AD782" s="10">
        <f t="shared" si="75"/>
        <v>0</v>
      </c>
      <c r="AE782" s="9">
        <f t="shared" si="76"/>
        <v>1.13E-4</v>
      </c>
      <c r="AF782" s="9">
        <f t="shared" si="77"/>
        <v>5.1980000000000005E-2</v>
      </c>
      <c r="AG782" s="9">
        <f t="shared" si="78"/>
        <v>4.5999999999999996</v>
      </c>
      <c r="AH782" s="11">
        <f t="shared" si="79"/>
        <v>4.4634999999999998</v>
      </c>
      <c r="AI782" s="11">
        <f t="shared" si="79"/>
        <v>0.72319999999999995</v>
      </c>
      <c r="AJ782" s="11">
        <f t="shared" si="79"/>
        <v>42.94</v>
      </c>
      <c r="AK782" s="11">
        <f t="shared" si="79"/>
        <v>1.1299999999999999E-2</v>
      </c>
      <c r="AL782" s="11">
        <f t="shared" si="79"/>
        <v>0</v>
      </c>
      <c r="AM782" s="2"/>
      <c r="AN782" s="2"/>
      <c r="AO782" s="2"/>
    </row>
    <row r="783" spans="1:41" x14ac:dyDescent="0.2">
      <c r="A783" s="2" t="s">
        <v>1537</v>
      </c>
      <c r="B783" s="2" t="s">
        <v>1526</v>
      </c>
      <c r="C783" s="2" t="s">
        <v>48</v>
      </c>
      <c r="D783" s="2"/>
      <c r="E783" s="2" t="s">
        <v>50</v>
      </c>
      <c r="F783" s="2" t="s">
        <v>1535</v>
      </c>
      <c r="G783" s="2" t="s">
        <v>1419</v>
      </c>
      <c r="H783" s="2">
        <v>26.01</v>
      </c>
      <c r="I783" s="2">
        <v>0.49</v>
      </c>
      <c r="J783" s="2">
        <v>1.76</v>
      </c>
      <c r="K783" s="2">
        <v>21.7</v>
      </c>
      <c r="L783" s="2">
        <v>0.64</v>
      </c>
      <c r="M783" s="2">
        <v>0.84</v>
      </c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9">
        <f t="shared" si="72"/>
        <v>0.12744900000000001</v>
      </c>
      <c r="AB783" s="9">
        <f t="shared" si="73"/>
        <v>0.45777600000000002</v>
      </c>
      <c r="AC783" s="10">
        <f t="shared" si="74"/>
        <v>564.41700000000003</v>
      </c>
      <c r="AD783" s="10">
        <f t="shared" si="75"/>
        <v>21.848400000000002</v>
      </c>
      <c r="AE783" s="9">
        <f t="shared" si="76"/>
        <v>0.166464</v>
      </c>
      <c r="AF783" s="9">
        <f t="shared" si="77"/>
        <v>0.75168900000000005</v>
      </c>
      <c r="AG783" s="9">
        <f t="shared" si="78"/>
        <v>2.89</v>
      </c>
      <c r="AH783" s="11">
        <f t="shared" si="79"/>
        <v>12.744900000000001</v>
      </c>
      <c r="AI783" s="11">
        <f t="shared" si="79"/>
        <v>45.7776</v>
      </c>
      <c r="AJ783" s="11">
        <f t="shared" si="79"/>
        <v>564.41700000000003</v>
      </c>
      <c r="AK783" s="11">
        <f t="shared" si="79"/>
        <v>16.6464</v>
      </c>
      <c r="AL783" s="11">
        <f t="shared" si="79"/>
        <v>21.848400000000002</v>
      </c>
      <c r="AM783" s="2"/>
      <c r="AN783" s="2"/>
      <c r="AO783" s="2"/>
    </row>
    <row r="784" spans="1:41" x14ac:dyDescent="0.2">
      <c r="A784" s="2" t="s">
        <v>1538</v>
      </c>
      <c r="B784" s="2" t="s">
        <v>1539</v>
      </c>
      <c r="C784" s="2" t="s">
        <v>157</v>
      </c>
      <c r="D784" s="2"/>
      <c r="E784" s="7" t="s">
        <v>40</v>
      </c>
      <c r="F784" s="2" t="s">
        <v>1540</v>
      </c>
      <c r="G784" s="2" t="s">
        <v>1541</v>
      </c>
      <c r="H784" s="2">
        <f>3.6+3.6</f>
        <v>7.2</v>
      </c>
      <c r="I784" s="2">
        <f>(3.5*3.6+3.4*3.6)/$H784</f>
        <v>3.4499999999999997</v>
      </c>
      <c r="J784" s="2">
        <f>(4.8*3.6+4.8*3.6)/$H784</f>
        <v>4.8</v>
      </c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9">
        <f t="shared" si="72"/>
        <v>0.24840000000000001</v>
      </c>
      <c r="AB784" s="9">
        <f t="shared" si="73"/>
        <v>0.34560000000000002</v>
      </c>
      <c r="AC784" s="10">
        <f t="shared" si="74"/>
        <v>0</v>
      </c>
      <c r="AD784" s="10">
        <f t="shared" si="75"/>
        <v>0</v>
      </c>
      <c r="AE784" s="9">
        <f t="shared" si="76"/>
        <v>0</v>
      </c>
      <c r="AF784" s="9">
        <f t="shared" si="77"/>
        <v>0.59400000000000008</v>
      </c>
      <c r="AG784" s="9">
        <f t="shared" si="78"/>
        <v>8.25</v>
      </c>
      <c r="AH784" s="11">
        <f t="shared" si="79"/>
        <v>24.84</v>
      </c>
      <c r="AI784" s="11">
        <f t="shared" si="79"/>
        <v>34.56</v>
      </c>
      <c r="AJ784" s="11">
        <f t="shared" si="79"/>
        <v>0</v>
      </c>
      <c r="AK784" s="11">
        <f t="shared" si="79"/>
        <v>0</v>
      </c>
      <c r="AL784" s="11">
        <f t="shared" si="79"/>
        <v>0</v>
      </c>
      <c r="AM784" s="2"/>
      <c r="AN784" s="2"/>
      <c r="AO784" s="2"/>
    </row>
    <row r="785" spans="1:41" x14ac:dyDescent="0.2">
      <c r="A785" s="2" t="s">
        <v>1542</v>
      </c>
      <c r="B785" s="2" t="s">
        <v>1543</v>
      </c>
      <c r="C785" s="2" t="s">
        <v>48</v>
      </c>
      <c r="D785" s="2"/>
      <c r="E785" s="2" t="s">
        <v>50</v>
      </c>
      <c r="F785" s="2" t="s">
        <v>1544</v>
      </c>
      <c r="G785" s="2" t="s">
        <v>1545</v>
      </c>
      <c r="H785" s="2">
        <f>5.39+7.13+5.4+6.76+0.93+1.89+0.87+1.94+1.34+6.25+0.22</f>
        <v>38.120000000000005</v>
      </c>
      <c r="I785" s="13">
        <f>(1.8*5.39+2.3*7.13+0.2*5.4+0.3*6.76+0.1*0.93+0.1*1.89+2.63*0.87+1.31*1.94+0.08*1.34+0.5*6.25+0.02*0.22)/$H785</f>
        <v>0.98523347324239208</v>
      </c>
      <c r="J785" s="13">
        <f>(6.7*5.39+7.8*7.13+0.9*5.4+1.1*6.76+0.3*0.93+0.1*1.89+10.33*0.87+4*1.94+0.61*1.34+1.51*6.25+0.05*0.22)/$H785</f>
        <v>3.4497376705141654</v>
      </c>
      <c r="K785" s="13">
        <f>(56.3*5.39+80.1*7.13+23*5.4+32.1*6.76+9.4*0.93+6.1*1.89+111.2*0.87+64.7*1.94+23*1.34+37.7*6.25+4.6*0.22)/$H785</f>
        <v>45.271668415529895</v>
      </c>
      <c r="L785" s="13">
        <f>(0.6*5.39+1.3*7.13+1.9*5.4+2.4*6.76+2*0.93+1.7*1.89+1.24*0.87+1.64*1.94+3.52*1.34+1.99*6.25+1.38*0.22)/$H785</f>
        <v>1.7255587618048263</v>
      </c>
      <c r="M785" s="13">
        <f>(0.8*5.39+0.8*7.13+0.4*5.4+0.5*6.76+0.1*0.93+0.1*1.89+0.88*0.87+0.56*1.94+0.44*1.34+0.67*6.25+0.03*0.22)/$H785</f>
        <v>0.5895514165792235</v>
      </c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9">
        <f t="shared" si="72"/>
        <v>0.37557099999999993</v>
      </c>
      <c r="AB785" s="9">
        <f t="shared" si="73"/>
        <v>1.31504</v>
      </c>
      <c r="AC785" s="10">
        <f t="shared" si="74"/>
        <v>1725.7559999999999</v>
      </c>
      <c r="AD785" s="10">
        <f t="shared" si="75"/>
        <v>22.473700000000001</v>
      </c>
      <c r="AE785" s="9">
        <f t="shared" si="76"/>
        <v>0.6577829999999999</v>
      </c>
      <c r="AF785" s="9">
        <f t="shared" si="77"/>
        <v>2.3483939999999999</v>
      </c>
      <c r="AG785" s="9">
        <f t="shared" si="78"/>
        <v>6.1605299055613845</v>
      </c>
      <c r="AH785" s="11">
        <f t="shared" si="79"/>
        <v>37.557099999999991</v>
      </c>
      <c r="AI785" s="11">
        <f t="shared" si="79"/>
        <v>131.50399999999999</v>
      </c>
      <c r="AJ785" s="11">
        <f t="shared" si="79"/>
        <v>1725.7559999999999</v>
      </c>
      <c r="AK785" s="11">
        <f t="shared" si="79"/>
        <v>65.778299999999987</v>
      </c>
      <c r="AL785" s="11">
        <f t="shared" si="79"/>
        <v>22.473700000000001</v>
      </c>
      <c r="AM785" s="2"/>
      <c r="AN785" s="2"/>
      <c r="AO785" s="2"/>
    </row>
    <row r="786" spans="1:41" x14ac:dyDescent="0.2">
      <c r="A786" s="2" t="s">
        <v>1546</v>
      </c>
      <c r="B786" s="2" t="s">
        <v>1543</v>
      </c>
      <c r="C786" s="2" t="s">
        <v>48</v>
      </c>
      <c r="D786" s="2"/>
      <c r="E786" s="2" t="s">
        <v>50</v>
      </c>
      <c r="F786" s="2" t="s">
        <v>963</v>
      </c>
      <c r="G786" s="2" t="s">
        <v>71</v>
      </c>
      <c r="H786" s="2">
        <f>1.401+1.076+38.231</f>
        <v>40.707999999999998</v>
      </c>
      <c r="I786" s="9">
        <f>(4.82*1.401+2.1*1.076+1.29*38.231)/$H786</f>
        <v>1.4328979561756903</v>
      </c>
      <c r="J786" s="9">
        <f>(0*1.401+0*1.076+2.61*38.231)/$H786</f>
        <v>2.4511867446202222</v>
      </c>
      <c r="K786" s="13">
        <f>(104*1.401+39*1.076+27*38.231)/$H786</f>
        <v>29.967205463299603</v>
      </c>
      <c r="L786" s="9">
        <f>(0*1.401+0*1.076+1.05*38.231)/$H786</f>
        <v>0.9861096099046871</v>
      </c>
      <c r="M786" s="9">
        <f>(3.25*1.401+2.3*1.076+0*38.231)/$H786</f>
        <v>0.17264542596049917</v>
      </c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9">
        <f t="shared" si="72"/>
        <v>0.58330409999999999</v>
      </c>
      <c r="AB786" s="9">
        <f t="shared" si="73"/>
        <v>0.99782910000000002</v>
      </c>
      <c r="AC786" s="10">
        <f t="shared" si="74"/>
        <v>1219.9050000000002</v>
      </c>
      <c r="AD786" s="10">
        <f t="shared" si="75"/>
        <v>7.0280500000000004</v>
      </c>
      <c r="AE786" s="9">
        <f t="shared" si="76"/>
        <v>0.40142549999999999</v>
      </c>
      <c r="AF786" s="9">
        <f t="shared" si="77"/>
        <v>1.9825587</v>
      </c>
      <c r="AG786" s="9">
        <f t="shared" si="78"/>
        <v>4.8701943107005992</v>
      </c>
      <c r="AH786" s="11">
        <f t="shared" ref="AH786:AL801" si="80">$H786*I786</f>
        <v>58.330410000000001</v>
      </c>
      <c r="AI786" s="11">
        <f t="shared" si="80"/>
        <v>99.782910000000001</v>
      </c>
      <c r="AJ786" s="11">
        <f t="shared" si="80"/>
        <v>1219.9050000000002</v>
      </c>
      <c r="AK786" s="11">
        <f t="shared" si="80"/>
        <v>40.14255</v>
      </c>
      <c r="AL786" s="11">
        <f t="shared" si="80"/>
        <v>7.0280500000000004</v>
      </c>
      <c r="AM786" s="2"/>
      <c r="AN786" s="2"/>
      <c r="AO786" s="2"/>
    </row>
    <row r="787" spans="1:41" x14ac:dyDescent="0.2">
      <c r="A787" s="2" t="s">
        <v>1547</v>
      </c>
      <c r="B787" s="2" t="s">
        <v>1543</v>
      </c>
      <c r="C787" s="2" t="s">
        <v>48</v>
      </c>
      <c r="D787" s="2"/>
      <c r="E787" s="2" t="s">
        <v>50</v>
      </c>
      <c r="F787" s="2" t="s">
        <v>1548</v>
      </c>
      <c r="G787" s="2" t="s">
        <v>432</v>
      </c>
      <c r="H787" s="2">
        <v>30.35</v>
      </c>
      <c r="I787" s="2">
        <v>0.67</v>
      </c>
      <c r="J787" s="2">
        <v>2.35</v>
      </c>
      <c r="K787" s="13">
        <v>46.56</v>
      </c>
      <c r="L787" s="2">
        <v>0.67</v>
      </c>
      <c r="M787" s="2">
        <v>2.31</v>
      </c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9">
        <f t="shared" si="72"/>
        <v>0.20334500000000003</v>
      </c>
      <c r="AB787" s="9">
        <f t="shared" si="73"/>
        <v>0.713225</v>
      </c>
      <c r="AC787" s="10">
        <f t="shared" si="74"/>
        <v>1413.0960000000002</v>
      </c>
      <c r="AD787" s="10">
        <f t="shared" si="75"/>
        <v>70.108500000000006</v>
      </c>
      <c r="AE787" s="9">
        <f t="shared" si="76"/>
        <v>0.20334500000000003</v>
      </c>
      <c r="AF787" s="9">
        <f t="shared" si="77"/>
        <v>1.119915</v>
      </c>
      <c r="AG787" s="9">
        <f t="shared" si="78"/>
        <v>3.69</v>
      </c>
      <c r="AH787" s="11">
        <f t="shared" si="80"/>
        <v>20.334500000000002</v>
      </c>
      <c r="AI787" s="11">
        <f t="shared" si="80"/>
        <v>71.322500000000005</v>
      </c>
      <c r="AJ787" s="11">
        <f t="shared" si="80"/>
        <v>1413.0960000000002</v>
      </c>
      <c r="AK787" s="11">
        <f t="shared" si="80"/>
        <v>20.334500000000002</v>
      </c>
      <c r="AL787" s="11">
        <f t="shared" si="80"/>
        <v>70.108500000000006</v>
      </c>
      <c r="AM787" s="2"/>
      <c r="AN787" s="2"/>
      <c r="AO787" s="2"/>
    </row>
    <row r="788" spans="1:41" x14ac:dyDescent="0.2">
      <c r="A788" s="2" t="s">
        <v>1549</v>
      </c>
      <c r="B788" s="2" t="s">
        <v>1543</v>
      </c>
      <c r="C788" s="2" t="s">
        <v>48</v>
      </c>
      <c r="D788" s="2"/>
      <c r="E788" s="2" t="s">
        <v>50</v>
      </c>
      <c r="F788" s="2" t="s">
        <v>1550</v>
      </c>
      <c r="G788" s="2" t="s">
        <v>1551</v>
      </c>
      <c r="H788" s="13">
        <v>134.082009</v>
      </c>
      <c r="I788" s="2">
        <v>0.45</v>
      </c>
      <c r="J788" s="9">
        <v>1.1000000000000001</v>
      </c>
      <c r="K788" s="2">
        <v>26.8</v>
      </c>
      <c r="L788" s="2">
        <v>0.54</v>
      </c>
      <c r="M788" s="2">
        <v>0.51</v>
      </c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9">
        <f t="shared" si="72"/>
        <v>0.60336904050000006</v>
      </c>
      <c r="AB788" s="9">
        <f t="shared" si="73"/>
        <v>1.4749020990000004</v>
      </c>
      <c r="AC788" s="10">
        <f t="shared" si="74"/>
        <v>3593.3978412000001</v>
      </c>
      <c r="AD788" s="10">
        <f t="shared" si="75"/>
        <v>68.381824590000008</v>
      </c>
      <c r="AE788" s="9">
        <f t="shared" si="76"/>
        <v>0.72404284860000001</v>
      </c>
      <c r="AF788" s="9">
        <f t="shared" si="77"/>
        <v>2.8023139881000003</v>
      </c>
      <c r="AG788" s="9">
        <f t="shared" si="78"/>
        <v>2.09</v>
      </c>
      <c r="AH788" s="11">
        <f t="shared" si="80"/>
        <v>60.336904050000001</v>
      </c>
      <c r="AI788" s="11">
        <f t="shared" si="80"/>
        <v>147.49020990000002</v>
      </c>
      <c r="AJ788" s="11">
        <f t="shared" si="80"/>
        <v>3593.3978412000001</v>
      </c>
      <c r="AK788" s="11">
        <f t="shared" si="80"/>
        <v>72.404284860000004</v>
      </c>
      <c r="AL788" s="11">
        <f t="shared" si="80"/>
        <v>68.381824590000008</v>
      </c>
      <c r="AM788" s="2"/>
      <c r="AN788" s="2"/>
      <c r="AO788" s="2"/>
    </row>
    <row r="789" spans="1:41" x14ac:dyDescent="0.2">
      <c r="A789" s="2" t="s">
        <v>1552</v>
      </c>
      <c r="B789" s="2" t="s">
        <v>1543</v>
      </c>
      <c r="C789" s="2" t="s">
        <v>38</v>
      </c>
      <c r="D789" s="2" t="s">
        <v>62</v>
      </c>
      <c r="E789" s="7" t="s">
        <v>40</v>
      </c>
      <c r="F789" s="2" t="s">
        <v>1443</v>
      </c>
      <c r="G789" s="2" t="s">
        <v>862</v>
      </c>
      <c r="H789" s="13">
        <v>5</v>
      </c>
      <c r="I789" s="2">
        <v>7.6</v>
      </c>
      <c r="J789" s="2">
        <v>8.9</v>
      </c>
      <c r="K789" s="2">
        <v>51</v>
      </c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9">
        <f t="shared" si="72"/>
        <v>0.38</v>
      </c>
      <c r="AB789" s="9">
        <f t="shared" si="73"/>
        <v>0.44500000000000001</v>
      </c>
      <c r="AC789" s="10">
        <f t="shared" si="74"/>
        <v>255</v>
      </c>
      <c r="AD789" s="10">
        <f t="shared" si="75"/>
        <v>0</v>
      </c>
      <c r="AE789" s="9">
        <f t="shared" si="76"/>
        <v>0</v>
      </c>
      <c r="AF789" s="18">
        <f t="shared" si="77"/>
        <v>0.82499999999999996</v>
      </c>
      <c r="AG789" s="9">
        <f t="shared" si="78"/>
        <v>16.5</v>
      </c>
      <c r="AH789" s="11">
        <f t="shared" si="80"/>
        <v>38</v>
      </c>
      <c r="AI789" s="11">
        <f t="shared" si="80"/>
        <v>44.5</v>
      </c>
      <c r="AJ789" s="11">
        <f t="shared" si="80"/>
        <v>255</v>
      </c>
      <c r="AK789" s="11">
        <f t="shared" si="80"/>
        <v>0</v>
      </c>
      <c r="AL789" s="11">
        <f t="shared" si="80"/>
        <v>0</v>
      </c>
      <c r="AM789" s="2"/>
      <c r="AN789" s="2"/>
      <c r="AO789" s="2"/>
    </row>
    <row r="790" spans="1:41" x14ac:dyDescent="0.2">
      <c r="A790" s="2" t="s">
        <v>1553</v>
      </c>
      <c r="B790" s="2" t="s">
        <v>1543</v>
      </c>
      <c r="C790" s="2" t="s">
        <v>440</v>
      </c>
      <c r="D790" s="2"/>
      <c r="E790" s="2" t="s">
        <v>50</v>
      </c>
      <c r="F790" s="2" t="s">
        <v>1440</v>
      </c>
      <c r="G790" s="2" t="s">
        <v>454</v>
      </c>
      <c r="H790" s="2">
        <v>22.7</v>
      </c>
      <c r="I790" s="2">
        <v>3.18</v>
      </c>
      <c r="J790" s="2">
        <v>4.16</v>
      </c>
      <c r="K790" s="2">
        <v>24.4</v>
      </c>
      <c r="L790" s="2">
        <v>0.13</v>
      </c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9">
        <f t="shared" si="72"/>
        <v>0.72186000000000006</v>
      </c>
      <c r="AB790" s="9">
        <f t="shared" si="73"/>
        <v>0.94432000000000005</v>
      </c>
      <c r="AC790" s="10">
        <f t="shared" si="74"/>
        <v>553.88</v>
      </c>
      <c r="AD790" s="10">
        <f t="shared" si="75"/>
        <v>0</v>
      </c>
      <c r="AE790" s="9">
        <f t="shared" si="76"/>
        <v>2.9510000000000002E-2</v>
      </c>
      <c r="AF790" s="9">
        <f t="shared" si="77"/>
        <v>1.6956900000000001</v>
      </c>
      <c r="AG790" s="9">
        <f t="shared" si="78"/>
        <v>7.47</v>
      </c>
      <c r="AH790" s="11">
        <f t="shared" si="80"/>
        <v>72.186000000000007</v>
      </c>
      <c r="AI790" s="11">
        <f t="shared" si="80"/>
        <v>94.432000000000002</v>
      </c>
      <c r="AJ790" s="11">
        <f t="shared" si="80"/>
        <v>553.88</v>
      </c>
      <c r="AK790" s="11">
        <f t="shared" si="80"/>
        <v>2.9510000000000001</v>
      </c>
      <c r="AL790" s="11">
        <f t="shared" si="80"/>
        <v>0</v>
      </c>
      <c r="AM790" s="2"/>
      <c r="AN790" s="2"/>
      <c r="AO790" s="2"/>
    </row>
    <row r="791" spans="1:41" x14ac:dyDescent="0.2">
      <c r="A791" s="2" t="s">
        <v>1554</v>
      </c>
      <c r="B791" s="2" t="s">
        <v>1555</v>
      </c>
      <c r="C791" s="21" t="s">
        <v>38</v>
      </c>
      <c r="D791" s="21" t="s">
        <v>62</v>
      </c>
      <c r="E791" s="7" t="s">
        <v>40</v>
      </c>
      <c r="F791" s="2" t="s">
        <v>41</v>
      </c>
      <c r="G791" s="8" t="s">
        <v>44</v>
      </c>
      <c r="H791" s="2">
        <v>3.6</v>
      </c>
      <c r="I791" s="2"/>
      <c r="J791" s="2">
        <v>4.9000000000000004</v>
      </c>
      <c r="K791" s="2">
        <v>72</v>
      </c>
      <c r="L791" s="2">
        <v>0.6</v>
      </c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9">
        <f t="shared" si="72"/>
        <v>0</v>
      </c>
      <c r="AB791" s="9">
        <f t="shared" si="73"/>
        <v>0.1764</v>
      </c>
      <c r="AC791" s="10">
        <f t="shared" si="74"/>
        <v>259.2</v>
      </c>
      <c r="AD791" s="10">
        <f t="shared" si="75"/>
        <v>0</v>
      </c>
      <c r="AE791" s="9">
        <f t="shared" si="76"/>
        <v>2.1600000000000001E-2</v>
      </c>
      <c r="AF791" s="9">
        <f t="shared" si="77"/>
        <v>0.19800000000000001</v>
      </c>
      <c r="AG791" s="9">
        <f t="shared" si="78"/>
        <v>5.5</v>
      </c>
      <c r="AH791" s="11">
        <f t="shared" si="80"/>
        <v>0</v>
      </c>
      <c r="AI791" s="11">
        <f t="shared" si="80"/>
        <v>17.64</v>
      </c>
      <c r="AJ791" s="11">
        <f t="shared" si="80"/>
        <v>259.2</v>
      </c>
      <c r="AK791" s="11">
        <f t="shared" si="80"/>
        <v>2.16</v>
      </c>
      <c r="AL791" s="11">
        <f t="shared" si="80"/>
        <v>0</v>
      </c>
      <c r="AM791" s="2"/>
      <c r="AN791" s="2"/>
      <c r="AO791" s="2"/>
    </row>
    <row r="792" spans="1:41" x14ac:dyDescent="0.2">
      <c r="A792" s="2" t="s">
        <v>1556</v>
      </c>
      <c r="B792" s="2" t="s">
        <v>1555</v>
      </c>
      <c r="C792" s="2" t="s">
        <v>48</v>
      </c>
      <c r="D792" s="2"/>
      <c r="E792" s="2" t="s">
        <v>50</v>
      </c>
      <c r="F792" s="2" t="s">
        <v>1557</v>
      </c>
      <c r="G792" s="2" t="s">
        <v>1558</v>
      </c>
      <c r="H792" s="2">
        <f>80.75+36.31</f>
        <v>117.06</v>
      </c>
      <c r="I792" s="2"/>
      <c r="J792" s="9">
        <f>(0.65*80.75+0.7*36.31)/$H792</f>
        <v>0.66550914061165223</v>
      </c>
      <c r="K792" s="2"/>
      <c r="L792" s="9">
        <f>(1.12*80.75+1.11*36.31)/$H792</f>
        <v>1.1168981718776696</v>
      </c>
      <c r="M792" s="9">
        <f>(1.27*80.75+1.09*36.31)/$H792</f>
        <v>1.2141670937980524</v>
      </c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9">
        <f t="shared" si="72"/>
        <v>0</v>
      </c>
      <c r="AB792" s="9">
        <f t="shared" si="73"/>
        <v>0.7790450000000001</v>
      </c>
      <c r="AC792" s="10">
        <f t="shared" si="74"/>
        <v>0</v>
      </c>
      <c r="AD792" s="10">
        <f t="shared" si="75"/>
        <v>142.13040000000001</v>
      </c>
      <c r="AE792" s="9">
        <f t="shared" si="76"/>
        <v>1.3074410000000001</v>
      </c>
      <c r="AF792" s="9">
        <f t="shared" si="77"/>
        <v>2.0864860000000003</v>
      </c>
      <c r="AG792" s="9">
        <f t="shared" si="78"/>
        <v>1.7824073124893218</v>
      </c>
      <c r="AH792" s="11">
        <f t="shared" si="80"/>
        <v>0</v>
      </c>
      <c r="AI792" s="11">
        <f t="shared" si="80"/>
        <v>77.904500000000013</v>
      </c>
      <c r="AJ792" s="11">
        <f t="shared" si="80"/>
        <v>0</v>
      </c>
      <c r="AK792" s="11">
        <f t="shared" si="80"/>
        <v>130.7441</v>
      </c>
      <c r="AL792" s="11">
        <f t="shared" si="80"/>
        <v>142.13040000000001</v>
      </c>
      <c r="AM792" s="2"/>
      <c r="AN792" s="2"/>
      <c r="AO792" s="2"/>
    </row>
    <row r="793" spans="1:41" x14ac:dyDescent="0.2">
      <c r="A793" s="2" t="s">
        <v>1559</v>
      </c>
      <c r="B793" s="2" t="s">
        <v>1560</v>
      </c>
      <c r="C793" s="2" t="s">
        <v>1561</v>
      </c>
      <c r="D793" s="2"/>
      <c r="E793" s="2" t="s">
        <v>50</v>
      </c>
      <c r="F793" s="2" t="s">
        <v>1562</v>
      </c>
      <c r="G793" s="2" t="s">
        <v>1198</v>
      </c>
      <c r="H793" s="2">
        <f>0.17+0.37</f>
        <v>0.54</v>
      </c>
      <c r="I793" s="2"/>
      <c r="J793" s="9">
        <f>(0.61*0.17+0.39*0.37)/$H793</f>
        <v>0.4592592592592592</v>
      </c>
      <c r="K793" s="13">
        <f>(24.95*0.17+11.72*0.37)/$H793</f>
        <v>15.884999999999998</v>
      </c>
      <c r="L793" s="9">
        <f>(0.43*0.17+0.25*0.37)/$H793</f>
        <v>0.30666666666666664</v>
      </c>
      <c r="M793" s="9">
        <f>(2.11*0.17+1.42*0.37)/$H793</f>
        <v>1.6372222222222221</v>
      </c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9">
        <f t="shared" si="72"/>
        <v>0</v>
      </c>
      <c r="AB793" s="9">
        <f t="shared" si="73"/>
        <v>2.48E-3</v>
      </c>
      <c r="AC793" s="10">
        <f t="shared" si="74"/>
        <v>8.5778999999999996</v>
      </c>
      <c r="AD793" s="10">
        <f t="shared" si="75"/>
        <v>0.8841</v>
      </c>
      <c r="AE793" s="9">
        <f t="shared" si="76"/>
        <v>1.6559999999999999E-3</v>
      </c>
      <c r="AF793" s="9">
        <f t="shared" si="77"/>
        <v>4.1359999999999999E-3</v>
      </c>
      <c r="AG793" s="9">
        <f t="shared" si="78"/>
        <v>0.7659259259259259</v>
      </c>
      <c r="AH793" s="11">
        <f t="shared" si="80"/>
        <v>0</v>
      </c>
      <c r="AI793" s="11">
        <f t="shared" si="80"/>
        <v>0.248</v>
      </c>
      <c r="AJ793" s="11">
        <f t="shared" si="80"/>
        <v>8.5778999999999996</v>
      </c>
      <c r="AK793" s="11">
        <f t="shared" si="80"/>
        <v>0.1656</v>
      </c>
      <c r="AL793" s="11">
        <f t="shared" si="80"/>
        <v>0.8841</v>
      </c>
      <c r="AM793" s="2"/>
      <c r="AN793" s="2"/>
      <c r="AO793" s="2"/>
    </row>
    <row r="794" spans="1:41" x14ac:dyDescent="0.2">
      <c r="A794" s="2" t="s">
        <v>1563</v>
      </c>
      <c r="B794" s="2" t="s">
        <v>1560</v>
      </c>
      <c r="C794" s="2" t="s">
        <v>1561</v>
      </c>
      <c r="D794" s="2" t="s">
        <v>1165</v>
      </c>
      <c r="E794" s="2" t="s">
        <v>50</v>
      </c>
      <c r="F794" s="2" t="s">
        <v>1120</v>
      </c>
      <c r="G794" s="2" t="s">
        <v>106</v>
      </c>
      <c r="H794" s="2">
        <f>0.84+6.8+0.05+0.48+4.44</f>
        <v>12.61</v>
      </c>
      <c r="I794" s="13">
        <f>(0.1*0.84+0.4*6.8+0.2*0.05+0.2*0.48+0.2*4.44)/$H794</f>
        <v>0.30118953211736721</v>
      </c>
      <c r="J794" s="13">
        <f>(1.7*0.84+6.7*6.8+4.2*0.05+2.8*0.48+3.7*4.44)/$H794</f>
        <v>5.152260111022998</v>
      </c>
      <c r="K794" s="14">
        <f>(24*0.84+43*6.8+45*0.05+22*0.48+36*4.44)/$H794</f>
        <v>38.478191911181604</v>
      </c>
      <c r="L794" s="13">
        <f>(1.3*0.84+0.5*6.8+1.3*0.05+1.1*0.48+0.8*4.44)/$H794</f>
        <v>0.68493259318001598</v>
      </c>
      <c r="M794" s="13">
        <f>(1.1*0.84+0.6*6.8+0.7*0.05+1*0.48+0.7*4.44)/$H794</f>
        <v>0.68413957176843787</v>
      </c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9">
        <f t="shared" si="72"/>
        <v>3.7980000000000007E-2</v>
      </c>
      <c r="AB794" s="9">
        <f t="shared" si="73"/>
        <v>0.64969999999999994</v>
      </c>
      <c r="AC794" s="10">
        <f t="shared" si="74"/>
        <v>485.21</v>
      </c>
      <c r="AD794" s="10">
        <f t="shared" si="75"/>
        <v>8.6270000000000007</v>
      </c>
      <c r="AE794" s="9">
        <f t="shared" si="76"/>
        <v>8.6370000000000002E-2</v>
      </c>
      <c r="AF794" s="9">
        <f t="shared" si="77"/>
        <v>0.7740499999999999</v>
      </c>
      <c r="AG794" s="9">
        <f t="shared" si="78"/>
        <v>6.138382236320381</v>
      </c>
      <c r="AH794" s="11">
        <f t="shared" si="80"/>
        <v>3.7980000000000005</v>
      </c>
      <c r="AI794" s="11">
        <f t="shared" si="80"/>
        <v>64.97</v>
      </c>
      <c r="AJ794" s="11">
        <f t="shared" si="80"/>
        <v>485.21</v>
      </c>
      <c r="AK794" s="11">
        <f t="shared" si="80"/>
        <v>8.6370000000000005</v>
      </c>
      <c r="AL794" s="11">
        <f t="shared" si="80"/>
        <v>8.6270000000000007</v>
      </c>
      <c r="AM794" s="2"/>
      <c r="AN794" s="2"/>
      <c r="AO794" s="2"/>
    </row>
    <row r="795" spans="1:41" x14ac:dyDescent="0.2">
      <c r="A795" s="2" t="s">
        <v>1564</v>
      </c>
      <c r="B795" s="2" t="s">
        <v>1560</v>
      </c>
      <c r="C795" s="2" t="s">
        <v>48</v>
      </c>
      <c r="D795" s="2"/>
      <c r="E795" s="2" t="s">
        <v>50</v>
      </c>
      <c r="F795" s="2" t="s">
        <v>1120</v>
      </c>
      <c r="G795" s="2" t="s">
        <v>106</v>
      </c>
      <c r="H795" s="2">
        <f>1.4+1.05+0.36</f>
        <v>2.81</v>
      </c>
      <c r="I795" s="13">
        <f>(0.4*1.4+0.2*1.05+0.2*0.36)/$H795</f>
        <v>0.29964412811387897</v>
      </c>
      <c r="J795" s="13">
        <f>(3.9*1.4+3.3*1.05+2.9*0.36)/$H795</f>
        <v>3.5476868327402138</v>
      </c>
      <c r="K795" s="14">
        <f>(56*1.4+40*1.05+45*0.36)/$H795</f>
        <v>48.612099644128108</v>
      </c>
      <c r="L795" s="13">
        <f>(0.3*1.4+0.4*1.05+0.7*0.36)/$H795</f>
        <v>0.38861209964412813</v>
      </c>
      <c r="M795" s="13">
        <f>(1.5*1.4+1.3*1.05+0.9*0.36)/$H795</f>
        <v>1.3483985765124553</v>
      </c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9">
        <f t="shared" si="72"/>
        <v>8.4200000000000004E-3</v>
      </c>
      <c r="AB795" s="9">
        <f t="shared" si="73"/>
        <v>9.9690000000000015E-2</v>
      </c>
      <c r="AC795" s="10">
        <f t="shared" si="74"/>
        <v>136.6</v>
      </c>
      <c r="AD795" s="10">
        <f t="shared" si="75"/>
        <v>3.7889999999999997</v>
      </c>
      <c r="AE795" s="9">
        <f t="shared" si="76"/>
        <v>1.0920000000000001E-2</v>
      </c>
      <c r="AF795" s="9">
        <f t="shared" si="77"/>
        <v>0.11903000000000001</v>
      </c>
      <c r="AG795" s="9">
        <f t="shared" si="78"/>
        <v>4.2359430604982204</v>
      </c>
      <c r="AH795" s="11">
        <f t="shared" si="80"/>
        <v>0.84199999999999997</v>
      </c>
      <c r="AI795" s="11">
        <f t="shared" si="80"/>
        <v>9.9690000000000012</v>
      </c>
      <c r="AJ795" s="11">
        <f t="shared" si="80"/>
        <v>136.6</v>
      </c>
      <c r="AK795" s="11">
        <f t="shared" si="80"/>
        <v>1.0920000000000001</v>
      </c>
      <c r="AL795" s="11">
        <f t="shared" si="80"/>
        <v>3.7889999999999997</v>
      </c>
      <c r="AM795" s="2"/>
      <c r="AN795" s="2"/>
      <c r="AO795" s="2"/>
    </row>
    <row r="796" spans="1:41" x14ac:dyDescent="0.2">
      <c r="A796" s="2" t="s">
        <v>1565</v>
      </c>
      <c r="B796" s="2" t="s">
        <v>1560</v>
      </c>
      <c r="C796" s="2" t="s">
        <v>48</v>
      </c>
      <c r="D796" s="2"/>
      <c r="E796" s="2" t="s">
        <v>50</v>
      </c>
      <c r="F796" s="2" t="s">
        <v>1120</v>
      </c>
      <c r="G796" s="2" t="s">
        <v>106</v>
      </c>
      <c r="H796" s="2">
        <f>0.2+0.36</f>
        <v>0.56000000000000005</v>
      </c>
      <c r="I796" s="2"/>
      <c r="J796" s="13">
        <f>(0*0.2+0.2*0.36)/$H796</f>
        <v>0.12857142857142856</v>
      </c>
      <c r="K796" s="14">
        <f>(7*0.2+11*0.36)/$H796</f>
        <v>9.5714285714285712</v>
      </c>
      <c r="L796" s="13">
        <f>(1*0.2+0.4*0.36)/$H796</f>
        <v>0.61428571428571421</v>
      </c>
      <c r="M796" s="13">
        <f>(0.3*0.2+0.4*0.36)/$H796</f>
        <v>0.36428571428571421</v>
      </c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9">
        <f t="shared" si="72"/>
        <v>0</v>
      </c>
      <c r="AB796" s="9">
        <f t="shared" si="73"/>
        <v>7.1999999999999994E-4</v>
      </c>
      <c r="AC796" s="10">
        <f t="shared" si="74"/>
        <v>5.36</v>
      </c>
      <c r="AD796" s="10">
        <f t="shared" si="75"/>
        <v>0.20399999999999999</v>
      </c>
      <c r="AE796" s="9">
        <f t="shared" si="76"/>
        <v>3.4399999999999999E-3</v>
      </c>
      <c r="AF796" s="9">
        <f t="shared" si="77"/>
        <v>4.1599999999999996E-3</v>
      </c>
      <c r="AG796" s="9">
        <f t="shared" si="78"/>
        <v>0.74285714285714277</v>
      </c>
      <c r="AH796" s="11">
        <f t="shared" si="80"/>
        <v>0</v>
      </c>
      <c r="AI796" s="11">
        <f t="shared" si="80"/>
        <v>7.1999999999999995E-2</v>
      </c>
      <c r="AJ796" s="11">
        <f t="shared" si="80"/>
        <v>5.36</v>
      </c>
      <c r="AK796" s="11">
        <f t="shared" si="80"/>
        <v>0.34399999999999997</v>
      </c>
      <c r="AL796" s="11">
        <f t="shared" si="80"/>
        <v>0.20399999999999999</v>
      </c>
      <c r="AM796" s="2"/>
      <c r="AN796" s="2"/>
      <c r="AO796" s="2"/>
    </row>
    <row r="797" spans="1:41" x14ac:dyDescent="0.2">
      <c r="A797" s="2" t="s">
        <v>1566</v>
      </c>
      <c r="B797" s="2" t="s">
        <v>1560</v>
      </c>
      <c r="C797" s="2" t="s">
        <v>48</v>
      </c>
      <c r="D797" s="2"/>
      <c r="E797" s="2" t="s">
        <v>50</v>
      </c>
      <c r="F797" s="2" t="s">
        <v>1120</v>
      </c>
      <c r="G797" s="2" t="s">
        <v>106</v>
      </c>
      <c r="H797" s="2">
        <f>0.31+1.2+0.72</f>
        <v>2.23</v>
      </c>
      <c r="I797" s="13">
        <f>(0.3*0.31+0.3*1.2+0.2*0.72)/$H797</f>
        <v>0.26771300448430491</v>
      </c>
      <c r="J797" s="13">
        <f>(3.1*0.31+1.8*1.2+1.2*0.72)/$H797</f>
        <v>1.7869955156950672</v>
      </c>
      <c r="K797" s="14">
        <f>(73*0.31+52*1.2+33*0.72)/$H797</f>
        <v>48.784753363228695</v>
      </c>
      <c r="L797" s="13">
        <f>(1.8*0.31+0.6*1.2+0.5*0.72)/$H797</f>
        <v>0.7345291479820627</v>
      </c>
      <c r="M797" s="13">
        <f>(8.1*0.31+2.7*1.2+3.3*0.72)/$H797</f>
        <v>3.6443946188340801</v>
      </c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9">
        <f t="shared" si="72"/>
        <v>5.9699999999999996E-3</v>
      </c>
      <c r="AB797" s="9">
        <f t="shared" si="73"/>
        <v>3.9849999999999997E-2</v>
      </c>
      <c r="AC797" s="10">
        <f t="shared" si="74"/>
        <v>108.78999999999999</v>
      </c>
      <c r="AD797" s="10">
        <f t="shared" si="75"/>
        <v>8.1269999999999989</v>
      </c>
      <c r="AE797" s="9">
        <f t="shared" si="76"/>
        <v>1.6379999999999999E-2</v>
      </c>
      <c r="AF797" s="9">
        <f t="shared" si="77"/>
        <v>6.2199999999999998E-2</v>
      </c>
      <c r="AG797" s="9">
        <f t="shared" si="78"/>
        <v>2.789237668161435</v>
      </c>
      <c r="AH797" s="11">
        <f t="shared" si="80"/>
        <v>0.59699999999999998</v>
      </c>
      <c r="AI797" s="11">
        <f t="shared" si="80"/>
        <v>3.9849999999999999</v>
      </c>
      <c r="AJ797" s="11">
        <f t="shared" si="80"/>
        <v>108.78999999999999</v>
      </c>
      <c r="AK797" s="11">
        <f t="shared" si="80"/>
        <v>1.6379999999999999</v>
      </c>
      <c r="AL797" s="11">
        <f t="shared" si="80"/>
        <v>8.1269999999999989</v>
      </c>
      <c r="AM797" s="2"/>
      <c r="AN797" s="2"/>
      <c r="AO797" s="2"/>
    </row>
    <row r="798" spans="1:41" x14ac:dyDescent="0.2">
      <c r="A798" s="2" t="s">
        <v>1567</v>
      </c>
      <c r="B798" s="2" t="s">
        <v>1560</v>
      </c>
      <c r="C798" s="2" t="s">
        <v>48</v>
      </c>
      <c r="D798" s="2"/>
      <c r="E798" s="2" t="s">
        <v>50</v>
      </c>
      <c r="F798" s="2" t="s">
        <v>1120</v>
      </c>
      <c r="G798" s="2" t="s">
        <v>106</v>
      </c>
      <c r="H798" s="2">
        <f>0.15+3.36+1.22+2.95</f>
        <v>7.68</v>
      </c>
      <c r="I798" s="13">
        <f>(1.3*0.15+1*3.36+0.8*1.22+1.7*2.95)/$H798</f>
        <v>1.24296875</v>
      </c>
      <c r="J798" s="13">
        <f>(13.6*0.15+6.4*3.36+4.6*1.22+8.5*2.95)/$H798</f>
        <v>7.0613281250000002</v>
      </c>
      <c r="K798" s="14">
        <f>(127*0.15+149*3.36+85*1.22+160*2.95)/$H798</f>
        <v>142.62890625</v>
      </c>
      <c r="L798" s="13">
        <f>(0.9*0.15+0.8*3.36+0.4*1.22+0.3*2.95)/$H798</f>
        <v>0.54635416666666681</v>
      </c>
      <c r="M798" s="13">
        <f>(1.8*0.15+2.8*3.36+1.9*1.22+3.2*2.95)/$H798</f>
        <v>2.7911458333333332</v>
      </c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9">
        <f t="shared" si="72"/>
        <v>9.5459999999999989E-2</v>
      </c>
      <c r="AB798" s="9">
        <f t="shared" si="73"/>
        <v>0.54231000000000007</v>
      </c>
      <c r="AC798" s="10">
        <f t="shared" si="74"/>
        <v>1095.3899999999999</v>
      </c>
      <c r="AD798" s="10">
        <f t="shared" si="75"/>
        <v>21.436</v>
      </c>
      <c r="AE798" s="9">
        <f t="shared" si="76"/>
        <v>4.1960000000000004E-2</v>
      </c>
      <c r="AF798" s="9">
        <f t="shared" si="77"/>
        <v>0.67973000000000006</v>
      </c>
      <c r="AG798" s="9">
        <f t="shared" si="78"/>
        <v>8.8506510416666675</v>
      </c>
      <c r="AH798" s="11">
        <f t="shared" si="80"/>
        <v>9.5459999999999994</v>
      </c>
      <c r="AI798" s="11">
        <f t="shared" si="80"/>
        <v>54.231000000000002</v>
      </c>
      <c r="AJ798" s="11">
        <f t="shared" si="80"/>
        <v>1095.3899999999999</v>
      </c>
      <c r="AK798" s="11">
        <f t="shared" si="80"/>
        <v>4.1960000000000006</v>
      </c>
      <c r="AL798" s="11">
        <f t="shared" si="80"/>
        <v>21.436</v>
      </c>
      <c r="AM798" s="2"/>
      <c r="AN798" s="2"/>
      <c r="AO798" s="2"/>
    </row>
    <row r="799" spans="1:41" x14ac:dyDescent="0.2">
      <c r="A799" s="2" t="s">
        <v>1568</v>
      </c>
      <c r="B799" s="2" t="s">
        <v>1560</v>
      </c>
      <c r="C799" s="2" t="s">
        <v>48</v>
      </c>
      <c r="D799" s="2"/>
      <c r="E799" s="2" t="s">
        <v>50</v>
      </c>
      <c r="F799" s="2" t="s">
        <v>1120</v>
      </c>
      <c r="G799" s="2" t="s">
        <v>106</v>
      </c>
      <c r="H799" s="2">
        <f>14.9+21.4+2.8+15.8+19.5</f>
        <v>74.399999999999991</v>
      </c>
      <c r="I799" s="13">
        <f>(2.2*14.9+1.7*21.4+1.7*2.8+1.7*15.8+1.6*19.5)/$H799</f>
        <v>1.7739247311827961</v>
      </c>
      <c r="J799" s="13">
        <f>(5.5*14.9+3.9*21.4+3.8*2.8+3.4*15.8+3.2*19.5)/$H799</f>
        <v>3.9270161290322578</v>
      </c>
      <c r="K799" s="14">
        <f>(116*14.9+143*21.4+98*2.8+131*15.8+113*19.5)/$H799</f>
        <v>125.48790322580646</v>
      </c>
      <c r="L799" s="9">
        <f>(0.06*14.9+0.04*21.4+0.06*2.8+0.05*15.8+0.07*19.5)/$H799</f>
        <v>5.4744623655913989E-2</v>
      </c>
      <c r="M799" s="13">
        <f>(0.3*14.9+0.3*21.4+0.3*2.8+0.4*15.8+0.5*19.5)/$H799</f>
        <v>0.37365591397849462</v>
      </c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9">
        <f t="shared" si="72"/>
        <v>1.3198000000000001</v>
      </c>
      <c r="AB799" s="9">
        <f t="shared" si="73"/>
        <v>2.9216999999999995</v>
      </c>
      <c r="AC799" s="10">
        <f t="shared" si="74"/>
        <v>9336.2999999999993</v>
      </c>
      <c r="AD799" s="10">
        <f t="shared" si="75"/>
        <v>27.799999999999997</v>
      </c>
      <c r="AE799" s="9">
        <f t="shared" si="76"/>
        <v>4.0730000000000002E-2</v>
      </c>
      <c r="AF799" s="9">
        <f t="shared" si="77"/>
        <v>4.2822299999999993</v>
      </c>
      <c r="AG799" s="9">
        <f t="shared" si="78"/>
        <v>5.7556854838709679</v>
      </c>
      <c r="AH799" s="11">
        <f t="shared" si="80"/>
        <v>131.98000000000002</v>
      </c>
      <c r="AI799" s="11">
        <f t="shared" si="80"/>
        <v>292.16999999999996</v>
      </c>
      <c r="AJ799" s="11">
        <f t="shared" si="80"/>
        <v>9336.2999999999993</v>
      </c>
      <c r="AK799" s="11">
        <f t="shared" si="80"/>
        <v>4.0730000000000004</v>
      </c>
      <c r="AL799" s="11">
        <f t="shared" si="80"/>
        <v>27.799999999999997</v>
      </c>
      <c r="AM799" s="2"/>
      <c r="AN799" s="2"/>
      <c r="AO799" s="2"/>
    </row>
    <row r="800" spans="1:41" x14ac:dyDescent="0.2">
      <c r="A800" s="2" t="s">
        <v>1569</v>
      </c>
      <c r="B800" s="2" t="s">
        <v>1560</v>
      </c>
      <c r="C800" s="2" t="s">
        <v>1570</v>
      </c>
      <c r="D800" s="2"/>
      <c r="E800" s="2" t="s">
        <v>50</v>
      </c>
      <c r="F800" s="2" t="s">
        <v>1571</v>
      </c>
      <c r="G800" s="2" t="s">
        <v>106</v>
      </c>
      <c r="H800" s="15">
        <v>2350</v>
      </c>
      <c r="I800" s="2"/>
      <c r="J800" s="12">
        <v>4.3099999999999999E-2</v>
      </c>
      <c r="K800" s="2"/>
      <c r="L800" s="2"/>
      <c r="M800" s="2"/>
      <c r="N800" s="2"/>
      <c r="O800" s="12">
        <v>3.1600000000000003E-2</v>
      </c>
      <c r="P800" s="2"/>
      <c r="Q800" s="2"/>
      <c r="R800" s="2"/>
      <c r="S800" s="2">
        <v>2.07E-2</v>
      </c>
      <c r="T800" s="2"/>
      <c r="U800" s="2"/>
      <c r="V800" s="12">
        <v>1.55E-2</v>
      </c>
      <c r="W800" s="2"/>
      <c r="X800" s="2">
        <v>0.15190000000000001</v>
      </c>
      <c r="Y800" s="2"/>
      <c r="Z800" s="2"/>
      <c r="AA800" s="9">
        <f t="shared" si="72"/>
        <v>0</v>
      </c>
      <c r="AB800" s="9">
        <f t="shared" si="73"/>
        <v>1.01285</v>
      </c>
      <c r="AC800" s="10">
        <f t="shared" si="74"/>
        <v>0</v>
      </c>
      <c r="AD800" s="10">
        <f t="shared" si="75"/>
        <v>0</v>
      </c>
      <c r="AE800" s="9">
        <f t="shared" si="76"/>
        <v>0</v>
      </c>
      <c r="AF800" s="9">
        <f t="shared" si="77"/>
        <v>1.01285</v>
      </c>
      <c r="AG800" s="9">
        <f t="shared" si="78"/>
        <v>4.3099999999999999E-2</v>
      </c>
      <c r="AH800" s="11">
        <f t="shared" si="80"/>
        <v>0</v>
      </c>
      <c r="AI800" s="11">
        <f t="shared" si="80"/>
        <v>101.285</v>
      </c>
      <c r="AJ800" s="11">
        <f t="shared" si="80"/>
        <v>0</v>
      </c>
      <c r="AK800" s="11">
        <f t="shared" si="80"/>
        <v>0</v>
      </c>
      <c r="AL800" s="11">
        <f t="shared" si="80"/>
        <v>0</v>
      </c>
      <c r="AM800" s="2"/>
      <c r="AN800" s="2"/>
      <c r="AO800" s="2"/>
    </row>
    <row r="801" spans="1:41" x14ac:dyDescent="0.2">
      <c r="A801" s="2" t="s">
        <v>1572</v>
      </c>
      <c r="B801" s="2" t="s">
        <v>1560</v>
      </c>
      <c r="C801" s="2" t="s">
        <v>38</v>
      </c>
      <c r="D801" s="2" t="s">
        <v>62</v>
      </c>
      <c r="E801" s="7" t="s">
        <v>40</v>
      </c>
      <c r="F801" s="2" t="s">
        <v>41</v>
      </c>
      <c r="G801" s="8" t="s">
        <v>44</v>
      </c>
      <c r="H801" s="2">
        <v>0.55000000000000004</v>
      </c>
      <c r="I801" s="2">
        <v>2.6</v>
      </c>
      <c r="J801" s="2">
        <v>4.5</v>
      </c>
      <c r="K801" s="2">
        <v>12</v>
      </c>
      <c r="L801" s="2">
        <v>0.2</v>
      </c>
      <c r="M801" s="2"/>
      <c r="N801" s="2"/>
      <c r="O801" s="12"/>
      <c r="P801" s="2"/>
      <c r="Q801" s="2"/>
      <c r="R801" s="2"/>
      <c r="S801" s="2"/>
      <c r="T801" s="2"/>
      <c r="U801" s="2"/>
      <c r="V801" s="12"/>
      <c r="W801" s="2"/>
      <c r="X801" s="2"/>
      <c r="Y801" s="2"/>
      <c r="Z801" s="2"/>
      <c r="AA801" s="9">
        <f t="shared" si="72"/>
        <v>1.4300000000000002E-2</v>
      </c>
      <c r="AB801" s="9">
        <f t="shared" si="73"/>
        <v>2.4750000000000001E-2</v>
      </c>
      <c r="AC801" s="10">
        <f t="shared" si="74"/>
        <v>6.6000000000000005</v>
      </c>
      <c r="AD801" s="10">
        <f t="shared" si="75"/>
        <v>0</v>
      </c>
      <c r="AE801" s="9">
        <f t="shared" si="76"/>
        <v>1.1000000000000001E-3</v>
      </c>
      <c r="AF801" s="9">
        <f t="shared" si="77"/>
        <v>4.0149999999999998E-2</v>
      </c>
      <c r="AG801" s="9">
        <f t="shared" si="78"/>
        <v>7.3</v>
      </c>
      <c r="AH801" s="11">
        <f t="shared" si="80"/>
        <v>1.4300000000000002</v>
      </c>
      <c r="AI801" s="11">
        <f t="shared" si="80"/>
        <v>2.4750000000000001</v>
      </c>
      <c r="AJ801" s="11">
        <f t="shared" si="80"/>
        <v>6.6000000000000005</v>
      </c>
      <c r="AK801" s="11">
        <f t="shared" si="80"/>
        <v>0.11000000000000001</v>
      </c>
      <c r="AL801" s="11">
        <f t="shared" si="80"/>
        <v>0</v>
      </c>
      <c r="AM801" s="2"/>
      <c r="AN801" s="2"/>
      <c r="AO801" s="2"/>
    </row>
    <row r="802" spans="1:41" x14ac:dyDescent="0.2">
      <c r="A802" s="2" t="s">
        <v>1573</v>
      </c>
      <c r="B802" s="2" t="s">
        <v>1560</v>
      </c>
      <c r="C802" s="2" t="s">
        <v>48</v>
      </c>
      <c r="D802" s="2"/>
      <c r="E802" s="2" t="s">
        <v>50</v>
      </c>
      <c r="F802" s="2" t="s">
        <v>1120</v>
      </c>
      <c r="G802" s="2" t="s">
        <v>106</v>
      </c>
      <c r="H802" s="13">
        <f>0.8+9.2</f>
        <v>10</v>
      </c>
      <c r="I802" s="13">
        <f>(0.9*0.8+0.4*9.2)/$H802</f>
        <v>0.43999999999999995</v>
      </c>
      <c r="J802" s="13">
        <f>(4.4*0.8+4*9.2)/$H802</f>
        <v>4.032</v>
      </c>
      <c r="K802" s="14">
        <f>(102*0.8+48*9.2)/$H802</f>
        <v>52.319999999999993</v>
      </c>
      <c r="L802" s="13">
        <f>(2.1*0.8+1.8*9.2)/$H802</f>
        <v>1.8239999999999998</v>
      </c>
      <c r="M802" s="9">
        <f>(0.08*0.8+0.06*9.2)/$H802</f>
        <v>6.1599999999999988E-2</v>
      </c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9">
        <f t="shared" si="72"/>
        <v>4.3999999999999997E-2</v>
      </c>
      <c r="AB802" s="9">
        <f t="shared" si="73"/>
        <v>0.4032</v>
      </c>
      <c r="AC802" s="10">
        <f t="shared" si="74"/>
        <v>523.19999999999993</v>
      </c>
      <c r="AD802" s="10">
        <f t="shared" si="75"/>
        <v>0.61599999999999988</v>
      </c>
      <c r="AE802" s="9">
        <f t="shared" si="76"/>
        <v>0.18239999999999998</v>
      </c>
      <c r="AF802" s="9">
        <f t="shared" si="77"/>
        <v>0.62959999999999994</v>
      </c>
      <c r="AG802" s="9">
        <f t="shared" si="78"/>
        <v>6.2959999999999994</v>
      </c>
      <c r="AH802" s="11">
        <f t="shared" ref="AH802:AL817" si="81">$H802*I802</f>
        <v>4.3999999999999995</v>
      </c>
      <c r="AI802" s="11">
        <f t="shared" si="81"/>
        <v>40.32</v>
      </c>
      <c r="AJ802" s="11">
        <f t="shared" si="81"/>
        <v>523.19999999999993</v>
      </c>
      <c r="AK802" s="11">
        <f t="shared" si="81"/>
        <v>18.239999999999998</v>
      </c>
      <c r="AL802" s="11">
        <f t="shared" si="81"/>
        <v>0.61599999999999988</v>
      </c>
      <c r="AM802" s="2"/>
      <c r="AN802" s="2"/>
      <c r="AO802" s="2"/>
    </row>
    <row r="803" spans="1:41" x14ac:dyDescent="0.2">
      <c r="A803" s="2" t="s">
        <v>1574</v>
      </c>
      <c r="B803" s="2" t="s">
        <v>1560</v>
      </c>
      <c r="C803" s="2" t="s">
        <v>1570</v>
      </c>
      <c r="D803" s="2"/>
      <c r="E803" s="2" t="s">
        <v>50</v>
      </c>
      <c r="F803" s="2" t="s">
        <v>1575</v>
      </c>
      <c r="G803" s="2" t="s">
        <v>748</v>
      </c>
      <c r="H803" s="15">
        <f>43+3019</f>
        <v>3062</v>
      </c>
      <c r="I803" s="13"/>
      <c r="J803" s="12">
        <f>(0.041*43+0.042*3019)/$H803</f>
        <v>4.1985956890920967E-2</v>
      </c>
      <c r="K803" s="14"/>
      <c r="L803" s="12">
        <f>(0.01*43+0.012*3019)/$H803</f>
        <v>1.1971913781841934E-2</v>
      </c>
      <c r="M803" s="9"/>
      <c r="N803" s="2"/>
      <c r="O803" s="12">
        <f>(0.034*43+0.034*3019)/$H803</f>
        <v>3.4000000000000002E-2</v>
      </c>
      <c r="P803" s="2"/>
      <c r="Q803" s="2"/>
      <c r="R803" s="2"/>
      <c r="S803" s="2"/>
      <c r="T803" s="2"/>
      <c r="U803" s="2"/>
      <c r="V803" s="12">
        <f>(0.019*43+0.017*3019)/$H803</f>
        <v>1.7028086218158066E-2</v>
      </c>
      <c r="W803" s="2"/>
      <c r="X803" s="2"/>
      <c r="Y803" s="2"/>
      <c r="Z803" s="2"/>
      <c r="AA803" s="9">
        <f t="shared" si="72"/>
        <v>0</v>
      </c>
      <c r="AB803" s="9">
        <f t="shared" si="73"/>
        <v>1.2856100000000001</v>
      </c>
      <c r="AC803" s="10">
        <f t="shared" si="74"/>
        <v>0</v>
      </c>
      <c r="AD803" s="10">
        <f t="shared" si="75"/>
        <v>0</v>
      </c>
      <c r="AE803" s="9">
        <f t="shared" si="76"/>
        <v>0.36658000000000002</v>
      </c>
      <c r="AF803" s="9">
        <f t="shared" si="77"/>
        <v>1.65219</v>
      </c>
      <c r="AG803" s="9">
        <f t="shared" si="78"/>
        <v>5.3957870672762899E-2</v>
      </c>
      <c r="AH803" s="11">
        <f t="shared" si="81"/>
        <v>0</v>
      </c>
      <c r="AI803" s="11">
        <f t="shared" si="81"/>
        <v>128.56100000000001</v>
      </c>
      <c r="AJ803" s="11">
        <f t="shared" si="81"/>
        <v>0</v>
      </c>
      <c r="AK803" s="11">
        <f t="shared" si="81"/>
        <v>36.658000000000001</v>
      </c>
      <c r="AL803" s="11">
        <f t="shared" si="81"/>
        <v>0</v>
      </c>
      <c r="AM803" s="2"/>
      <c r="AN803" s="2"/>
      <c r="AO803" s="2"/>
    </row>
    <row r="804" spans="1:41" x14ac:dyDescent="0.2">
      <c r="A804" s="2" t="s">
        <v>1576</v>
      </c>
      <c r="B804" s="2" t="s">
        <v>1560</v>
      </c>
      <c r="C804" s="2" t="s">
        <v>1285</v>
      </c>
      <c r="D804" s="2"/>
      <c r="E804" s="2" t="s">
        <v>50</v>
      </c>
      <c r="F804" s="2" t="s">
        <v>1577</v>
      </c>
      <c r="G804" s="2" t="s">
        <v>1578</v>
      </c>
      <c r="H804" s="2">
        <f>21.61+19.65</f>
        <v>41.26</v>
      </c>
      <c r="I804" s="2"/>
      <c r="J804" s="9">
        <f>(0.28*21.61+0.09*19.65)/$H804</f>
        <v>0.18951284537081919</v>
      </c>
      <c r="K804" s="9">
        <f>(5.13*21.61+0.26*19.65)/$H804</f>
        <v>2.8106713523994182</v>
      </c>
      <c r="L804" s="9">
        <f>(1.49*21.61+0.76*19.65)/$H804</f>
        <v>1.1423388269510422</v>
      </c>
      <c r="M804" s="9">
        <f>(0*21.61+0.02*19.65)/$H804</f>
        <v>9.5249636451769266E-3</v>
      </c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9">
        <f t="shared" si="72"/>
        <v>0</v>
      </c>
      <c r="AB804" s="9">
        <f t="shared" si="73"/>
        <v>7.8192999999999999E-2</v>
      </c>
      <c r="AC804" s="10">
        <f t="shared" si="74"/>
        <v>115.96829999999999</v>
      </c>
      <c r="AD804" s="10">
        <f t="shared" si="75"/>
        <v>0.39299999999999996</v>
      </c>
      <c r="AE804" s="9">
        <f t="shared" si="76"/>
        <v>0.471329</v>
      </c>
      <c r="AF804" s="9">
        <f t="shared" si="77"/>
        <v>0.54952199999999995</v>
      </c>
      <c r="AG804" s="9">
        <f t="shared" si="78"/>
        <v>1.3318516723218614</v>
      </c>
      <c r="AH804" s="11">
        <f t="shared" si="81"/>
        <v>0</v>
      </c>
      <c r="AI804" s="11">
        <f t="shared" si="81"/>
        <v>7.8192999999999993</v>
      </c>
      <c r="AJ804" s="11">
        <f t="shared" si="81"/>
        <v>115.96829999999999</v>
      </c>
      <c r="AK804" s="11">
        <f t="shared" si="81"/>
        <v>47.132899999999999</v>
      </c>
      <c r="AL804" s="11">
        <f t="shared" si="81"/>
        <v>0.39299999999999996</v>
      </c>
      <c r="AM804" s="2"/>
      <c r="AN804" s="2"/>
      <c r="AO804" s="2"/>
    </row>
    <row r="805" spans="1:41" x14ac:dyDescent="0.2">
      <c r="A805" s="2" t="s">
        <v>1579</v>
      </c>
      <c r="B805" s="2" t="s">
        <v>1560</v>
      </c>
      <c r="C805" s="2" t="s">
        <v>38</v>
      </c>
      <c r="D805" s="2" t="s">
        <v>62</v>
      </c>
      <c r="E805" s="2" t="s">
        <v>50</v>
      </c>
      <c r="F805" s="2" t="s">
        <v>1443</v>
      </c>
      <c r="G805" s="2" t="s">
        <v>64</v>
      </c>
      <c r="H805" s="2">
        <f>5.02+0.624+0.616+8.524+6.426+4.988</f>
        <v>26.198</v>
      </c>
      <c r="I805" s="13">
        <f>(0*5.02+0*0.624+0*0.616+4.8*8.524+4.2*6.426+3.2*4.988)/$H805</f>
        <v>3.2012367356286737</v>
      </c>
      <c r="J805" s="13">
        <f>(0.4*5.02+0.3*0.624+0.5*0.616+11.3*8.524+9.3*6.426+8.7*4.988)/$H805</f>
        <v>7.7098175433239184</v>
      </c>
      <c r="K805" s="14">
        <f>(30*5.02+37*0.624+34*0.616+103*8.524+93*6.426+83*4.988)/$H805</f>
        <v>79.556683716314211</v>
      </c>
      <c r="L805" s="13">
        <f>(2.2*5.02+2.4*0.624+1.8*0.616+0*8.524+0*6.426+0*4.988)/$H805</f>
        <v>0.52104740819909923</v>
      </c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9">
        <f t="shared" si="72"/>
        <v>0.83865999999999996</v>
      </c>
      <c r="AB805" s="9">
        <f t="shared" si="73"/>
        <v>2.0198180000000003</v>
      </c>
      <c r="AC805" s="10">
        <f t="shared" si="74"/>
        <v>2084.2259999999997</v>
      </c>
      <c r="AD805" s="10">
        <f t="shared" si="75"/>
        <v>0</v>
      </c>
      <c r="AE805" s="9">
        <f t="shared" si="76"/>
        <v>0.13650400000000001</v>
      </c>
      <c r="AF805" s="9">
        <f t="shared" si="77"/>
        <v>2.9949820000000003</v>
      </c>
      <c r="AG805" s="9">
        <f t="shared" si="78"/>
        <v>11.432101687151691</v>
      </c>
      <c r="AH805" s="11">
        <f t="shared" si="81"/>
        <v>83.866</v>
      </c>
      <c r="AI805" s="11">
        <f t="shared" si="81"/>
        <v>201.98180000000002</v>
      </c>
      <c r="AJ805" s="11">
        <f t="shared" si="81"/>
        <v>2084.2259999999997</v>
      </c>
      <c r="AK805" s="11">
        <f t="shared" si="81"/>
        <v>13.650400000000001</v>
      </c>
      <c r="AL805" s="11">
        <f t="shared" si="81"/>
        <v>0</v>
      </c>
      <c r="AM805" s="2"/>
      <c r="AN805" s="2"/>
      <c r="AO805" s="2"/>
    </row>
    <row r="806" spans="1:41" x14ac:dyDescent="0.2">
      <c r="A806" s="2" t="s">
        <v>1580</v>
      </c>
      <c r="B806" s="2" t="s">
        <v>1581</v>
      </c>
      <c r="C806" s="2" t="s">
        <v>187</v>
      </c>
      <c r="D806" s="2"/>
      <c r="E806" s="7" t="s">
        <v>40</v>
      </c>
      <c r="F806" s="2" t="s">
        <v>1582</v>
      </c>
      <c r="G806" s="2" t="s">
        <v>875</v>
      </c>
      <c r="H806" s="2">
        <v>961</v>
      </c>
      <c r="I806" s="13">
        <v>0.5</v>
      </c>
      <c r="J806" s="13">
        <v>0.4</v>
      </c>
      <c r="K806" s="14">
        <v>52</v>
      </c>
      <c r="L806" s="13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9">
        <f t="shared" si="72"/>
        <v>4.8049999999999997</v>
      </c>
      <c r="AB806" s="9">
        <f t="shared" si="73"/>
        <v>3.8440000000000003</v>
      </c>
      <c r="AC806" s="10">
        <f t="shared" si="74"/>
        <v>49972</v>
      </c>
      <c r="AD806" s="10">
        <f t="shared" si="75"/>
        <v>0</v>
      </c>
      <c r="AE806" s="9">
        <f t="shared" si="76"/>
        <v>0</v>
      </c>
      <c r="AF806" s="9">
        <f t="shared" si="77"/>
        <v>8.6490000000000009</v>
      </c>
      <c r="AG806" s="9">
        <f t="shared" si="78"/>
        <v>0.9</v>
      </c>
      <c r="AH806" s="11">
        <f t="shared" si="81"/>
        <v>480.5</v>
      </c>
      <c r="AI806" s="11">
        <f t="shared" si="81"/>
        <v>384.40000000000003</v>
      </c>
      <c r="AJ806" s="11">
        <f t="shared" si="81"/>
        <v>49972</v>
      </c>
      <c r="AK806" s="11">
        <f t="shared" si="81"/>
        <v>0</v>
      </c>
      <c r="AL806" s="11">
        <f t="shared" si="81"/>
        <v>0</v>
      </c>
      <c r="AM806" s="2"/>
      <c r="AN806" s="2"/>
      <c r="AO806" s="2"/>
    </row>
    <row r="807" spans="1:41" x14ac:dyDescent="0.2">
      <c r="A807" s="2" t="s">
        <v>1583</v>
      </c>
      <c r="B807" s="2" t="s">
        <v>1584</v>
      </c>
      <c r="C807" s="2" t="s">
        <v>48</v>
      </c>
      <c r="D807" s="2"/>
      <c r="E807" s="2" t="s">
        <v>50</v>
      </c>
      <c r="F807" s="2" t="s">
        <v>1585</v>
      </c>
      <c r="G807" s="2" t="s">
        <v>748</v>
      </c>
      <c r="H807" s="2">
        <f>0.29+1.841+0.398+2.583+0.939</f>
        <v>6.0510000000000002</v>
      </c>
      <c r="I807" s="2"/>
      <c r="J807" s="9">
        <f>(0.02*0.29+1.65*1.841+0.07*0.398+1.42*2.583+2.92*0.939)/$H807</f>
        <v>1.5668567178978681</v>
      </c>
      <c r="K807" s="13">
        <f>(10.5*0.29+17.5*1.841+7.2*0.398+20.6*2.583+15.6*0.939)/$H807</f>
        <v>17.515501569988434</v>
      </c>
      <c r="L807" s="9">
        <f>(0.06*0.29+2.2*1.841+0.13*0.398+1.09*2.583+0.69*0.939)/$H807</f>
        <v>1.2531350190051231</v>
      </c>
      <c r="M807" s="9">
        <f>(2.55*0.29+1.06*1.841+4.77*0.398+0.96*2.583+0.84*0.939)/$H807</f>
        <v>1.2986051892249215</v>
      </c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9">
        <f t="shared" si="72"/>
        <v>0</v>
      </c>
      <c r="AB807" s="9">
        <f t="shared" si="73"/>
        <v>9.4810499999999992E-2</v>
      </c>
      <c r="AC807" s="10">
        <f t="shared" si="74"/>
        <v>105.98630000000001</v>
      </c>
      <c r="AD807" s="10">
        <f t="shared" si="75"/>
        <v>7.8578600000000005</v>
      </c>
      <c r="AE807" s="9">
        <f t="shared" si="76"/>
        <v>7.5827199999999997E-2</v>
      </c>
      <c r="AF807" s="9">
        <f t="shared" si="77"/>
        <v>0.1706377</v>
      </c>
      <c r="AG807" s="9">
        <f t="shared" si="78"/>
        <v>2.819991736902991</v>
      </c>
      <c r="AH807" s="11">
        <f t="shared" si="81"/>
        <v>0</v>
      </c>
      <c r="AI807" s="11">
        <f t="shared" si="81"/>
        <v>9.4810499999999998</v>
      </c>
      <c r="AJ807" s="11">
        <f t="shared" si="81"/>
        <v>105.98630000000001</v>
      </c>
      <c r="AK807" s="11">
        <f t="shared" si="81"/>
        <v>7.5827200000000001</v>
      </c>
      <c r="AL807" s="11">
        <f t="shared" si="81"/>
        <v>7.8578600000000005</v>
      </c>
      <c r="AM807" s="2"/>
      <c r="AN807" s="2"/>
      <c r="AO807" s="2"/>
    </row>
    <row r="808" spans="1:41" x14ac:dyDescent="0.2">
      <c r="A808" s="2" t="s">
        <v>1586</v>
      </c>
      <c r="B808" s="2" t="s">
        <v>1587</v>
      </c>
      <c r="C808" s="2" t="s">
        <v>38</v>
      </c>
      <c r="D808" s="2" t="s">
        <v>39</v>
      </c>
      <c r="E808" s="2" t="s">
        <v>50</v>
      </c>
      <c r="F808" s="2" t="s">
        <v>1161</v>
      </c>
      <c r="G808" s="2" t="s">
        <v>106</v>
      </c>
      <c r="H808" s="2">
        <v>1.609</v>
      </c>
      <c r="I808" s="2"/>
      <c r="J808" s="2">
        <v>10.3</v>
      </c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9">
        <f t="shared" si="72"/>
        <v>0</v>
      </c>
      <c r="AB808" s="9">
        <f t="shared" si="73"/>
        <v>0.16572700000000001</v>
      </c>
      <c r="AC808" s="10">
        <f t="shared" si="74"/>
        <v>0</v>
      </c>
      <c r="AD808" s="10">
        <f t="shared" si="75"/>
        <v>0</v>
      </c>
      <c r="AE808" s="9">
        <f t="shared" si="76"/>
        <v>0</v>
      </c>
      <c r="AF808" s="9">
        <f t="shared" si="77"/>
        <v>0.16572700000000001</v>
      </c>
      <c r="AG808" s="9">
        <f t="shared" si="78"/>
        <v>10.3</v>
      </c>
      <c r="AH808" s="11">
        <f t="shared" si="81"/>
        <v>0</v>
      </c>
      <c r="AI808" s="11">
        <f t="shared" si="81"/>
        <v>16.572700000000001</v>
      </c>
      <c r="AJ808" s="11">
        <f t="shared" si="81"/>
        <v>0</v>
      </c>
      <c r="AK808" s="11">
        <f t="shared" si="81"/>
        <v>0</v>
      </c>
      <c r="AL808" s="11">
        <f t="shared" si="81"/>
        <v>0</v>
      </c>
      <c r="AM808" s="2"/>
      <c r="AN808" s="2"/>
      <c r="AO808" s="2"/>
    </row>
    <row r="809" spans="1:41" x14ac:dyDescent="0.2">
      <c r="A809" s="2" t="s">
        <v>1588</v>
      </c>
      <c r="B809" s="2" t="s">
        <v>1589</v>
      </c>
      <c r="C809" s="2" t="s">
        <v>38</v>
      </c>
      <c r="D809" s="2" t="s">
        <v>39</v>
      </c>
      <c r="E809" s="2" t="s">
        <v>50</v>
      </c>
      <c r="F809" s="2" t="s">
        <v>1590</v>
      </c>
      <c r="G809" s="2" t="s">
        <v>1591</v>
      </c>
      <c r="H809" s="2">
        <v>8.8360000000000003</v>
      </c>
      <c r="I809" s="2">
        <v>0.99</v>
      </c>
      <c r="J809" s="2">
        <v>2.17</v>
      </c>
      <c r="K809" s="2">
        <v>7.3</v>
      </c>
      <c r="L809" s="2"/>
      <c r="M809" s="2"/>
      <c r="N809" s="9">
        <f>21.66*(137.327/(137.327+96.06))</f>
        <v>12.744937892856072</v>
      </c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>
        <v>5.0599999999999996</v>
      </c>
      <c r="Z809" s="2" t="s">
        <v>1592</v>
      </c>
      <c r="AA809" s="9">
        <f t="shared" si="72"/>
        <v>8.747640000000001E-2</v>
      </c>
      <c r="AB809" s="9">
        <f t="shared" si="73"/>
        <v>0.19174119999999997</v>
      </c>
      <c r="AC809" s="10">
        <f t="shared" si="74"/>
        <v>64.502800000000008</v>
      </c>
      <c r="AD809" s="10">
        <f t="shared" si="75"/>
        <v>0</v>
      </c>
      <c r="AE809" s="9">
        <f t="shared" si="76"/>
        <v>0</v>
      </c>
      <c r="AF809" s="9">
        <f t="shared" si="77"/>
        <v>0.27921759999999995</v>
      </c>
      <c r="AG809" s="9">
        <f t="shared" si="78"/>
        <v>3.16</v>
      </c>
      <c r="AH809" s="11">
        <f t="shared" si="81"/>
        <v>8.7476400000000005</v>
      </c>
      <c r="AI809" s="11">
        <f t="shared" si="81"/>
        <v>19.174119999999998</v>
      </c>
      <c r="AJ809" s="11">
        <f t="shared" si="81"/>
        <v>64.502800000000008</v>
      </c>
      <c r="AK809" s="11">
        <f t="shared" si="81"/>
        <v>0</v>
      </c>
      <c r="AL809" s="11">
        <f t="shared" si="81"/>
        <v>0</v>
      </c>
      <c r="AM809" s="2"/>
      <c r="AN809" s="2"/>
      <c r="AO809" s="2"/>
    </row>
    <row r="810" spans="1:41" x14ac:dyDescent="0.2">
      <c r="A810" s="2" t="s">
        <v>1593</v>
      </c>
      <c r="B810" s="2" t="s">
        <v>1589</v>
      </c>
      <c r="C810" s="2" t="s">
        <v>38</v>
      </c>
      <c r="D810" s="2" t="s">
        <v>39</v>
      </c>
      <c r="E810" s="7" t="s">
        <v>40</v>
      </c>
      <c r="F810" s="2" t="s">
        <v>1590</v>
      </c>
      <c r="G810" s="8" t="s">
        <v>1594</v>
      </c>
      <c r="H810" s="2">
        <v>2.7</v>
      </c>
      <c r="I810" s="2">
        <v>3.34</v>
      </c>
      <c r="J810" s="2">
        <v>6.14</v>
      </c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9">
        <f t="shared" si="72"/>
        <v>9.018000000000001E-2</v>
      </c>
      <c r="AB810" s="9">
        <f t="shared" si="73"/>
        <v>0.16577999999999998</v>
      </c>
      <c r="AC810" s="10">
        <f t="shared" si="74"/>
        <v>0</v>
      </c>
      <c r="AD810" s="10">
        <f t="shared" si="75"/>
        <v>0</v>
      </c>
      <c r="AE810" s="9">
        <f t="shared" si="76"/>
        <v>0</v>
      </c>
      <c r="AF810" s="9">
        <f t="shared" si="77"/>
        <v>0.25595999999999997</v>
      </c>
      <c r="AG810" s="9">
        <f t="shared" si="78"/>
        <v>9.48</v>
      </c>
      <c r="AH810" s="11">
        <f t="shared" si="81"/>
        <v>9.0180000000000007</v>
      </c>
      <c r="AI810" s="11">
        <f t="shared" si="81"/>
        <v>16.577999999999999</v>
      </c>
      <c r="AJ810" s="11">
        <f t="shared" si="81"/>
        <v>0</v>
      </c>
      <c r="AK810" s="11">
        <f t="shared" si="81"/>
        <v>0</v>
      </c>
      <c r="AL810" s="11">
        <f t="shared" si="81"/>
        <v>0</v>
      </c>
      <c r="AM810" s="2"/>
      <c r="AN810" s="2"/>
      <c r="AO810" s="2"/>
    </row>
    <row r="811" spans="1:41" x14ac:dyDescent="0.2">
      <c r="A811" s="2" t="s">
        <v>1595</v>
      </c>
      <c r="B811" s="2" t="s">
        <v>1589</v>
      </c>
      <c r="C811" s="2" t="s">
        <v>38</v>
      </c>
      <c r="D811" s="2" t="s">
        <v>39</v>
      </c>
      <c r="E811" s="2" t="s">
        <v>50</v>
      </c>
      <c r="F811" s="2" t="s">
        <v>1590</v>
      </c>
      <c r="G811" s="2" t="s">
        <v>1596</v>
      </c>
      <c r="H811" s="2">
        <v>1.2</v>
      </c>
      <c r="I811" s="2">
        <v>5.6</v>
      </c>
      <c r="J811" s="13">
        <v>6</v>
      </c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9">
        <f t="shared" si="72"/>
        <v>6.7199999999999996E-2</v>
      </c>
      <c r="AB811" s="9">
        <f t="shared" si="73"/>
        <v>7.1999999999999995E-2</v>
      </c>
      <c r="AC811" s="10">
        <f t="shared" si="74"/>
        <v>0</v>
      </c>
      <c r="AD811" s="10">
        <f t="shared" si="75"/>
        <v>0</v>
      </c>
      <c r="AE811" s="9">
        <f t="shared" si="76"/>
        <v>0</v>
      </c>
      <c r="AF811" s="9">
        <f t="shared" si="77"/>
        <v>0.13919999999999999</v>
      </c>
      <c r="AG811" s="9">
        <f t="shared" si="78"/>
        <v>11.6</v>
      </c>
      <c r="AH811" s="11">
        <f t="shared" si="81"/>
        <v>6.72</v>
      </c>
      <c r="AI811" s="11">
        <f t="shared" si="81"/>
        <v>7.1999999999999993</v>
      </c>
      <c r="AJ811" s="11">
        <f t="shared" si="81"/>
        <v>0</v>
      </c>
      <c r="AK811" s="11">
        <f t="shared" si="81"/>
        <v>0</v>
      </c>
      <c r="AL811" s="11">
        <f t="shared" si="81"/>
        <v>0</v>
      </c>
      <c r="AM811" s="2"/>
      <c r="AN811" s="2"/>
      <c r="AO811" s="2"/>
    </row>
    <row r="812" spans="1:41" x14ac:dyDescent="0.2">
      <c r="A812" s="2" t="s">
        <v>1597</v>
      </c>
      <c r="B812" s="2" t="s">
        <v>1589</v>
      </c>
      <c r="C812" s="2" t="s">
        <v>38</v>
      </c>
      <c r="D812" s="2" t="s">
        <v>39</v>
      </c>
      <c r="E812" s="7" t="s">
        <v>40</v>
      </c>
      <c r="F812" s="2" t="s">
        <v>1590</v>
      </c>
      <c r="G812" s="8" t="s">
        <v>1598</v>
      </c>
      <c r="H812" s="2">
        <v>0.4</v>
      </c>
      <c r="I812" s="2">
        <v>1.75</v>
      </c>
      <c r="J812" s="2">
        <v>1.75</v>
      </c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>
        <v>35</v>
      </c>
      <c r="Z812" s="2" t="s">
        <v>1592</v>
      </c>
      <c r="AA812" s="9">
        <f t="shared" si="72"/>
        <v>7.000000000000001E-3</v>
      </c>
      <c r="AB812" s="9">
        <f t="shared" si="73"/>
        <v>7.000000000000001E-3</v>
      </c>
      <c r="AC812" s="10">
        <f t="shared" si="74"/>
        <v>0</v>
      </c>
      <c r="AD812" s="10">
        <f t="shared" si="75"/>
        <v>0</v>
      </c>
      <c r="AE812" s="9">
        <f t="shared" si="76"/>
        <v>0</v>
      </c>
      <c r="AF812" s="9">
        <f t="shared" si="77"/>
        <v>1.4000000000000002E-2</v>
      </c>
      <c r="AG812" s="9">
        <f t="shared" si="78"/>
        <v>3.5</v>
      </c>
      <c r="AH812" s="11">
        <f t="shared" si="81"/>
        <v>0.70000000000000007</v>
      </c>
      <c r="AI812" s="11">
        <f t="shared" si="81"/>
        <v>0.70000000000000007</v>
      </c>
      <c r="AJ812" s="11">
        <f t="shared" si="81"/>
        <v>0</v>
      </c>
      <c r="AK812" s="11">
        <f t="shared" si="81"/>
        <v>0</v>
      </c>
      <c r="AL812" s="11">
        <f t="shared" si="81"/>
        <v>0</v>
      </c>
      <c r="AM812" s="2"/>
      <c r="AN812" s="2"/>
      <c r="AO812" s="2"/>
    </row>
    <row r="813" spans="1:41" x14ac:dyDescent="0.2">
      <c r="A813" s="2" t="s">
        <v>1599</v>
      </c>
      <c r="B813" s="2" t="s">
        <v>1589</v>
      </c>
      <c r="C813" s="2" t="s">
        <v>38</v>
      </c>
      <c r="D813" s="2" t="s">
        <v>39</v>
      </c>
      <c r="E813" s="7" t="s">
        <v>40</v>
      </c>
      <c r="F813" s="2" t="s">
        <v>1590</v>
      </c>
      <c r="G813" s="8" t="s">
        <v>1598</v>
      </c>
      <c r="H813" s="2">
        <v>2.5000000000000001E-2</v>
      </c>
      <c r="I813" s="2">
        <v>1.75</v>
      </c>
      <c r="J813" s="2">
        <v>1.75</v>
      </c>
      <c r="K813" s="2"/>
      <c r="L813" s="2"/>
      <c r="M813" s="2"/>
      <c r="N813" s="13">
        <f>10*(137.327/(137.327+96.06))</f>
        <v>5.8840895165540497</v>
      </c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>
        <v>15</v>
      </c>
      <c r="Z813" s="2" t="s">
        <v>1592</v>
      </c>
      <c r="AA813" s="9">
        <f t="shared" si="72"/>
        <v>4.3750000000000006E-4</v>
      </c>
      <c r="AB813" s="9">
        <f t="shared" si="73"/>
        <v>4.3750000000000006E-4</v>
      </c>
      <c r="AC813" s="10">
        <f t="shared" si="74"/>
        <v>0</v>
      </c>
      <c r="AD813" s="10">
        <f t="shared" si="75"/>
        <v>0</v>
      </c>
      <c r="AE813" s="9">
        <f t="shared" si="76"/>
        <v>0</v>
      </c>
      <c r="AF813" s="9">
        <f t="shared" si="77"/>
        <v>8.7500000000000013E-4</v>
      </c>
      <c r="AG813" s="9">
        <f t="shared" si="78"/>
        <v>3.5</v>
      </c>
      <c r="AH813" s="11">
        <f t="shared" si="81"/>
        <v>4.3750000000000004E-2</v>
      </c>
      <c r="AI813" s="11">
        <f t="shared" si="81"/>
        <v>4.3750000000000004E-2</v>
      </c>
      <c r="AJ813" s="11">
        <f t="shared" si="81"/>
        <v>0</v>
      </c>
      <c r="AK813" s="11">
        <f t="shared" si="81"/>
        <v>0</v>
      </c>
      <c r="AL813" s="11">
        <f t="shared" si="81"/>
        <v>0</v>
      </c>
      <c r="AM813" s="2"/>
      <c r="AN813" s="2"/>
      <c r="AO813" s="2"/>
    </row>
    <row r="814" spans="1:41" x14ac:dyDescent="0.2">
      <c r="A814" s="2" t="s">
        <v>1600</v>
      </c>
      <c r="B814" s="2" t="s">
        <v>1589</v>
      </c>
      <c r="C814" s="2" t="s">
        <v>38</v>
      </c>
      <c r="D814" s="2" t="s">
        <v>39</v>
      </c>
      <c r="E814" s="7" t="s">
        <v>40</v>
      </c>
      <c r="F814" s="2" t="s">
        <v>1590</v>
      </c>
      <c r="G814" s="8" t="s">
        <v>1598</v>
      </c>
      <c r="H814" s="2">
        <v>4</v>
      </c>
      <c r="I814" s="2">
        <v>1</v>
      </c>
      <c r="J814" s="2">
        <v>1</v>
      </c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>
        <v>25</v>
      </c>
      <c r="Z814" s="2" t="s">
        <v>1592</v>
      </c>
      <c r="AA814" s="9">
        <f t="shared" si="72"/>
        <v>0.04</v>
      </c>
      <c r="AB814" s="9">
        <f t="shared" si="73"/>
        <v>0.04</v>
      </c>
      <c r="AC814" s="10">
        <f t="shared" si="74"/>
        <v>0</v>
      </c>
      <c r="AD814" s="10">
        <f t="shared" si="75"/>
        <v>0</v>
      </c>
      <c r="AE814" s="9">
        <f t="shared" si="76"/>
        <v>0</v>
      </c>
      <c r="AF814" s="9">
        <f t="shared" si="77"/>
        <v>0.08</v>
      </c>
      <c r="AG814" s="9">
        <f t="shared" si="78"/>
        <v>2</v>
      </c>
      <c r="AH814" s="11">
        <f t="shared" si="81"/>
        <v>4</v>
      </c>
      <c r="AI814" s="11">
        <f t="shared" si="81"/>
        <v>4</v>
      </c>
      <c r="AJ814" s="11">
        <f t="shared" si="81"/>
        <v>0</v>
      </c>
      <c r="AK814" s="11">
        <f t="shared" si="81"/>
        <v>0</v>
      </c>
      <c r="AL814" s="11">
        <f t="shared" si="81"/>
        <v>0</v>
      </c>
      <c r="AM814" s="2"/>
      <c r="AN814" s="2"/>
      <c r="AO814" s="2"/>
    </row>
    <row r="815" spans="1:41" x14ac:dyDescent="0.2">
      <c r="A815" s="2" t="s">
        <v>1601</v>
      </c>
      <c r="B815" s="2" t="s">
        <v>1602</v>
      </c>
      <c r="C815" s="21" t="s">
        <v>38</v>
      </c>
      <c r="D815" s="21" t="s">
        <v>62</v>
      </c>
      <c r="E815" s="7" t="s">
        <v>40</v>
      </c>
      <c r="F815" s="2" t="s">
        <v>41</v>
      </c>
      <c r="G815" s="8" t="s">
        <v>44</v>
      </c>
      <c r="H815" s="2">
        <v>0.9</v>
      </c>
      <c r="I815" s="2">
        <v>1.5</v>
      </c>
      <c r="J815" s="2">
        <v>7.5</v>
      </c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9">
        <f t="shared" si="72"/>
        <v>1.3500000000000002E-2</v>
      </c>
      <c r="AB815" s="9">
        <f t="shared" si="73"/>
        <v>6.7500000000000004E-2</v>
      </c>
      <c r="AC815" s="10">
        <f t="shared" si="74"/>
        <v>0</v>
      </c>
      <c r="AD815" s="10">
        <f t="shared" si="75"/>
        <v>0</v>
      </c>
      <c r="AE815" s="9">
        <f t="shared" si="76"/>
        <v>0</v>
      </c>
      <c r="AF815" s="9">
        <f t="shared" si="77"/>
        <v>8.1000000000000003E-2</v>
      </c>
      <c r="AG815" s="9">
        <f t="shared" si="78"/>
        <v>9</v>
      </c>
      <c r="AH815" s="11">
        <f t="shared" si="81"/>
        <v>1.35</v>
      </c>
      <c r="AI815" s="11">
        <f t="shared" si="81"/>
        <v>6.75</v>
      </c>
      <c r="AJ815" s="11">
        <f t="shared" si="81"/>
        <v>0</v>
      </c>
      <c r="AK815" s="11">
        <f t="shared" si="81"/>
        <v>0</v>
      </c>
      <c r="AL815" s="11">
        <f t="shared" si="81"/>
        <v>0</v>
      </c>
      <c r="AM815" s="2"/>
      <c r="AN815" s="2"/>
      <c r="AO815" s="2"/>
    </row>
    <row r="816" spans="1:41" x14ac:dyDescent="0.2">
      <c r="A816" s="2" t="s">
        <v>1603</v>
      </c>
      <c r="B816" s="2" t="s">
        <v>1602</v>
      </c>
      <c r="C816" s="2" t="s">
        <v>48</v>
      </c>
      <c r="D816" s="2"/>
      <c r="E816" s="2" t="s">
        <v>50</v>
      </c>
      <c r="F816" s="2" t="s">
        <v>963</v>
      </c>
      <c r="G816" s="2" t="s">
        <v>71</v>
      </c>
      <c r="H816" s="2">
        <f>5.092+0.98+7.374</f>
        <v>13.445999999999998</v>
      </c>
      <c r="I816" s="2"/>
      <c r="J816" s="9">
        <f>(2.5*5.092+5.65*0.98+2.49*7.374)/$H816</f>
        <v>2.7241008478357878</v>
      </c>
      <c r="K816" s="13">
        <f>(20*5.092+0*0.98+21*7.374)/$H816</f>
        <v>19.09073330358471</v>
      </c>
      <c r="L816" s="9">
        <f>(2.94*5.092+2.64*0.98+2.72*7.374)/$H816</f>
        <v>2.7974832663989293</v>
      </c>
      <c r="M816" s="9">
        <f>(0.57*5.092+0*0.98+0.33*7.374)/$H816</f>
        <v>0.39683623382418565</v>
      </c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9">
        <f t="shared" si="72"/>
        <v>0</v>
      </c>
      <c r="AB816" s="9">
        <f t="shared" si="73"/>
        <v>0.36628259999999996</v>
      </c>
      <c r="AC816" s="10">
        <f t="shared" si="74"/>
        <v>256.69399999999996</v>
      </c>
      <c r="AD816" s="10">
        <f t="shared" si="75"/>
        <v>5.3358599999999994</v>
      </c>
      <c r="AE816" s="9">
        <f t="shared" si="76"/>
        <v>0.37614959999999997</v>
      </c>
      <c r="AF816" s="9">
        <f t="shared" si="77"/>
        <v>0.74243219999999988</v>
      </c>
      <c r="AG816" s="9">
        <f t="shared" si="78"/>
        <v>5.5215841142347166</v>
      </c>
      <c r="AH816" s="11">
        <f t="shared" si="81"/>
        <v>0</v>
      </c>
      <c r="AI816" s="11">
        <f t="shared" si="81"/>
        <v>36.628259999999997</v>
      </c>
      <c r="AJ816" s="11">
        <f t="shared" si="81"/>
        <v>256.69399999999996</v>
      </c>
      <c r="AK816" s="11">
        <f t="shared" si="81"/>
        <v>37.614959999999996</v>
      </c>
      <c r="AL816" s="11">
        <f t="shared" si="81"/>
        <v>5.3358599999999994</v>
      </c>
      <c r="AM816" s="2"/>
      <c r="AN816" s="2"/>
      <c r="AO816" s="2"/>
    </row>
    <row r="817" spans="1:41" x14ac:dyDescent="0.2">
      <c r="A817" s="2" t="s">
        <v>1604</v>
      </c>
      <c r="B817" s="2" t="s">
        <v>1602</v>
      </c>
      <c r="C817" s="2" t="s">
        <v>54</v>
      </c>
      <c r="D817" s="2" t="s">
        <v>289</v>
      </c>
      <c r="E817" s="2" t="s">
        <v>50</v>
      </c>
      <c r="F817" s="2" t="s">
        <v>1605</v>
      </c>
      <c r="G817" s="2" t="s">
        <v>572</v>
      </c>
      <c r="H817" s="2">
        <f>4.6+0.2</f>
        <v>4.8</v>
      </c>
      <c r="I817" s="9">
        <f>(0.38*4.6+0.4*0.2)/$H817</f>
        <v>0.3808333333333333</v>
      </c>
      <c r="J817" s="9">
        <f>(0.96*4.6+1.45*0.2)/$H817</f>
        <v>0.9804166666666666</v>
      </c>
      <c r="K817" s="9">
        <f>(2.28*4.6+3.2*0.2)/$H817</f>
        <v>2.3183333333333329</v>
      </c>
      <c r="L817" s="2"/>
      <c r="M817" s="9">
        <f>(1.82*4.6+1.07*0.2)/$H817</f>
        <v>1.7887500000000001</v>
      </c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9">
        <f t="shared" si="72"/>
        <v>1.8279999999999998E-2</v>
      </c>
      <c r="AB817" s="9">
        <f t="shared" si="73"/>
        <v>4.7059999999999998E-2</v>
      </c>
      <c r="AC817" s="10">
        <f t="shared" si="74"/>
        <v>11.127999999999998</v>
      </c>
      <c r="AD817" s="10">
        <f t="shared" si="75"/>
        <v>8.5860000000000003</v>
      </c>
      <c r="AE817" s="9">
        <f t="shared" si="76"/>
        <v>0</v>
      </c>
      <c r="AF817" s="9">
        <f t="shared" si="77"/>
        <v>6.5339999999999995E-2</v>
      </c>
      <c r="AG817" s="9">
        <f t="shared" si="78"/>
        <v>1.3612499999999998</v>
      </c>
      <c r="AH817" s="11">
        <f t="shared" si="81"/>
        <v>1.8279999999999998</v>
      </c>
      <c r="AI817" s="11">
        <f t="shared" si="81"/>
        <v>4.7059999999999995</v>
      </c>
      <c r="AJ817" s="11">
        <f t="shared" si="81"/>
        <v>11.127999999999998</v>
      </c>
      <c r="AK817" s="11">
        <f t="shared" si="81"/>
        <v>0</v>
      </c>
      <c r="AL817" s="11">
        <f t="shared" si="81"/>
        <v>8.5860000000000003</v>
      </c>
      <c r="AM817" s="2"/>
      <c r="AN817" s="2"/>
      <c r="AO817" s="2"/>
    </row>
    <row r="818" spans="1:41" x14ac:dyDescent="0.2">
      <c r="A818" s="2" t="s">
        <v>1606</v>
      </c>
      <c r="B818" s="2" t="s">
        <v>1602</v>
      </c>
      <c r="C818" s="2" t="s">
        <v>38</v>
      </c>
      <c r="D818" s="2" t="s">
        <v>39</v>
      </c>
      <c r="E818" s="2" t="s">
        <v>50</v>
      </c>
      <c r="F818" s="2" t="s">
        <v>1607</v>
      </c>
      <c r="G818" s="2" t="s">
        <v>572</v>
      </c>
      <c r="H818" s="2">
        <v>6.25</v>
      </c>
      <c r="I818" s="2">
        <v>5.0000000000000001E-3</v>
      </c>
      <c r="J818" s="2">
        <v>1.68</v>
      </c>
      <c r="K818" s="2">
        <v>1.53</v>
      </c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9">
        <f t="shared" si="72"/>
        <v>3.1250000000000001E-4</v>
      </c>
      <c r="AB818" s="9">
        <f t="shared" si="73"/>
        <v>0.105</v>
      </c>
      <c r="AC818" s="10">
        <f t="shared" si="74"/>
        <v>9.5625</v>
      </c>
      <c r="AD818" s="10">
        <f t="shared" si="75"/>
        <v>0</v>
      </c>
      <c r="AE818" s="9">
        <f t="shared" si="76"/>
        <v>0</v>
      </c>
      <c r="AF818" s="9">
        <f t="shared" si="77"/>
        <v>0.10531249999999999</v>
      </c>
      <c r="AG818" s="9">
        <f t="shared" si="78"/>
        <v>1.6849999999999998</v>
      </c>
      <c r="AH818" s="11">
        <f t="shared" ref="AH818:AL833" si="82">$H818*I818</f>
        <v>3.125E-2</v>
      </c>
      <c r="AI818" s="11">
        <f t="shared" si="82"/>
        <v>10.5</v>
      </c>
      <c r="AJ818" s="11">
        <f t="shared" si="82"/>
        <v>9.5625</v>
      </c>
      <c r="AK818" s="11">
        <f t="shared" si="82"/>
        <v>0</v>
      </c>
      <c r="AL818" s="11">
        <f t="shared" si="82"/>
        <v>0</v>
      </c>
      <c r="AM818" s="2"/>
      <c r="AN818" s="2"/>
      <c r="AO818" s="2"/>
    </row>
    <row r="819" spans="1:41" x14ac:dyDescent="0.2">
      <c r="A819" s="2" t="s">
        <v>1608</v>
      </c>
      <c r="B819" s="2" t="s">
        <v>1602</v>
      </c>
      <c r="C819" s="2" t="s">
        <v>157</v>
      </c>
      <c r="D819" s="2"/>
      <c r="E819" s="2" t="s">
        <v>50</v>
      </c>
      <c r="F819" s="2" t="s">
        <v>1609</v>
      </c>
      <c r="G819" s="2" t="s">
        <v>1610</v>
      </c>
      <c r="H819" s="12">
        <v>0.92347500000000005</v>
      </c>
      <c r="I819" s="2">
        <v>7.38</v>
      </c>
      <c r="J819" s="2">
        <v>2.85</v>
      </c>
      <c r="K819" s="2"/>
      <c r="L819" s="2">
        <v>1.36</v>
      </c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9">
        <f t="shared" si="72"/>
        <v>6.8152455000000001E-2</v>
      </c>
      <c r="AB819" s="9">
        <f t="shared" si="73"/>
        <v>2.6319037500000003E-2</v>
      </c>
      <c r="AC819" s="10">
        <f t="shared" si="74"/>
        <v>0</v>
      </c>
      <c r="AD819" s="10">
        <f t="shared" si="75"/>
        <v>0</v>
      </c>
      <c r="AE819" s="9">
        <f t="shared" si="76"/>
        <v>1.2559260000000001E-2</v>
      </c>
      <c r="AF819" s="9">
        <f t="shared" si="77"/>
        <v>0.10703075250000001</v>
      </c>
      <c r="AG819" s="9">
        <f t="shared" si="78"/>
        <v>11.59</v>
      </c>
      <c r="AH819" s="11">
        <f t="shared" si="82"/>
        <v>6.8152455000000005</v>
      </c>
      <c r="AI819" s="11">
        <f t="shared" si="82"/>
        <v>2.6319037500000002</v>
      </c>
      <c r="AJ819" s="11">
        <f t="shared" si="82"/>
        <v>0</v>
      </c>
      <c r="AK819" s="11">
        <f t="shared" si="82"/>
        <v>1.2559260000000001</v>
      </c>
      <c r="AL819" s="11">
        <f t="shared" si="82"/>
        <v>0</v>
      </c>
      <c r="AM819" s="2"/>
      <c r="AN819" s="2"/>
      <c r="AO819" s="2"/>
    </row>
    <row r="820" spans="1:41" x14ac:dyDescent="0.2">
      <c r="A820" s="2" t="s">
        <v>1611</v>
      </c>
      <c r="B820" s="2" t="s">
        <v>1602</v>
      </c>
      <c r="C820" s="2" t="s">
        <v>48</v>
      </c>
      <c r="D820" s="2"/>
      <c r="E820" s="2" t="s">
        <v>50</v>
      </c>
      <c r="F820" s="2" t="s">
        <v>1612</v>
      </c>
      <c r="G820" s="2" t="s">
        <v>626</v>
      </c>
      <c r="H820" s="2">
        <f>29.669+0.369</f>
        <v>30.038</v>
      </c>
      <c r="I820" s="9">
        <f>(1.01*29.669+0.94*0.369)/$H820</f>
        <v>1.0091400892203211</v>
      </c>
      <c r="J820" s="9">
        <f>(1.47*29.669+1.89*0.369)/$H820</f>
        <v>1.4751594646780744</v>
      </c>
      <c r="K820" s="13">
        <f>(31.3*29.669+25.5*0.369)/$H820</f>
        <v>31.228750249683735</v>
      </c>
      <c r="L820" s="9">
        <f>(0.31*29.669+0.18*0.369)/$H820</f>
        <v>0.3084030228377389</v>
      </c>
      <c r="M820" s="9">
        <f>(0.95*29.669+0.47*0.369)/$H820</f>
        <v>0.94410346893934349</v>
      </c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9">
        <f t="shared" si="72"/>
        <v>0.30312550000000005</v>
      </c>
      <c r="AB820" s="9">
        <f t="shared" si="73"/>
        <v>0.44310840000000001</v>
      </c>
      <c r="AC820" s="10">
        <f t="shared" si="74"/>
        <v>938.04920000000004</v>
      </c>
      <c r="AD820" s="10">
        <f t="shared" si="75"/>
        <v>28.358979999999999</v>
      </c>
      <c r="AE820" s="9">
        <f t="shared" si="76"/>
        <v>9.2638100000000015E-2</v>
      </c>
      <c r="AF820" s="9">
        <f t="shared" si="77"/>
        <v>0.83887200000000006</v>
      </c>
      <c r="AG820" s="9">
        <f t="shared" si="78"/>
        <v>2.7927025767361346</v>
      </c>
      <c r="AH820" s="11">
        <f t="shared" si="82"/>
        <v>30.312550000000005</v>
      </c>
      <c r="AI820" s="11">
        <f t="shared" si="82"/>
        <v>44.310839999999999</v>
      </c>
      <c r="AJ820" s="11">
        <f t="shared" si="82"/>
        <v>938.04920000000004</v>
      </c>
      <c r="AK820" s="11">
        <f t="shared" si="82"/>
        <v>9.2638100000000012</v>
      </c>
      <c r="AL820" s="11">
        <f t="shared" si="82"/>
        <v>28.358979999999999</v>
      </c>
      <c r="AM820" s="2"/>
      <c r="AN820" s="2"/>
      <c r="AO820" s="2"/>
    </row>
    <row r="821" spans="1:41" x14ac:dyDescent="0.2">
      <c r="A821" s="2" t="s">
        <v>1613</v>
      </c>
      <c r="B821" s="2" t="s">
        <v>1614</v>
      </c>
      <c r="C821" s="2" t="s">
        <v>1615</v>
      </c>
      <c r="D821" s="2" t="s">
        <v>1616</v>
      </c>
      <c r="E821" s="2" t="s">
        <v>50</v>
      </c>
      <c r="F821" s="2" t="s">
        <v>1617</v>
      </c>
      <c r="G821" s="2" t="s">
        <v>1618</v>
      </c>
      <c r="H821" s="2">
        <v>3.4990000000000001</v>
      </c>
      <c r="I821" s="9"/>
      <c r="J821" s="9">
        <v>0.28999999999999998</v>
      </c>
      <c r="K821" s="13"/>
      <c r="L821" s="9">
        <v>0.45</v>
      </c>
      <c r="M821" s="9"/>
      <c r="N821" s="2"/>
      <c r="O821" s="2"/>
      <c r="P821" s="2"/>
      <c r="Q821" s="2">
        <v>0.33</v>
      </c>
      <c r="R821" s="2"/>
      <c r="S821" s="2"/>
      <c r="T821" s="2"/>
      <c r="U821" s="2"/>
      <c r="V821" s="2"/>
      <c r="W821" s="2"/>
      <c r="X821" s="2"/>
      <c r="Y821" s="2"/>
      <c r="Z821" s="2"/>
      <c r="AA821" s="9">
        <f t="shared" si="72"/>
        <v>0</v>
      </c>
      <c r="AB821" s="9">
        <f t="shared" si="73"/>
        <v>1.0147099999999999E-2</v>
      </c>
      <c r="AC821" s="10">
        <f t="shared" si="74"/>
        <v>0</v>
      </c>
      <c r="AD821" s="10">
        <f t="shared" si="75"/>
        <v>0</v>
      </c>
      <c r="AE821" s="9">
        <f t="shared" si="76"/>
        <v>1.5745500000000003E-2</v>
      </c>
      <c r="AF821" s="9">
        <f t="shared" si="77"/>
        <v>2.5892600000000002E-2</v>
      </c>
      <c r="AG821" s="9">
        <f t="shared" si="78"/>
        <v>0.74</v>
      </c>
      <c r="AH821" s="11">
        <f t="shared" si="82"/>
        <v>0</v>
      </c>
      <c r="AI821" s="11">
        <f t="shared" si="82"/>
        <v>1.01471</v>
      </c>
      <c r="AJ821" s="11">
        <f t="shared" si="82"/>
        <v>0</v>
      </c>
      <c r="AK821" s="11">
        <f t="shared" si="82"/>
        <v>1.5745500000000001</v>
      </c>
      <c r="AL821" s="11">
        <f t="shared" si="82"/>
        <v>0</v>
      </c>
      <c r="AM821" s="2"/>
      <c r="AN821" s="2"/>
      <c r="AO821" s="2"/>
    </row>
    <row r="822" spans="1:41" x14ac:dyDescent="0.2">
      <c r="A822" s="2" t="s">
        <v>1619</v>
      </c>
      <c r="B822" s="2" t="s">
        <v>1620</v>
      </c>
      <c r="C822" s="2" t="s">
        <v>48</v>
      </c>
      <c r="D822" s="2"/>
      <c r="E822" s="2" t="s">
        <v>50</v>
      </c>
      <c r="F822" s="2" t="s">
        <v>1621</v>
      </c>
      <c r="G822" s="2" t="s">
        <v>906</v>
      </c>
      <c r="H822" s="12">
        <f>6.702803+8.431244+2.336734</f>
        <v>17.470780999999999</v>
      </c>
      <c r="I822" s="9">
        <f>(0.18*6.702803+0.257*8.431244+0.334*2.336734)/$H822</f>
        <v>0.23775716746721282</v>
      </c>
      <c r="J822" s="9">
        <f>(3.947*6.702803+2.358*8.431244+2.2*2.336734)/$H822</f>
        <v>2.9464997353581395</v>
      </c>
      <c r="K822" s="13">
        <f>(27.297*6.702803+22.242*8.431244+26.525*2.336734)/$H822</f>
        <v>24.754246068850616</v>
      </c>
      <c r="L822" s="9">
        <f>(0.473*6.702803+0.218*8.431244+0.362*2.336734)/$H822</f>
        <v>0.33509290277292125</v>
      </c>
      <c r="M822" s="9">
        <f>(2.16*6.702803+1.925*8.431244+2.075*2.336734)/$H822</f>
        <v>2.0352222507969162</v>
      </c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9">
        <f t="shared" si="72"/>
        <v>4.1538034039999998E-2</v>
      </c>
      <c r="AB822" s="9">
        <f t="shared" si="73"/>
        <v>0.51477651593000007</v>
      </c>
      <c r="AC822" s="10">
        <f t="shared" si="74"/>
        <v>432.47601188900001</v>
      </c>
      <c r="AD822" s="10">
        <f t="shared" si="75"/>
        <v>35.556922229999998</v>
      </c>
      <c r="AE822" s="9">
        <f t="shared" si="76"/>
        <v>5.8543347189999997E-2</v>
      </c>
      <c r="AF822" s="9">
        <f t="shared" si="77"/>
        <v>0.61485789716000006</v>
      </c>
      <c r="AG822" s="9">
        <f t="shared" si="78"/>
        <v>3.5193498055982735</v>
      </c>
      <c r="AH822" s="11">
        <f t="shared" si="82"/>
        <v>4.1538034039999996</v>
      </c>
      <c r="AI822" s="11">
        <f t="shared" si="82"/>
        <v>51.477651593000004</v>
      </c>
      <c r="AJ822" s="11">
        <f t="shared" si="82"/>
        <v>432.47601188900001</v>
      </c>
      <c r="AK822" s="11">
        <f t="shared" si="82"/>
        <v>5.8543347189999997</v>
      </c>
      <c r="AL822" s="11">
        <f t="shared" si="82"/>
        <v>35.556922229999998</v>
      </c>
      <c r="AM822" s="2"/>
      <c r="AN822" s="2"/>
      <c r="AO822" s="2"/>
    </row>
    <row r="823" spans="1:41" x14ac:dyDescent="0.2">
      <c r="A823" s="2" t="s">
        <v>1622</v>
      </c>
      <c r="B823" s="2" t="s">
        <v>1620</v>
      </c>
      <c r="C823" s="2" t="s">
        <v>48</v>
      </c>
      <c r="D823" s="2"/>
      <c r="E823" s="2" t="s">
        <v>50</v>
      </c>
      <c r="F823" s="2" t="s">
        <v>843</v>
      </c>
      <c r="G823" s="2" t="s">
        <v>735</v>
      </c>
      <c r="H823" s="9">
        <f>(3.02+3.12)*0.9072</f>
        <v>5.5702080000000009</v>
      </c>
      <c r="I823" s="9">
        <f>(0.26*3.02+0.39*3.12)/(3.02+3.12)</f>
        <v>0.3260586319218241</v>
      </c>
      <c r="J823" s="9">
        <f>(5.63*3.02+5.58*3.12)/(3.02+3.12)</f>
        <v>5.6045928338762208</v>
      </c>
      <c r="K823" s="13">
        <f>((1.36*3.02+1.56*3.12)/(3.02+3.12))*31.1/0.9072</f>
        <v>50.106538211858513</v>
      </c>
      <c r="L823" s="9">
        <f>(0.64*3.02+0.39*3.12)/(3.02+3.12)</f>
        <v>0.51296416938110756</v>
      </c>
      <c r="M823" s="13">
        <f>((0.04*3.02+0.04*3.12)/(3.02+3.12))*31.1/0.9072</f>
        <v>1.371252204585538</v>
      </c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9">
        <f t="shared" si="72"/>
        <v>1.8162144000000002E-2</v>
      </c>
      <c r="AB823" s="9">
        <f t="shared" si="73"/>
        <v>0.31218747840000005</v>
      </c>
      <c r="AC823" s="10">
        <f t="shared" si="74"/>
        <v>279.10384000000005</v>
      </c>
      <c r="AD823" s="10">
        <f t="shared" si="75"/>
        <v>7.6381600000000018</v>
      </c>
      <c r="AE823" s="9">
        <f t="shared" si="76"/>
        <v>2.8573171200000008E-2</v>
      </c>
      <c r="AF823" s="9">
        <f t="shared" si="77"/>
        <v>0.35892279360000007</v>
      </c>
      <c r="AG823" s="9">
        <f t="shared" si="78"/>
        <v>6.4436156351791523</v>
      </c>
      <c r="AH823" s="11">
        <f t="shared" si="82"/>
        <v>1.8162144000000002</v>
      </c>
      <c r="AI823" s="11">
        <f t="shared" si="82"/>
        <v>31.218747840000002</v>
      </c>
      <c r="AJ823" s="11">
        <f t="shared" si="82"/>
        <v>279.10384000000005</v>
      </c>
      <c r="AK823" s="11">
        <f t="shared" si="82"/>
        <v>2.8573171200000007</v>
      </c>
      <c r="AL823" s="11">
        <f t="shared" si="82"/>
        <v>7.6381600000000018</v>
      </c>
      <c r="AM823" s="2"/>
      <c r="AN823" s="2"/>
      <c r="AO823" s="2"/>
    </row>
    <row r="824" spans="1:41" x14ac:dyDescent="0.2">
      <c r="A824" s="2" t="s">
        <v>1623</v>
      </c>
      <c r="B824" s="2" t="s">
        <v>1620</v>
      </c>
      <c r="C824" s="2" t="s">
        <v>440</v>
      </c>
      <c r="D824" s="2"/>
      <c r="E824" s="7" t="s">
        <v>40</v>
      </c>
      <c r="F824" s="2" t="s">
        <v>1624</v>
      </c>
      <c r="G824" s="2" t="s">
        <v>1625</v>
      </c>
      <c r="H824" s="12">
        <f>0.041605+0.048336+0.1+1.075</f>
        <v>1.2649409999999999</v>
      </c>
      <c r="I824" s="2">
        <f>(2.5*0.041605+2.5*0.048336+2.5*0.1+2.5*1.075)/$H824</f>
        <v>2.5</v>
      </c>
      <c r="J824" s="2">
        <f>(3.5*0.041605+3.5*0.048336+3.5*0.1+3.5*1.075)/$H824</f>
        <v>3.5</v>
      </c>
      <c r="K824" s="14">
        <f>31.1*(17.35*0.041605+7.56*0.048336+7*0.1+7.5*1.075)/$H824</f>
        <v>242.16761959727768</v>
      </c>
      <c r="L824" s="9"/>
      <c r="M824" s="9">
        <f>31.1*(0.25*0.041605+0.176*0.048336+0.15*0.1+0.17*1.075)/$H824</f>
        <v>5.3267905812207843</v>
      </c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9">
        <f t="shared" si="72"/>
        <v>3.1623525E-2</v>
      </c>
      <c r="AB824" s="9">
        <f t="shared" si="73"/>
        <v>4.4272934999999992E-2</v>
      </c>
      <c r="AC824" s="10">
        <f t="shared" si="74"/>
        <v>306.327750901</v>
      </c>
      <c r="AD824" s="10">
        <f t="shared" si="75"/>
        <v>6.7380758045999993</v>
      </c>
      <c r="AE824" s="9">
        <f t="shared" si="76"/>
        <v>0</v>
      </c>
      <c r="AF824" s="9">
        <f t="shared" si="77"/>
        <v>7.5896459999999999E-2</v>
      </c>
      <c r="AG824" s="9">
        <f t="shared" si="78"/>
        <v>6</v>
      </c>
      <c r="AH824" s="11">
        <f t="shared" si="82"/>
        <v>3.1623524999999999</v>
      </c>
      <c r="AI824" s="11">
        <f t="shared" si="82"/>
        <v>4.4272934999999993</v>
      </c>
      <c r="AJ824" s="11">
        <f t="shared" si="82"/>
        <v>306.327750901</v>
      </c>
      <c r="AK824" s="11">
        <f t="shared" si="82"/>
        <v>0</v>
      </c>
      <c r="AL824" s="11">
        <f t="shared" si="82"/>
        <v>6.7380758045999993</v>
      </c>
      <c r="AM824" s="2"/>
      <c r="AN824" s="2"/>
      <c r="AO824" s="2"/>
    </row>
    <row r="825" spans="1:41" x14ac:dyDescent="0.2">
      <c r="A825" s="2" t="s">
        <v>1626</v>
      </c>
      <c r="B825" s="2" t="s">
        <v>1620</v>
      </c>
      <c r="C825" s="2" t="s">
        <v>1627</v>
      </c>
      <c r="D825" s="2"/>
      <c r="E825" s="16" t="s">
        <v>1210</v>
      </c>
      <c r="F825" s="2" t="s">
        <v>1624</v>
      </c>
      <c r="G825" s="2" t="s">
        <v>1625</v>
      </c>
      <c r="H825" s="12">
        <f>0.025+0.021775</f>
        <v>4.6774999999999997E-2</v>
      </c>
      <c r="I825" s="9">
        <f>(0.15*0.025+0.38*0.021775)/$H825</f>
        <v>0.25707108498129344</v>
      </c>
      <c r="J825" s="9">
        <f>(0.42*0.025+0.91*0.021775)/$H825</f>
        <v>0.64810796365579915</v>
      </c>
      <c r="K825" s="13">
        <f>(50.22*0.025+120.22*0.021775)/$H825</f>
        <v>82.806851950828445</v>
      </c>
      <c r="L825" s="9">
        <f>(0.04*0.025+0.1*0.021775)/$H825</f>
        <v>6.793158738642438E-2</v>
      </c>
      <c r="M825" s="9">
        <f>(0.36*0.025+0.79*0.021775)/$H825</f>
        <v>0.56017637626937467</v>
      </c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9">
        <f t="shared" si="72"/>
        <v>1.20245E-4</v>
      </c>
      <c r="AB825" s="9">
        <f t="shared" si="73"/>
        <v>3.0315250000000001E-4</v>
      </c>
      <c r="AC825" s="10">
        <f t="shared" si="74"/>
        <v>3.8732905000000004</v>
      </c>
      <c r="AD825" s="10">
        <f t="shared" si="75"/>
        <v>2.620225E-2</v>
      </c>
      <c r="AE825" s="9">
        <f t="shared" si="76"/>
        <v>3.1775E-5</v>
      </c>
      <c r="AF825" s="9">
        <f t="shared" si="77"/>
        <v>4.5517250000000001E-4</v>
      </c>
      <c r="AG825" s="9">
        <f t="shared" si="78"/>
        <v>0.97311063602351688</v>
      </c>
      <c r="AH825" s="11">
        <f t="shared" si="82"/>
        <v>1.20245E-2</v>
      </c>
      <c r="AI825" s="11">
        <f t="shared" si="82"/>
        <v>3.0315250000000002E-2</v>
      </c>
      <c r="AJ825" s="11">
        <f t="shared" si="82"/>
        <v>3.8732905000000004</v>
      </c>
      <c r="AK825" s="11">
        <f t="shared" si="82"/>
        <v>3.1775000000000002E-3</v>
      </c>
      <c r="AL825" s="11">
        <f t="shared" si="82"/>
        <v>2.620225E-2</v>
      </c>
      <c r="AM825" s="2"/>
      <c r="AN825" s="2"/>
      <c r="AO825" s="2"/>
    </row>
    <row r="826" spans="1:41" x14ac:dyDescent="0.2">
      <c r="A826" s="2" t="s">
        <v>1628</v>
      </c>
      <c r="B826" s="2" t="s">
        <v>1620</v>
      </c>
      <c r="C826" s="2" t="s">
        <v>440</v>
      </c>
      <c r="D826" s="2" t="s">
        <v>1629</v>
      </c>
      <c r="E826" s="2" t="s">
        <v>50</v>
      </c>
      <c r="F826" s="2" t="s">
        <v>1630</v>
      </c>
      <c r="G826" s="2" t="s">
        <v>633</v>
      </c>
      <c r="H826" s="12">
        <f>(0.7636+0.0297+0.7072+0.88)*0.9072</f>
        <v>2.1595895999999999</v>
      </c>
      <c r="I826" s="9">
        <f>(6.6*0.7636+7.71*0.0297+5.13*0.7072+8.09*0.88)/(0.7636+0.0297+0.7072+0.88)</f>
        <v>6.7279491703423639</v>
      </c>
      <c r="J826" s="2"/>
      <c r="K826" s="13">
        <f>((6.61*0.7636+11.49*0.0297+5.25*0.7072+6.77*0.88)/(0.7636+0.0297+0.7072+0.88))*31.1/0.9072</f>
        <v>216.86362256050873</v>
      </c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9">
        <f t="shared" si="72"/>
        <v>0.14529609057599996</v>
      </c>
      <c r="AB826" s="9">
        <f t="shared" si="73"/>
        <v>0</v>
      </c>
      <c r="AC826" s="10">
        <f t="shared" si="74"/>
        <v>468.3364239</v>
      </c>
      <c r="AD826" s="10">
        <f t="shared" si="75"/>
        <v>0</v>
      </c>
      <c r="AE826" s="9">
        <f t="shared" si="76"/>
        <v>0</v>
      </c>
      <c r="AF826" s="9">
        <f t="shared" si="77"/>
        <v>0.14529609057599996</v>
      </c>
      <c r="AG826" s="9">
        <f t="shared" si="78"/>
        <v>6.7279491703423639</v>
      </c>
      <c r="AH826" s="11">
        <f t="shared" si="82"/>
        <v>14.529609057599997</v>
      </c>
      <c r="AI826" s="11">
        <f t="shared" si="82"/>
        <v>0</v>
      </c>
      <c r="AJ826" s="11">
        <f t="shared" si="82"/>
        <v>468.3364239</v>
      </c>
      <c r="AK826" s="11">
        <f t="shared" si="82"/>
        <v>0</v>
      </c>
      <c r="AL826" s="11">
        <f t="shared" si="82"/>
        <v>0</v>
      </c>
      <c r="AM826" s="2"/>
      <c r="AN826" s="2"/>
      <c r="AO826" s="2"/>
    </row>
    <row r="827" spans="1:41" x14ac:dyDescent="0.2">
      <c r="A827" s="2" t="s">
        <v>1631</v>
      </c>
      <c r="B827" s="2" t="s">
        <v>1620</v>
      </c>
      <c r="C827" s="2" t="s">
        <v>38</v>
      </c>
      <c r="D827" s="2" t="s">
        <v>39</v>
      </c>
      <c r="E827" s="2" t="s">
        <v>50</v>
      </c>
      <c r="F827" s="2" t="s">
        <v>657</v>
      </c>
      <c r="G827" s="2" t="s">
        <v>64</v>
      </c>
      <c r="H827" s="2">
        <f>0.57+5.3+24.75</f>
        <v>30.62</v>
      </c>
      <c r="I827" s="2"/>
      <c r="J827" s="9">
        <f>(2.71*0.57+3.86*5.3+3.86*24.75)/H827</f>
        <v>3.8385924232527757</v>
      </c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9">
        <f t="shared" si="72"/>
        <v>0</v>
      </c>
      <c r="AB827" s="9">
        <f t="shared" si="73"/>
        <v>1.1753770000000001</v>
      </c>
      <c r="AC827" s="10">
        <f t="shared" si="74"/>
        <v>0</v>
      </c>
      <c r="AD827" s="10">
        <f t="shared" si="75"/>
        <v>0</v>
      </c>
      <c r="AE827" s="9">
        <f t="shared" si="76"/>
        <v>0</v>
      </c>
      <c r="AF827" s="9">
        <f t="shared" si="77"/>
        <v>1.1753770000000001</v>
      </c>
      <c r="AG827" s="9">
        <f t="shared" si="78"/>
        <v>3.8385924232527757</v>
      </c>
      <c r="AH827" s="11">
        <f t="shared" si="82"/>
        <v>0</v>
      </c>
      <c r="AI827" s="11">
        <f t="shared" si="82"/>
        <v>117.5377</v>
      </c>
      <c r="AJ827" s="11">
        <f t="shared" si="82"/>
        <v>0</v>
      </c>
      <c r="AK827" s="11">
        <f t="shared" si="82"/>
        <v>0</v>
      </c>
      <c r="AL827" s="11">
        <f t="shared" si="82"/>
        <v>0</v>
      </c>
      <c r="AM827" s="2"/>
      <c r="AN827" s="2"/>
      <c r="AO827" s="2"/>
    </row>
    <row r="828" spans="1:41" x14ac:dyDescent="0.2">
      <c r="A828" s="2" t="s">
        <v>1632</v>
      </c>
      <c r="B828" s="2" t="s">
        <v>1620</v>
      </c>
      <c r="C828" s="2" t="s">
        <v>157</v>
      </c>
      <c r="D828" s="2"/>
      <c r="E828" s="7" t="s">
        <v>40</v>
      </c>
      <c r="F828" s="2" t="s">
        <v>1633</v>
      </c>
      <c r="G828" s="2" t="s">
        <v>1634</v>
      </c>
      <c r="H828" s="2">
        <f>18.23+9.65</f>
        <v>27.880000000000003</v>
      </c>
      <c r="I828" s="2"/>
      <c r="J828" s="9">
        <f>(0.19*18.23+0.31*9.65)/(18.23+9.65)</f>
        <v>0.2315351506456241</v>
      </c>
      <c r="K828" s="9">
        <f>((31.1*0.44*18.23+0*9.65)/(18.23+9.65))</f>
        <v>8.9476083213773308</v>
      </c>
      <c r="L828" s="9">
        <f>(0.49*18.23+0.29*9.65)/(18.23+9.65)</f>
        <v>0.42077474892395983</v>
      </c>
      <c r="M828" s="9">
        <f>((31.1*0.015*18.23+0*9.65)/(18.23+9.65))</f>
        <v>0.3050321018651363</v>
      </c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9">
        <f t="shared" si="72"/>
        <v>0</v>
      </c>
      <c r="AB828" s="9">
        <f t="shared" si="73"/>
        <v>6.4551999999999998E-2</v>
      </c>
      <c r="AC828" s="10">
        <f t="shared" si="74"/>
        <v>249.45931999999999</v>
      </c>
      <c r="AD828" s="10">
        <f t="shared" si="75"/>
        <v>8.5042950000000008</v>
      </c>
      <c r="AE828" s="9">
        <f t="shared" si="76"/>
        <v>0.11731200000000001</v>
      </c>
      <c r="AF828" s="9">
        <f t="shared" si="77"/>
        <v>0.18186400000000003</v>
      </c>
      <c r="AG828" s="9">
        <f t="shared" si="78"/>
        <v>0.65230989956958396</v>
      </c>
      <c r="AH828" s="11">
        <f t="shared" si="82"/>
        <v>0</v>
      </c>
      <c r="AI828" s="11">
        <f t="shared" si="82"/>
        <v>6.4552000000000005</v>
      </c>
      <c r="AJ828" s="11">
        <f t="shared" si="82"/>
        <v>249.45931999999999</v>
      </c>
      <c r="AK828" s="11">
        <f t="shared" si="82"/>
        <v>11.731200000000001</v>
      </c>
      <c r="AL828" s="11">
        <f t="shared" si="82"/>
        <v>8.5042950000000008</v>
      </c>
      <c r="AM828" s="2"/>
      <c r="AN828" s="2"/>
      <c r="AO828" s="2"/>
    </row>
    <row r="829" spans="1:41" x14ac:dyDescent="0.2">
      <c r="A829" s="2" t="s">
        <v>1635</v>
      </c>
      <c r="B829" s="2" t="s">
        <v>1620</v>
      </c>
      <c r="C829" s="2" t="s">
        <v>48</v>
      </c>
      <c r="D829" s="2"/>
      <c r="E829" s="2" t="s">
        <v>50</v>
      </c>
      <c r="F829" s="2" t="s">
        <v>1277</v>
      </c>
      <c r="G829" s="2" t="s">
        <v>615</v>
      </c>
      <c r="H829" s="12">
        <f>(0.014+7.783+0.007+0.761+2.385)*0.9072</f>
        <v>9.93384</v>
      </c>
      <c r="I829" s="13">
        <f>(3*0.014+3.3*7.783+4.4*0.007+3.2*0.761+2.7*2.385)/(0.014+7.783+0.007+0.761+2.385)</f>
        <v>3.1626849315068499</v>
      </c>
      <c r="J829" s="13">
        <f>(8.1*0.014+8.7*7.783+10.5*0.007+7.3*0.761+6.5*2.385)/(0.014+7.783+0.007+0.761+2.385)</f>
        <v>8.1239086757990862</v>
      </c>
      <c r="K829" s="14">
        <f>((12.9*0.014+11.9*7.783+17.6*0.007+12.2*0.761+13.3*2.385)/(0.014+7.783+0.007+0.761+2.385))*31.1/0.9072</f>
        <v>419.28446804055636</v>
      </c>
      <c r="L829" s="2"/>
      <c r="M829" s="13">
        <f>((0.13*0.014+0.09*7.783+0.08*0.007+0.09*0.761+0.09*2.385)/(0.014+7.783+0.007+0.761+2.385))*31.1/0.9072</f>
        <v>3.0868515095874312</v>
      </c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9">
        <f t="shared" si="72"/>
        <v>0.31417606080000005</v>
      </c>
      <c r="AB829" s="9">
        <f t="shared" si="73"/>
        <v>0.80701608959999982</v>
      </c>
      <c r="AC829" s="10">
        <f t="shared" si="74"/>
        <v>4165.1048200000005</v>
      </c>
      <c r="AD829" s="10">
        <f t="shared" si="75"/>
        <v>30.664289000000007</v>
      </c>
      <c r="AE829" s="9">
        <f t="shared" si="76"/>
        <v>0</v>
      </c>
      <c r="AF829" s="9">
        <f t="shared" si="77"/>
        <v>1.1211921503999998</v>
      </c>
      <c r="AG829" s="9">
        <f t="shared" si="78"/>
        <v>11.286593607305935</v>
      </c>
      <c r="AH829" s="11">
        <f t="shared" si="82"/>
        <v>31.417606080000006</v>
      </c>
      <c r="AI829" s="11">
        <f t="shared" si="82"/>
        <v>80.701608959999987</v>
      </c>
      <c r="AJ829" s="11">
        <f t="shared" si="82"/>
        <v>4165.1048200000005</v>
      </c>
      <c r="AK829" s="11">
        <f t="shared" si="82"/>
        <v>0</v>
      </c>
      <c r="AL829" s="11">
        <f t="shared" si="82"/>
        <v>30.664289000000007</v>
      </c>
      <c r="AM829" s="2"/>
      <c r="AN829" s="2"/>
      <c r="AO829" s="2"/>
    </row>
    <row r="830" spans="1:41" x14ac:dyDescent="0.2">
      <c r="A830" s="2" t="s">
        <v>1636</v>
      </c>
      <c r="B830" s="2" t="s">
        <v>1620</v>
      </c>
      <c r="C830" s="2" t="s">
        <v>38</v>
      </c>
      <c r="D830" s="2" t="s">
        <v>62</v>
      </c>
      <c r="E830" s="2" t="s">
        <v>50</v>
      </c>
      <c r="F830" s="2" t="s">
        <v>1637</v>
      </c>
      <c r="G830" s="2" t="s">
        <v>71</v>
      </c>
      <c r="H830" s="2">
        <f>18.11+5.34</f>
        <v>23.45</v>
      </c>
      <c r="I830" s="9">
        <f>(2.72*18.11+2.69*5.34)/$H830</f>
        <v>2.713168443496802</v>
      </c>
      <c r="J830" s="9">
        <f>(8.1*18.11+8.66*5.34)/$H830</f>
        <v>8.2275223880597022</v>
      </c>
      <c r="K830" s="13">
        <f>(50.2*18.11+38*5.34)/$H830</f>
        <v>47.421833688699365</v>
      </c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9">
        <f t="shared" si="72"/>
        <v>0.63623800000000008</v>
      </c>
      <c r="AB830" s="9">
        <f t="shared" si="73"/>
        <v>1.9293540000000002</v>
      </c>
      <c r="AC830" s="10">
        <f t="shared" si="74"/>
        <v>1112.0420000000001</v>
      </c>
      <c r="AD830" s="10">
        <f t="shared" si="75"/>
        <v>0</v>
      </c>
      <c r="AE830" s="9">
        <f t="shared" si="76"/>
        <v>0</v>
      </c>
      <c r="AF830" s="9">
        <f t="shared" si="77"/>
        <v>2.5655920000000005</v>
      </c>
      <c r="AG830" s="9">
        <f t="shared" si="78"/>
        <v>10.940690831556504</v>
      </c>
      <c r="AH830" s="11">
        <f t="shared" si="82"/>
        <v>63.623800000000003</v>
      </c>
      <c r="AI830" s="11">
        <f t="shared" si="82"/>
        <v>192.93540000000002</v>
      </c>
      <c r="AJ830" s="11">
        <f t="shared" si="82"/>
        <v>1112.0420000000001</v>
      </c>
      <c r="AK830" s="11">
        <f t="shared" si="82"/>
        <v>0</v>
      </c>
      <c r="AL830" s="11">
        <f t="shared" si="82"/>
        <v>0</v>
      </c>
      <c r="AM830" s="2"/>
      <c r="AN830" s="2"/>
      <c r="AO830" s="2"/>
    </row>
    <row r="831" spans="1:41" x14ac:dyDescent="0.2">
      <c r="A831" s="2" t="s">
        <v>1638</v>
      </c>
      <c r="B831" s="2" t="s">
        <v>1620</v>
      </c>
      <c r="C831" s="2" t="s">
        <v>157</v>
      </c>
      <c r="D831" s="2"/>
      <c r="E831" s="7" t="s">
        <v>40</v>
      </c>
      <c r="F831" s="2" t="s">
        <v>1639</v>
      </c>
      <c r="G831" s="2" t="s">
        <v>1640</v>
      </c>
      <c r="H831" s="13">
        <f>7.4*0.9072</f>
        <v>6.7132800000000001</v>
      </c>
      <c r="I831" s="2"/>
      <c r="J831" s="2">
        <v>5</v>
      </c>
      <c r="K831" s="14">
        <f>1.2*31.1/0.9072</f>
        <v>41.137566137566139</v>
      </c>
      <c r="L831" s="2">
        <v>2.2000000000000002</v>
      </c>
      <c r="M831" s="13">
        <f>0.006*31.1/0.9072</f>
        <v>0.2056878306878307</v>
      </c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9">
        <f t="shared" si="72"/>
        <v>0</v>
      </c>
      <c r="AB831" s="9">
        <f t="shared" si="73"/>
        <v>0.33566400000000002</v>
      </c>
      <c r="AC831" s="10">
        <f t="shared" si="74"/>
        <v>276.16800000000001</v>
      </c>
      <c r="AD831" s="10">
        <f t="shared" si="75"/>
        <v>1.3808400000000001</v>
      </c>
      <c r="AE831" s="9">
        <f t="shared" si="76"/>
        <v>0.14769216000000002</v>
      </c>
      <c r="AF831" s="9">
        <f t="shared" si="77"/>
        <v>0.48335616000000003</v>
      </c>
      <c r="AG831" s="9">
        <f t="shared" si="78"/>
        <v>7.2</v>
      </c>
      <c r="AH831" s="11">
        <f t="shared" si="82"/>
        <v>0</v>
      </c>
      <c r="AI831" s="11">
        <f t="shared" si="82"/>
        <v>33.566400000000002</v>
      </c>
      <c r="AJ831" s="11">
        <f t="shared" si="82"/>
        <v>276.16800000000001</v>
      </c>
      <c r="AK831" s="11">
        <f t="shared" si="82"/>
        <v>14.769216000000002</v>
      </c>
      <c r="AL831" s="11">
        <f t="shared" si="82"/>
        <v>1.3808400000000001</v>
      </c>
      <c r="AM831" s="2"/>
      <c r="AN831" s="2"/>
      <c r="AO831" s="2"/>
    </row>
    <row r="832" spans="1:41" x14ac:dyDescent="0.2">
      <c r="A832" s="2" t="s">
        <v>1641</v>
      </c>
      <c r="B832" s="2" t="s">
        <v>1620</v>
      </c>
      <c r="C832" s="2" t="s">
        <v>440</v>
      </c>
      <c r="D832" s="2" t="s">
        <v>1629</v>
      </c>
      <c r="E832" s="2" t="s">
        <v>50</v>
      </c>
      <c r="F832" s="2" t="s">
        <v>1277</v>
      </c>
      <c r="G832" s="2" t="s">
        <v>615</v>
      </c>
      <c r="H832" s="12">
        <f>(3.708+2.698+12.279+9.318+7.481)*0.9072</f>
        <v>32.191084799999999</v>
      </c>
      <c r="I832" s="13">
        <f>(7.3*3.708+7.2*2.698+3.6*12.279+3.4*9.318+4.9*7.481)/(3.708+2.698+12.279+9.318+7.481)</f>
        <v>4.4819214293766203</v>
      </c>
      <c r="J832" s="13">
        <f>(2.3*3.708+2.6*2.698+2.2*12.279+1.9*9.318+1.9*7.481)/(3.708+2.698+12.279+9.318+4.9*7.481)</f>
        <v>1.1517973272460986</v>
      </c>
      <c r="K832" s="14">
        <f>((12.1*3.708+12*2.698+5.5*12.279+5.2*9.318+7.4*7.481)/(3.708+2.698+12.279+9.318+7.481))*31.1/0.9072</f>
        <v>240.16457904518953</v>
      </c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9">
        <f t="shared" si="72"/>
        <v>1.442779128</v>
      </c>
      <c r="AB832" s="9">
        <f t="shared" si="73"/>
        <v>0.37077605433792515</v>
      </c>
      <c r="AC832" s="10">
        <f t="shared" si="74"/>
        <v>7731.1583299999984</v>
      </c>
      <c r="AD832" s="10">
        <f t="shared" si="75"/>
        <v>0</v>
      </c>
      <c r="AE832" s="9">
        <f t="shared" si="76"/>
        <v>0</v>
      </c>
      <c r="AF832" s="9">
        <f t="shared" si="77"/>
        <v>1.8135551823379252</v>
      </c>
      <c r="AG832" s="9">
        <f t="shared" si="78"/>
        <v>5.6337187566227191</v>
      </c>
      <c r="AH832" s="11">
        <f t="shared" si="82"/>
        <v>144.2779128</v>
      </c>
      <c r="AI832" s="11">
        <f t="shared" si="82"/>
        <v>37.077605433792513</v>
      </c>
      <c r="AJ832" s="11">
        <f t="shared" si="82"/>
        <v>7731.1583299999984</v>
      </c>
      <c r="AK832" s="11">
        <f t="shared" si="82"/>
        <v>0</v>
      </c>
      <c r="AL832" s="11">
        <f t="shared" si="82"/>
        <v>0</v>
      </c>
      <c r="AM832" s="2"/>
      <c r="AN832" s="2"/>
      <c r="AO832" s="2"/>
    </row>
    <row r="833" spans="1:41" x14ac:dyDescent="0.2">
      <c r="A833" s="2" t="s">
        <v>1642</v>
      </c>
      <c r="B833" s="2" t="s">
        <v>1620</v>
      </c>
      <c r="C833" s="2" t="s">
        <v>38</v>
      </c>
      <c r="D833" s="2" t="s">
        <v>39</v>
      </c>
      <c r="E833" s="2" t="s">
        <v>50</v>
      </c>
      <c r="F833" s="2" t="s">
        <v>657</v>
      </c>
      <c r="G833" s="2" t="s">
        <v>64</v>
      </c>
      <c r="H833" s="2">
        <f>4.89+15.21</f>
        <v>20.100000000000001</v>
      </c>
      <c r="I833" s="2"/>
      <c r="J833" s="9">
        <f>(3.78*4.89+3.67*15.21)/H833</f>
        <v>3.6967611940298508</v>
      </c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9">
        <f t="shared" si="72"/>
        <v>0</v>
      </c>
      <c r="AB833" s="9">
        <f t="shared" si="73"/>
        <v>0.74304900000000007</v>
      </c>
      <c r="AC833" s="10">
        <f t="shared" si="74"/>
        <v>0</v>
      </c>
      <c r="AD833" s="10">
        <f t="shared" si="75"/>
        <v>0</v>
      </c>
      <c r="AE833" s="9">
        <f t="shared" si="76"/>
        <v>0</v>
      </c>
      <c r="AF833" s="9">
        <f t="shared" si="77"/>
        <v>0.74304900000000007</v>
      </c>
      <c r="AG833" s="9">
        <f t="shared" si="78"/>
        <v>3.6967611940298508</v>
      </c>
      <c r="AH833" s="11">
        <f t="shared" si="82"/>
        <v>0</v>
      </c>
      <c r="AI833" s="11">
        <f t="shared" si="82"/>
        <v>74.304900000000004</v>
      </c>
      <c r="AJ833" s="11">
        <f t="shared" si="82"/>
        <v>0</v>
      </c>
      <c r="AK833" s="11">
        <f t="shared" si="82"/>
        <v>0</v>
      </c>
      <c r="AL833" s="11">
        <f t="shared" si="82"/>
        <v>0</v>
      </c>
      <c r="AM833" s="2"/>
      <c r="AN833" s="2"/>
      <c r="AO833" s="2"/>
    </row>
    <row r="834" spans="1:41" x14ac:dyDescent="0.2">
      <c r="A834" s="2" t="s">
        <v>1643</v>
      </c>
      <c r="B834" s="2" t="s">
        <v>1620</v>
      </c>
      <c r="C834" s="2" t="s">
        <v>66</v>
      </c>
      <c r="D834" s="2" t="s">
        <v>1644</v>
      </c>
      <c r="E834" s="2" t="s">
        <v>50</v>
      </c>
      <c r="F834" s="2" t="s">
        <v>1645</v>
      </c>
      <c r="G834" s="2" t="s">
        <v>1646</v>
      </c>
      <c r="H834" s="12">
        <f>37.778*0.9072</f>
        <v>34.272201600000002</v>
      </c>
      <c r="I834" s="2">
        <v>0.16300000000000001</v>
      </c>
      <c r="J834" s="2">
        <v>0.47599999999999998</v>
      </c>
      <c r="K834" s="9">
        <f>0.211*31.1/0.9072</f>
        <v>7.2333553791887129</v>
      </c>
      <c r="L834" s="2"/>
      <c r="M834" s="9">
        <f>0.0128*31.1/0.9072</f>
        <v>0.43880070546737215</v>
      </c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9">
        <f t="shared" si="72"/>
        <v>5.5863688608000006E-2</v>
      </c>
      <c r="AB834" s="9">
        <f t="shared" si="73"/>
        <v>0.16313567961600001</v>
      </c>
      <c r="AC834" s="10">
        <f t="shared" si="74"/>
        <v>247.90301380000002</v>
      </c>
      <c r="AD834" s="10">
        <f t="shared" si="75"/>
        <v>15.038666240000001</v>
      </c>
      <c r="AE834" s="9">
        <f t="shared" si="76"/>
        <v>0</v>
      </c>
      <c r="AF834" s="9">
        <f t="shared" si="77"/>
        <v>0.21899936822400001</v>
      </c>
      <c r="AG834" s="9">
        <f t="shared" si="78"/>
        <v>0.63900000000000001</v>
      </c>
      <c r="AH834" s="11">
        <f t="shared" ref="AH834:AL849" si="83">$H834*I834</f>
        <v>5.5863688608000004</v>
      </c>
      <c r="AI834" s="11">
        <f t="shared" si="83"/>
        <v>16.3135679616</v>
      </c>
      <c r="AJ834" s="11">
        <f t="shared" si="83"/>
        <v>247.90301380000002</v>
      </c>
      <c r="AK834" s="11">
        <f t="shared" si="83"/>
        <v>0</v>
      </c>
      <c r="AL834" s="11">
        <f t="shared" si="83"/>
        <v>15.038666240000001</v>
      </c>
      <c r="AM834" s="2"/>
      <c r="AN834" s="2"/>
      <c r="AO834" s="2"/>
    </row>
    <row r="835" spans="1:41" x14ac:dyDescent="0.2">
      <c r="A835" s="2" t="s">
        <v>1647</v>
      </c>
      <c r="B835" s="2" t="s">
        <v>1620</v>
      </c>
      <c r="C835" s="2" t="s">
        <v>48</v>
      </c>
      <c r="D835" s="2"/>
      <c r="E835" s="2" t="s">
        <v>50</v>
      </c>
      <c r="F835" s="2" t="s">
        <v>1648</v>
      </c>
      <c r="G835" s="2" t="s">
        <v>1649</v>
      </c>
      <c r="H835" s="2">
        <f>5.638+1.023+2.37</f>
        <v>9.0309999999999988</v>
      </c>
      <c r="I835" s="2"/>
      <c r="J835" s="9">
        <f>(1.73*5.638+1.56*1.023+1.17*2.37)/$H835</f>
        <v>1.5637825268519545</v>
      </c>
      <c r="K835" s="13">
        <f>(29.52*5.638+16.56*1.023+21.63*2.37)/$H835</f>
        <v>25.981368619200534</v>
      </c>
      <c r="L835" s="9">
        <f>(0.95*5.638+1*1.023+0.73*2.37)/$H835</f>
        <v>0.89792935444579791</v>
      </c>
      <c r="M835" s="9">
        <f>(1.75*5.638+1.11*1.023+1.42*2.37)/$H835</f>
        <v>1.5909013398294762</v>
      </c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9">
        <f t="shared" si="72"/>
        <v>0</v>
      </c>
      <c r="AB835" s="9">
        <f t="shared" si="73"/>
        <v>0.1412252</v>
      </c>
      <c r="AC835" s="10">
        <f t="shared" si="74"/>
        <v>234.63773999999998</v>
      </c>
      <c r="AD835" s="10">
        <f t="shared" si="75"/>
        <v>14.367429999999999</v>
      </c>
      <c r="AE835" s="9">
        <f t="shared" si="76"/>
        <v>8.1091999999999997E-2</v>
      </c>
      <c r="AF835" s="9">
        <f t="shared" si="77"/>
        <v>0.22231719999999999</v>
      </c>
      <c r="AG835" s="9">
        <f t="shared" si="78"/>
        <v>2.4617118812977523</v>
      </c>
      <c r="AH835" s="11">
        <f t="shared" si="83"/>
        <v>0</v>
      </c>
      <c r="AI835" s="11">
        <f t="shared" si="83"/>
        <v>14.12252</v>
      </c>
      <c r="AJ835" s="11">
        <f t="shared" si="83"/>
        <v>234.63773999999998</v>
      </c>
      <c r="AK835" s="11">
        <f t="shared" si="83"/>
        <v>8.1091999999999995</v>
      </c>
      <c r="AL835" s="11">
        <f t="shared" si="83"/>
        <v>14.367429999999999</v>
      </c>
      <c r="AM835" s="2"/>
      <c r="AN835" s="2"/>
      <c r="AO835" s="2"/>
    </row>
    <row r="836" spans="1:41" x14ac:dyDescent="0.2">
      <c r="A836" s="2" t="s">
        <v>1650</v>
      </c>
      <c r="B836" s="2" t="s">
        <v>1620</v>
      </c>
      <c r="C836" s="2" t="s">
        <v>38</v>
      </c>
      <c r="D836" s="2" t="s">
        <v>39</v>
      </c>
      <c r="E836" s="2" t="s">
        <v>50</v>
      </c>
      <c r="F836" s="2" t="s">
        <v>529</v>
      </c>
      <c r="G836" s="2" t="s">
        <v>71</v>
      </c>
      <c r="H836" s="2">
        <f>3.7+2.9</f>
        <v>6.6</v>
      </c>
      <c r="I836" s="13">
        <f>(1.1*3.7+1.3*2.9)/$H836</f>
        <v>1.187878787878788</v>
      </c>
      <c r="J836" s="13">
        <f>(6.7*3.7+6.1*2.9)/$H836</f>
        <v>6.4363636363636374</v>
      </c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9">
        <f t="shared" si="72"/>
        <v>7.8399999999999997E-2</v>
      </c>
      <c r="AB836" s="9">
        <f t="shared" si="73"/>
        <v>0.42480000000000007</v>
      </c>
      <c r="AC836" s="10">
        <f t="shared" si="74"/>
        <v>0</v>
      </c>
      <c r="AD836" s="10">
        <f t="shared" si="75"/>
        <v>0</v>
      </c>
      <c r="AE836" s="9">
        <f t="shared" si="76"/>
        <v>0</v>
      </c>
      <c r="AF836" s="9">
        <f t="shared" si="77"/>
        <v>0.50320000000000009</v>
      </c>
      <c r="AG836" s="9">
        <f t="shared" si="78"/>
        <v>7.6242424242424249</v>
      </c>
      <c r="AH836" s="11">
        <f t="shared" si="83"/>
        <v>7.84</v>
      </c>
      <c r="AI836" s="11">
        <f t="shared" si="83"/>
        <v>42.480000000000004</v>
      </c>
      <c r="AJ836" s="11">
        <f t="shared" si="83"/>
        <v>0</v>
      </c>
      <c r="AK836" s="11">
        <f t="shared" si="83"/>
        <v>0</v>
      </c>
      <c r="AL836" s="11">
        <f t="shared" si="83"/>
        <v>0</v>
      </c>
      <c r="AM836" s="2"/>
      <c r="AN836" s="2"/>
      <c r="AO836" s="2"/>
    </row>
    <row r="837" spans="1:41" x14ac:dyDescent="0.2">
      <c r="A837" s="2" t="s">
        <v>1651</v>
      </c>
      <c r="B837" s="2" t="s">
        <v>1620</v>
      </c>
      <c r="C837" s="2" t="s">
        <v>38</v>
      </c>
      <c r="D837" s="2" t="s">
        <v>62</v>
      </c>
      <c r="E837" s="2" t="s">
        <v>50</v>
      </c>
      <c r="F837" s="2" t="s">
        <v>529</v>
      </c>
      <c r="G837" s="2" t="s">
        <v>71</v>
      </c>
      <c r="H837" s="2">
        <f>45.4+7.5+0.2</f>
        <v>53.1</v>
      </c>
      <c r="I837" s="13">
        <f>(4.1*45.4+6.9*7.5+3.4*0.2)/$H837</f>
        <v>4.4928436911487752</v>
      </c>
      <c r="J837" s="13">
        <f>(15.8*45.4+25.7*7.5+10.7*0.2)/$H837</f>
        <v>17.179096045197742</v>
      </c>
      <c r="K837" s="13">
        <f>(72.6*45.4+137*7.5+68.8*0.2)/$H837</f>
        <v>81.681732580037647</v>
      </c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9">
        <f t="shared" si="72"/>
        <v>2.3856999999999995</v>
      </c>
      <c r="AB837" s="9">
        <f t="shared" si="73"/>
        <v>9.1221000000000014</v>
      </c>
      <c r="AC837" s="10">
        <f t="shared" si="74"/>
        <v>4337.2999999999993</v>
      </c>
      <c r="AD837" s="10">
        <f t="shared" si="75"/>
        <v>0</v>
      </c>
      <c r="AE837" s="9">
        <f t="shared" si="76"/>
        <v>0</v>
      </c>
      <c r="AF837" s="9">
        <f t="shared" si="77"/>
        <v>11.507800000000001</v>
      </c>
      <c r="AG837" s="9">
        <f t="shared" si="78"/>
        <v>21.671939736346516</v>
      </c>
      <c r="AH837" s="11">
        <f t="shared" si="83"/>
        <v>238.56999999999996</v>
      </c>
      <c r="AI837" s="11">
        <f t="shared" si="83"/>
        <v>912.21000000000015</v>
      </c>
      <c r="AJ837" s="11">
        <f t="shared" si="83"/>
        <v>4337.2999999999993</v>
      </c>
      <c r="AK837" s="11">
        <f t="shared" si="83"/>
        <v>0</v>
      </c>
      <c r="AL837" s="11">
        <f t="shared" si="83"/>
        <v>0</v>
      </c>
      <c r="AM837" s="2"/>
      <c r="AN837" s="2"/>
      <c r="AO837" s="2"/>
    </row>
    <row r="838" spans="1:41" x14ac:dyDescent="0.2">
      <c r="A838" s="2" t="s">
        <v>1652</v>
      </c>
      <c r="B838" s="2" t="s">
        <v>1620</v>
      </c>
      <c r="C838" s="21" t="s">
        <v>38</v>
      </c>
      <c r="D838" s="21" t="s">
        <v>39</v>
      </c>
      <c r="E838" s="7" t="s">
        <v>40</v>
      </c>
      <c r="F838" s="2" t="s">
        <v>1653</v>
      </c>
      <c r="G838" s="8" t="s">
        <v>44</v>
      </c>
      <c r="H838" s="2">
        <v>11.8</v>
      </c>
      <c r="I838" s="2"/>
      <c r="J838" s="2">
        <v>0.99</v>
      </c>
      <c r="K838" s="13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9">
        <f t="shared" si="72"/>
        <v>0</v>
      </c>
      <c r="AB838" s="9">
        <f t="shared" si="73"/>
        <v>0.11682000000000001</v>
      </c>
      <c r="AC838" s="10">
        <f t="shared" si="74"/>
        <v>0</v>
      </c>
      <c r="AD838" s="10">
        <f t="shared" si="75"/>
        <v>0</v>
      </c>
      <c r="AE838" s="9">
        <f t="shared" si="76"/>
        <v>0</v>
      </c>
      <c r="AF838" s="9">
        <f t="shared" si="77"/>
        <v>0.11682000000000001</v>
      </c>
      <c r="AG838" s="9">
        <f t="shared" si="78"/>
        <v>0.99</v>
      </c>
      <c r="AH838" s="11">
        <f t="shared" si="83"/>
        <v>0</v>
      </c>
      <c r="AI838" s="11">
        <f t="shared" si="83"/>
        <v>11.682</v>
      </c>
      <c r="AJ838" s="11">
        <f t="shared" si="83"/>
        <v>0</v>
      </c>
      <c r="AK838" s="11">
        <f t="shared" si="83"/>
        <v>0</v>
      </c>
      <c r="AL838" s="11">
        <f t="shared" si="83"/>
        <v>0</v>
      </c>
      <c r="AM838" s="2"/>
      <c r="AN838" s="2"/>
      <c r="AO838" s="2"/>
    </row>
    <row r="839" spans="1:41" x14ac:dyDescent="0.2">
      <c r="A839" s="2" t="s">
        <v>1654</v>
      </c>
      <c r="B839" s="2" t="s">
        <v>1620</v>
      </c>
      <c r="C839" s="2" t="s">
        <v>54</v>
      </c>
      <c r="D839" s="2"/>
      <c r="E839" s="2" t="s">
        <v>50</v>
      </c>
      <c r="F839" s="2" t="s">
        <v>1655</v>
      </c>
      <c r="G839" s="2" t="s">
        <v>906</v>
      </c>
      <c r="H839" s="12">
        <f>(0.4856+0.6461)*0.9072</f>
        <v>1.0266782399999999</v>
      </c>
      <c r="I839" s="9">
        <f>(4.3*0.4856+3.04*0.6461)/(0.4856+0.6461)</f>
        <v>3.5806521162852345</v>
      </c>
      <c r="J839" s="9">
        <f>(1.37*0.4856+0.99*0.6461)/(0.4856+0.6461)</f>
        <v>1.153053812847928</v>
      </c>
      <c r="K839" s="14">
        <f>((26.95*0.4856+14.93*0.6461)/(0.4856+0.6461))*31.1/0.9072</f>
        <v>688.63084338867452</v>
      </c>
      <c r="L839" s="9">
        <f>(0.25*0.4856+0.13*0.6461)/(0.4856+0.6461)</f>
        <v>0.18149067774145092</v>
      </c>
      <c r="M839" s="9">
        <f>((0.044*0.4856+0.038*0.6461)/(0.4856+0.6461))*31.1/0.9072</f>
        <v>1.3909479760669712</v>
      </c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9">
        <f t="shared" si="72"/>
        <v>3.6761776127999996E-2</v>
      </c>
      <c r="AB839" s="9">
        <f t="shared" si="73"/>
        <v>1.1838152592E-2</v>
      </c>
      <c r="AC839" s="10">
        <f t="shared" si="74"/>
        <v>707.00230229999988</v>
      </c>
      <c r="AD839" s="10">
        <f t="shared" si="75"/>
        <v>1.4280560199999999</v>
      </c>
      <c r="AE839" s="9">
        <f t="shared" si="76"/>
        <v>1.8633252959999996E-3</v>
      </c>
      <c r="AF839" s="9">
        <f t="shared" si="77"/>
        <v>5.0463254015999999E-2</v>
      </c>
      <c r="AG839" s="9">
        <f t="shared" si="78"/>
        <v>4.9151966068746127</v>
      </c>
      <c r="AH839" s="11">
        <f t="shared" si="83"/>
        <v>3.6761776127999992</v>
      </c>
      <c r="AI839" s="11">
        <f t="shared" si="83"/>
        <v>1.1838152592</v>
      </c>
      <c r="AJ839" s="11">
        <f t="shared" si="83"/>
        <v>707.00230229999988</v>
      </c>
      <c r="AK839" s="11">
        <f t="shared" si="83"/>
        <v>0.18633252959999996</v>
      </c>
      <c r="AL839" s="11">
        <f t="shared" si="83"/>
        <v>1.4280560199999999</v>
      </c>
      <c r="AM839" s="2"/>
      <c r="AN839" s="2"/>
      <c r="AO839" s="2"/>
    </row>
    <row r="840" spans="1:41" x14ac:dyDescent="0.2">
      <c r="A840" s="2" t="s">
        <v>1656</v>
      </c>
      <c r="B840" s="2" t="s">
        <v>1620</v>
      </c>
      <c r="C840" s="2" t="s">
        <v>54</v>
      </c>
      <c r="D840" s="2"/>
      <c r="E840" s="2" t="s">
        <v>50</v>
      </c>
      <c r="F840" s="2" t="s">
        <v>1655</v>
      </c>
      <c r="G840" s="2" t="s">
        <v>906</v>
      </c>
      <c r="H840" s="12">
        <f>(0.2153+0.1007+0.0381)*0.9072</f>
        <v>0.32123952</v>
      </c>
      <c r="I840" s="9">
        <f>(1.71*0.2153+1.96*0.1007+1.69*0.0381)/(0.2153+0.1007+0.0381)</f>
        <v>1.7789438011861052</v>
      </c>
      <c r="J840" s="9">
        <f>(1.69*0.2153+1.74*0.1007+0.92*0.0381)/(0.2153+0.1007+0.0381)</f>
        <v>1.6213696695848627</v>
      </c>
      <c r="K840" s="14">
        <f>((10.08*0.2153+10.92*0.1007+11.01*0.0381)/(0.2153+0.1007+0.0381))*31.1/0.9072</f>
        <v>357.17508823322856</v>
      </c>
      <c r="L840" s="2"/>
      <c r="M840" s="9">
        <f>((0.034*0.2153+0.036*0.1007+0.025*0.0381)/(0.2153+0.1007+0.0381))*31.1/0.9072</f>
        <v>1.151865405601403</v>
      </c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9">
        <f t="shared" si="72"/>
        <v>5.7146705279999986E-3</v>
      </c>
      <c r="AB840" s="9">
        <f t="shared" si="73"/>
        <v>5.2084801439999991E-3</v>
      </c>
      <c r="AC840" s="10">
        <f t="shared" si="74"/>
        <v>114.73875389999999</v>
      </c>
      <c r="AD840" s="10">
        <f t="shared" si="75"/>
        <v>0.37002469000000004</v>
      </c>
      <c r="AE840" s="9">
        <f t="shared" si="76"/>
        <v>0</v>
      </c>
      <c r="AF840" s="9">
        <f t="shared" si="77"/>
        <v>1.0923150671999997E-2</v>
      </c>
      <c r="AG840" s="9">
        <f t="shared" si="78"/>
        <v>3.4003134707709677</v>
      </c>
      <c r="AH840" s="11">
        <f t="shared" si="83"/>
        <v>0.57146705279999988</v>
      </c>
      <c r="AI840" s="11">
        <f t="shared" si="83"/>
        <v>0.52084801439999995</v>
      </c>
      <c r="AJ840" s="11">
        <f t="shared" si="83"/>
        <v>114.73875389999999</v>
      </c>
      <c r="AK840" s="11">
        <f t="shared" si="83"/>
        <v>0</v>
      </c>
      <c r="AL840" s="11">
        <f t="shared" si="83"/>
        <v>0.37002469000000004</v>
      </c>
      <c r="AM840" s="2"/>
      <c r="AN840" s="2"/>
      <c r="AO840" s="2"/>
    </row>
    <row r="841" spans="1:41" x14ac:dyDescent="0.2">
      <c r="A841" s="2" t="s">
        <v>1657</v>
      </c>
      <c r="B841" s="2" t="s">
        <v>1620</v>
      </c>
      <c r="C841" s="2" t="s">
        <v>54</v>
      </c>
      <c r="D841" s="2" t="s">
        <v>73</v>
      </c>
      <c r="E841" s="2" t="s">
        <v>50</v>
      </c>
      <c r="F841" s="2" t="s">
        <v>1277</v>
      </c>
      <c r="G841" s="2" t="s">
        <v>615</v>
      </c>
      <c r="H841" s="12">
        <f>(0.516+3.078)*0.9072</f>
        <v>3.2604767999999997</v>
      </c>
      <c r="I841" s="13">
        <f>(2.1*0.516+1.3*3.078)/(0.516+3.078)</f>
        <v>1.4148580968280471</v>
      </c>
      <c r="J841" s="13">
        <f>(1.1*0.516+1.1*3.078)/(0.516+3.078)</f>
        <v>1.1000000000000001</v>
      </c>
      <c r="K841" s="14">
        <f>((14.8*0.516+10.7*3.078)/(0.516+3.078))*31.1/0.9072</f>
        <v>386.98957772065734</v>
      </c>
      <c r="L841" s="9"/>
      <c r="M841" s="9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9">
        <f t="shared" si="72"/>
        <v>4.6131120000000012E-2</v>
      </c>
      <c r="AB841" s="9">
        <f t="shared" si="73"/>
        <v>3.5865244800000001E-2</v>
      </c>
      <c r="AC841" s="10">
        <f t="shared" si="74"/>
        <v>1261.77054</v>
      </c>
      <c r="AD841" s="10">
        <f t="shared" si="75"/>
        <v>0</v>
      </c>
      <c r="AE841" s="9">
        <f t="shared" si="76"/>
        <v>0</v>
      </c>
      <c r="AF841" s="9">
        <f t="shared" si="77"/>
        <v>8.1996364800000013E-2</v>
      </c>
      <c r="AG841" s="9">
        <f t="shared" si="78"/>
        <v>2.5148580968280472</v>
      </c>
      <c r="AH841" s="11">
        <f t="shared" si="83"/>
        <v>4.613112000000001</v>
      </c>
      <c r="AI841" s="11">
        <f t="shared" si="83"/>
        <v>3.58652448</v>
      </c>
      <c r="AJ841" s="11">
        <f t="shared" si="83"/>
        <v>1261.77054</v>
      </c>
      <c r="AK841" s="11">
        <f t="shared" si="83"/>
        <v>0</v>
      </c>
      <c r="AL841" s="11">
        <f t="shared" si="83"/>
        <v>0</v>
      </c>
      <c r="AM841" s="2"/>
      <c r="AN841" s="2"/>
      <c r="AO841" s="2"/>
    </row>
    <row r="842" spans="1:41" x14ac:dyDescent="0.2">
      <c r="A842" s="2" t="s">
        <v>1658</v>
      </c>
      <c r="B842" s="2" t="s">
        <v>1620</v>
      </c>
      <c r="C842" s="2" t="s">
        <v>440</v>
      </c>
      <c r="D842" s="2" t="s">
        <v>1629</v>
      </c>
      <c r="E842" s="2" t="s">
        <v>50</v>
      </c>
      <c r="F842" s="2" t="s">
        <v>1277</v>
      </c>
      <c r="G842" s="2" t="s">
        <v>615</v>
      </c>
      <c r="H842" s="12">
        <f>(1.018+2.778)*0.9072</f>
        <v>3.4437312000000002</v>
      </c>
      <c r="I842" s="13">
        <f>(6.6*1.018+6.1*2.778)/(1.018+2.778)</f>
        <v>6.2340885142255003</v>
      </c>
      <c r="J842" s="13">
        <f>(7.7*1.018+5.7*2.778)/(1.018+2.778)</f>
        <v>6.2363540569020017</v>
      </c>
      <c r="K842" s="14">
        <f>((3.1*1.018+3.2*2.778)/(1.018+2.778))*31.1/0.9072</f>
        <v>108.78083051313646</v>
      </c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9">
        <f t="shared" si="72"/>
        <v>0.21468525119999998</v>
      </c>
      <c r="AB842" s="9">
        <f t="shared" si="73"/>
        <v>0.21476327040000001</v>
      </c>
      <c r="AC842" s="10">
        <f t="shared" si="74"/>
        <v>374.61194000000006</v>
      </c>
      <c r="AD842" s="10">
        <f t="shared" si="75"/>
        <v>0</v>
      </c>
      <c r="AE842" s="9">
        <f t="shared" si="76"/>
        <v>0</v>
      </c>
      <c r="AF842" s="9">
        <f t="shared" si="77"/>
        <v>0.42944852160000002</v>
      </c>
      <c r="AG842" s="9">
        <f t="shared" si="78"/>
        <v>12.470442571127503</v>
      </c>
      <c r="AH842" s="11">
        <f t="shared" si="83"/>
        <v>21.468525119999999</v>
      </c>
      <c r="AI842" s="11">
        <f t="shared" si="83"/>
        <v>21.476327040000001</v>
      </c>
      <c r="AJ842" s="11">
        <f t="shared" si="83"/>
        <v>374.61194000000006</v>
      </c>
      <c r="AK842" s="11">
        <f t="shared" si="83"/>
        <v>0</v>
      </c>
      <c r="AL842" s="11">
        <f t="shared" si="83"/>
        <v>0</v>
      </c>
      <c r="AM842" s="2"/>
      <c r="AN842" s="2"/>
      <c r="AO842" s="2"/>
    </row>
    <row r="843" spans="1:41" x14ac:dyDescent="0.2">
      <c r="A843" s="2" t="s">
        <v>1659</v>
      </c>
      <c r="B843" s="2" t="s">
        <v>1620</v>
      </c>
      <c r="C843" s="2" t="s">
        <v>247</v>
      </c>
      <c r="D843" s="2"/>
      <c r="E843" s="2" t="s">
        <v>50</v>
      </c>
      <c r="F843" s="2" t="s">
        <v>1227</v>
      </c>
      <c r="G843" s="2" t="s">
        <v>1228</v>
      </c>
      <c r="H843" s="12">
        <f>9.115*0.9072</f>
        <v>8.2691280000000003</v>
      </c>
      <c r="I843" s="2">
        <v>0.35</v>
      </c>
      <c r="J843" s="2">
        <v>0.02</v>
      </c>
      <c r="K843" s="14">
        <f>24.4*31.1/0.9072</f>
        <v>836.46384479717813</v>
      </c>
      <c r="L843" s="2">
        <v>0.26</v>
      </c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9">
        <f t="shared" si="72"/>
        <v>2.8941947999999999E-2</v>
      </c>
      <c r="AB843" s="9">
        <f t="shared" si="73"/>
        <v>1.6538256E-3</v>
      </c>
      <c r="AC843" s="10">
        <f t="shared" si="74"/>
        <v>6916.8266000000003</v>
      </c>
      <c r="AD843" s="10">
        <f t="shared" si="75"/>
        <v>0</v>
      </c>
      <c r="AE843" s="9">
        <f t="shared" si="76"/>
        <v>2.1499732800000001E-2</v>
      </c>
      <c r="AF843" s="9">
        <f t="shared" si="77"/>
        <v>5.2095506399999998E-2</v>
      </c>
      <c r="AG843" s="9">
        <f t="shared" si="78"/>
        <v>0.63</v>
      </c>
      <c r="AH843" s="11">
        <f t="shared" si="83"/>
        <v>2.8941947999999997</v>
      </c>
      <c r="AI843" s="11">
        <f t="shared" si="83"/>
        <v>0.16538256000000001</v>
      </c>
      <c r="AJ843" s="11">
        <f t="shared" si="83"/>
        <v>6916.8266000000003</v>
      </c>
      <c r="AK843" s="11">
        <f t="shared" si="83"/>
        <v>2.1499732800000002</v>
      </c>
      <c r="AL843" s="11">
        <f t="shared" si="83"/>
        <v>0</v>
      </c>
      <c r="AM843" s="2"/>
      <c r="AN843" s="2"/>
      <c r="AO843" s="2"/>
    </row>
    <row r="844" spans="1:41" x14ac:dyDescent="0.2">
      <c r="A844" s="2" t="s">
        <v>1660</v>
      </c>
      <c r="B844" s="2" t="s">
        <v>1620</v>
      </c>
      <c r="C844" s="2" t="s">
        <v>38</v>
      </c>
      <c r="D844" s="2"/>
      <c r="E844" s="7" t="s">
        <v>40</v>
      </c>
      <c r="F844" s="2" t="s">
        <v>41</v>
      </c>
      <c r="G844" s="8" t="s">
        <v>461</v>
      </c>
      <c r="H844" s="2">
        <v>34</v>
      </c>
      <c r="I844" s="13">
        <v>2</v>
      </c>
      <c r="J844" s="13">
        <v>8</v>
      </c>
      <c r="K844" s="14">
        <v>30</v>
      </c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9">
        <f t="shared" si="72"/>
        <v>0.68</v>
      </c>
      <c r="AB844" s="9">
        <f t="shared" si="73"/>
        <v>2.72</v>
      </c>
      <c r="AC844" s="10">
        <f t="shared" si="74"/>
        <v>1020</v>
      </c>
      <c r="AD844" s="10">
        <f t="shared" si="75"/>
        <v>0</v>
      </c>
      <c r="AE844" s="9">
        <f t="shared" si="76"/>
        <v>0</v>
      </c>
      <c r="AF844" s="9">
        <f t="shared" si="77"/>
        <v>3.4000000000000004</v>
      </c>
      <c r="AG844" s="9">
        <f t="shared" si="78"/>
        <v>10</v>
      </c>
      <c r="AH844" s="11">
        <f t="shared" si="83"/>
        <v>68</v>
      </c>
      <c r="AI844" s="11">
        <f t="shared" si="83"/>
        <v>272</v>
      </c>
      <c r="AJ844" s="11">
        <f t="shared" si="83"/>
        <v>1020</v>
      </c>
      <c r="AK844" s="11">
        <f t="shared" si="83"/>
        <v>0</v>
      </c>
      <c r="AL844" s="11">
        <f t="shared" si="83"/>
        <v>0</v>
      </c>
      <c r="AM844" s="2"/>
      <c r="AN844" s="2"/>
      <c r="AO844" s="2"/>
    </row>
    <row r="845" spans="1:41" x14ac:dyDescent="0.2">
      <c r="A845" s="2" t="s">
        <v>1661</v>
      </c>
      <c r="B845" s="2" t="s">
        <v>1620</v>
      </c>
      <c r="C845" s="2" t="s">
        <v>48</v>
      </c>
      <c r="D845" s="2"/>
      <c r="E845" s="2" t="s">
        <v>50</v>
      </c>
      <c r="F845" s="2" t="s">
        <v>1662</v>
      </c>
      <c r="G845" s="2" t="s">
        <v>405</v>
      </c>
      <c r="H845" s="2">
        <f>23.848+3.363</f>
        <v>27.210999999999999</v>
      </c>
      <c r="I845" s="9">
        <f>(0.76*23.848+0.58*3.363)/$H845</f>
        <v>0.73775384954613943</v>
      </c>
      <c r="J845" s="9">
        <f>(4.45*23.848+3.84*3.363)/$H845</f>
        <v>4.3746102679063616</v>
      </c>
      <c r="K845" s="13">
        <f>(53.2*23.848+41.5*3.363)/$H845</f>
        <v>51.754000220499066</v>
      </c>
      <c r="L845" s="9">
        <f>(3.26*23.848+3.22*3.363)/$H845</f>
        <v>3.2550564110102536</v>
      </c>
      <c r="M845" s="9">
        <f>(0.71*23.848+0.59*3.363)/$H845</f>
        <v>0.69516923303075961</v>
      </c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9">
        <f t="shared" si="72"/>
        <v>0.20075019999999999</v>
      </c>
      <c r="AB845" s="9">
        <f t="shared" si="73"/>
        <v>1.1903752000000001</v>
      </c>
      <c r="AC845" s="10">
        <f t="shared" si="74"/>
        <v>1408.2781</v>
      </c>
      <c r="AD845" s="10">
        <f t="shared" si="75"/>
        <v>18.916249999999998</v>
      </c>
      <c r="AE845" s="9">
        <f t="shared" si="76"/>
        <v>0.8857334</v>
      </c>
      <c r="AF845" s="9">
        <f t="shared" si="77"/>
        <v>2.2768587999999998</v>
      </c>
      <c r="AG845" s="9">
        <f t="shared" si="78"/>
        <v>8.3674205284627554</v>
      </c>
      <c r="AH845" s="11">
        <f t="shared" si="83"/>
        <v>20.075019999999999</v>
      </c>
      <c r="AI845" s="11">
        <f t="shared" si="83"/>
        <v>119.03752</v>
      </c>
      <c r="AJ845" s="11">
        <f t="shared" si="83"/>
        <v>1408.2781</v>
      </c>
      <c r="AK845" s="11">
        <f t="shared" si="83"/>
        <v>88.573340000000002</v>
      </c>
      <c r="AL845" s="11">
        <f t="shared" si="83"/>
        <v>18.916249999999998</v>
      </c>
      <c r="AM845" s="2"/>
      <c r="AN845" s="2"/>
      <c r="AO845" s="2"/>
    </row>
    <row r="846" spans="1:41" x14ac:dyDescent="0.2">
      <c r="A846" s="2" t="s">
        <v>1663</v>
      </c>
      <c r="B846" s="2" t="s">
        <v>1620</v>
      </c>
      <c r="C846" s="2" t="s">
        <v>157</v>
      </c>
      <c r="D846" s="2"/>
      <c r="E846" s="2" t="s">
        <v>50</v>
      </c>
      <c r="F846" s="2" t="s">
        <v>1664</v>
      </c>
      <c r="G846" s="2" t="s">
        <v>579</v>
      </c>
      <c r="H846" s="2">
        <f>1.764+7.493+13.519+48.337</f>
        <v>71.113</v>
      </c>
      <c r="I846" s="2"/>
      <c r="J846" s="9">
        <f>(2.81*1.764+2.5*7.493+2.09*13.519+1.69*48.337)/$H846</f>
        <v>1.8791723032356953</v>
      </c>
      <c r="K846" s="2"/>
      <c r="L846" s="9">
        <f>(0.16*1.764+0.13*7.493+0.22*13.519+0.22*48.337)/$H846</f>
        <v>0.20902858830312321</v>
      </c>
      <c r="M846" s="2"/>
      <c r="N846" s="2"/>
      <c r="O846" s="2"/>
      <c r="P846" s="2"/>
      <c r="Q846" s="2"/>
      <c r="R846" s="14">
        <f>(7*1.764+8*7.493+33*13.519+23*48.337)/$H846</f>
        <v>22.923656715368498</v>
      </c>
      <c r="S846" s="2"/>
      <c r="T846" s="14">
        <f>(8*1.764+12*7.493+47*13.519+47*48.337)/$H846</f>
        <v>42.344718968402404</v>
      </c>
      <c r="U846" s="2"/>
      <c r="V846" s="2"/>
      <c r="W846" s="2"/>
      <c r="X846" s="2"/>
      <c r="Y846" s="2"/>
      <c r="Z846" s="2"/>
      <c r="AA846" s="9">
        <f t="shared" si="72"/>
        <v>0</v>
      </c>
      <c r="AB846" s="9">
        <f t="shared" si="73"/>
        <v>1.3363357999999999</v>
      </c>
      <c r="AC846" s="10">
        <f t="shared" si="74"/>
        <v>0</v>
      </c>
      <c r="AD846" s="10">
        <f t="shared" si="75"/>
        <v>0</v>
      </c>
      <c r="AE846" s="9">
        <f t="shared" si="76"/>
        <v>0.14864650000000001</v>
      </c>
      <c r="AF846" s="9">
        <f t="shared" si="77"/>
        <v>1.4849823</v>
      </c>
      <c r="AG846" s="9">
        <f t="shared" si="78"/>
        <v>2.0882008915388184</v>
      </c>
      <c r="AH846" s="11">
        <f t="shared" si="83"/>
        <v>0</v>
      </c>
      <c r="AI846" s="11">
        <f t="shared" si="83"/>
        <v>133.63357999999999</v>
      </c>
      <c r="AJ846" s="11">
        <f t="shared" si="83"/>
        <v>0</v>
      </c>
      <c r="AK846" s="11">
        <f t="shared" si="83"/>
        <v>14.864650000000001</v>
      </c>
      <c r="AL846" s="11">
        <f t="shared" si="83"/>
        <v>0</v>
      </c>
      <c r="AM846" s="2"/>
      <c r="AN846" s="2"/>
      <c r="AO846" s="2"/>
    </row>
    <row r="847" spans="1:41" x14ac:dyDescent="0.2">
      <c r="A847" s="2" t="s">
        <v>1665</v>
      </c>
      <c r="B847" s="2" t="s">
        <v>1666</v>
      </c>
      <c r="C847" s="2" t="s">
        <v>48</v>
      </c>
      <c r="D847" s="2"/>
      <c r="E847" s="2" t="s">
        <v>50</v>
      </c>
      <c r="F847" s="2" t="s">
        <v>1667</v>
      </c>
      <c r="G847" s="2" t="s">
        <v>1668</v>
      </c>
      <c r="H847" s="2">
        <v>14.411999999999999</v>
      </c>
      <c r="I847" s="9">
        <v>3.5</v>
      </c>
      <c r="J847" s="2">
        <v>7.24</v>
      </c>
      <c r="K847" s="2">
        <v>134</v>
      </c>
      <c r="L847" s="2">
        <v>0.86</v>
      </c>
      <c r="M847" s="2">
        <v>0.38</v>
      </c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9">
        <f t="shared" si="72"/>
        <v>0.50441999999999998</v>
      </c>
      <c r="AB847" s="9">
        <f t="shared" si="73"/>
        <v>1.0434288</v>
      </c>
      <c r="AC847" s="10">
        <f t="shared" si="74"/>
        <v>1931.2079999999999</v>
      </c>
      <c r="AD847" s="10">
        <f t="shared" si="75"/>
        <v>5.4765600000000001</v>
      </c>
      <c r="AE847" s="9">
        <f t="shared" si="76"/>
        <v>0.12394319999999999</v>
      </c>
      <c r="AF847" s="9">
        <f t="shared" si="77"/>
        <v>1.6717920000000002</v>
      </c>
      <c r="AG847" s="9">
        <f t="shared" si="78"/>
        <v>11.6</v>
      </c>
      <c r="AH847" s="11">
        <f t="shared" si="83"/>
        <v>50.441999999999993</v>
      </c>
      <c r="AI847" s="11">
        <f t="shared" si="83"/>
        <v>104.34287999999999</v>
      </c>
      <c r="AJ847" s="11">
        <f t="shared" si="83"/>
        <v>1931.2079999999999</v>
      </c>
      <c r="AK847" s="11">
        <f t="shared" si="83"/>
        <v>12.394319999999999</v>
      </c>
      <c r="AL847" s="11">
        <f t="shared" si="83"/>
        <v>5.4765600000000001</v>
      </c>
      <c r="AM847" s="2"/>
      <c r="AN847" s="2"/>
      <c r="AO847" s="2"/>
    </row>
    <row r="848" spans="1:41" x14ac:dyDescent="0.2">
      <c r="A848" s="2" t="s">
        <v>1669</v>
      </c>
      <c r="B848" s="2" t="s">
        <v>1670</v>
      </c>
      <c r="C848" s="2" t="s">
        <v>48</v>
      </c>
      <c r="D848" s="2"/>
      <c r="E848" s="2" t="s">
        <v>50</v>
      </c>
      <c r="F848" s="2" t="s">
        <v>1671</v>
      </c>
      <c r="G848" s="2" t="s">
        <v>1198</v>
      </c>
      <c r="H848" s="12">
        <f>8.408+0.620856+0.620321+0.418935+15.707214</f>
        <v>25.775326</v>
      </c>
      <c r="I848" s="9">
        <f>(0.99*8.408+2.73*0.620856+1.9*0.620321+2.25*0.418935+0.17*15.707214)/$H848</f>
        <v>0.57459203076616761</v>
      </c>
      <c r="J848" s="9">
        <f>(1.9*8.408+5.26*0.620856+4.21*0.620321+4.72*0.418935+0.28*15.707214)/$H848</f>
        <v>1.0951499542624601</v>
      </c>
      <c r="K848" s="13">
        <f>(21.02*8.408+87.06*0.620856+22.55*0.620321+53.92*0.418935+4.86*15.707214)/$H848</f>
        <v>13.334541613557088</v>
      </c>
      <c r="L848" s="9">
        <f>(0.23*8.408+1.43*0.620856+1.95*0.620321+1.63*0.418935+1.1*15.707214)/$H848</f>
        <v>0.85322255400377867</v>
      </c>
      <c r="M848" s="9">
        <f>(0.24*8.408+0.52*0.620856+0.19*0.620321+0.12*0.418935+0.09*15.707214)/$H848</f>
        <v>0.15218226803416571</v>
      </c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9">
        <f t="shared" si="72"/>
        <v>0.14810296910000001</v>
      </c>
      <c r="AB848" s="9">
        <f t="shared" si="73"/>
        <v>0.28227847089999997</v>
      </c>
      <c r="AC848" s="10">
        <f t="shared" si="74"/>
        <v>343.70215714999995</v>
      </c>
      <c r="AD848" s="10">
        <f t="shared" si="75"/>
        <v>3.9225475700000003</v>
      </c>
      <c r="AE848" s="9">
        <f t="shared" si="76"/>
        <v>0.21992089480000002</v>
      </c>
      <c r="AF848" s="9">
        <f t="shared" si="77"/>
        <v>0.65030233479999999</v>
      </c>
      <c r="AG848" s="9">
        <f t="shared" si="78"/>
        <v>2.5229645390324063</v>
      </c>
      <c r="AH848" s="11">
        <f t="shared" si="83"/>
        <v>14.81029691</v>
      </c>
      <c r="AI848" s="11">
        <f t="shared" si="83"/>
        <v>28.227847089999997</v>
      </c>
      <c r="AJ848" s="11">
        <f t="shared" si="83"/>
        <v>343.70215714999995</v>
      </c>
      <c r="AK848" s="11">
        <f t="shared" si="83"/>
        <v>21.992089480000001</v>
      </c>
      <c r="AL848" s="11">
        <f t="shared" si="83"/>
        <v>3.9225475700000003</v>
      </c>
      <c r="AM848" s="2"/>
      <c r="AN848" s="2"/>
      <c r="AO848" s="2"/>
    </row>
    <row r="849" spans="1:41" x14ac:dyDescent="0.2">
      <c r="A849" s="2" t="s">
        <v>1672</v>
      </c>
      <c r="B849" s="2" t="s">
        <v>1673</v>
      </c>
      <c r="C849" s="2" t="s">
        <v>38</v>
      </c>
      <c r="D849" s="2" t="s">
        <v>1674</v>
      </c>
      <c r="E849" s="2" t="s">
        <v>50</v>
      </c>
      <c r="F849" s="2" t="s">
        <v>1675</v>
      </c>
      <c r="G849" s="2" t="s">
        <v>1676</v>
      </c>
      <c r="H849" s="2">
        <v>12.6</v>
      </c>
      <c r="I849" s="2">
        <v>1.2</v>
      </c>
      <c r="J849" s="2">
        <v>8.9</v>
      </c>
      <c r="K849" s="2">
        <v>68</v>
      </c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9">
        <f t="shared" si="72"/>
        <v>0.1512</v>
      </c>
      <c r="AB849" s="9">
        <f t="shared" si="73"/>
        <v>1.1214</v>
      </c>
      <c r="AC849" s="10">
        <f t="shared" si="74"/>
        <v>856.8</v>
      </c>
      <c r="AD849" s="10">
        <f t="shared" si="75"/>
        <v>0</v>
      </c>
      <c r="AE849" s="9">
        <f t="shared" si="76"/>
        <v>0</v>
      </c>
      <c r="AF849" s="9">
        <f t="shared" si="77"/>
        <v>1.2726</v>
      </c>
      <c r="AG849" s="9">
        <f t="shared" si="78"/>
        <v>10.1</v>
      </c>
      <c r="AH849" s="11">
        <f t="shared" si="83"/>
        <v>15.12</v>
      </c>
      <c r="AI849" s="11">
        <f t="shared" si="83"/>
        <v>112.14</v>
      </c>
      <c r="AJ849" s="11">
        <f t="shared" si="83"/>
        <v>856.8</v>
      </c>
      <c r="AK849" s="11">
        <f t="shared" si="83"/>
        <v>0</v>
      </c>
      <c r="AL849" s="11">
        <f t="shared" si="83"/>
        <v>0</v>
      </c>
      <c r="AM849" s="2"/>
      <c r="AN849" s="2"/>
      <c r="AO849" s="2"/>
    </row>
    <row r="850" spans="1:41" x14ac:dyDescent="0.2">
      <c r="A850" s="2" t="s">
        <v>1677</v>
      </c>
      <c r="B850" s="2" t="s">
        <v>1673</v>
      </c>
      <c r="C850" s="2" t="s">
        <v>38</v>
      </c>
      <c r="D850" s="2" t="s">
        <v>1674</v>
      </c>
      <c r="E850" s="16" t="s">
        <v>1678</v>
      </c>
      <c r="F850" s="2" t="s">
        <v>1675</v>
      </c>
      <c r="G850" s="2" t="s">
        <v>1676</v>
      </c>
      <c r="H850" s="2">
        <v>0.12</v>
      </c>
      <c r="I850" s="2">
        <v>3.5</v>
      </c>
      <c r="J850" s="2">
        <v>24</v>
      </c>
      <c r="K850" s="2">
        <v>160</v>
      </c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9">
        <f t="shared" si="72"/>
        <v>4.1999999999999997E-3</v>
      </c>
      <c r="AB850" s="9">
        <f t="shared" si="73"/>
        <v>2.8799999999999999E-2</v>
      </c>
      <c r="AC850" s="10">
        <f t="shared" si="74"/>
        <v>19.2</v>
      </c>
      <c r="AD850" s="10">
        <f t="shared" si="75"/>
        <v>0</v>
      </c>
      <c r="AE850" s="9">
        <f t="shared" si="76"/>
        <v>0</v>
      </c>
      <c r="AF850" s="9">
        <f t="shared" si="77"/>
        <v>3.3000000000000002E-2</v>
      </c>
      <c r="AG850" s="9">
        <f t="shared" si="78"/>
        <v>27.5</v>
      </c>
      <c r="AH850" s="11">
        <f t="shared" ref="AH850:AL852" si="84">$H850*I850</f>
        <v>0.42</v>
      </c>
      <c r="AI850" s="11">
        <f t="shared" si="84"/>
        <v>2.88</v>
      </c>
      <c r="AJ850" s="11">
        <f t="shared" si="84"/>
        <v>19.2</v>
      </c>
      <c r="AK850" s="11">
        <f t="shared" si="84"/>
        <v>0</v>
      </c>
      <c r="AL850" s="11">
        <f t="shared" si="84"/>
        <v>0</v>
      </c>
      <c r="AM850" s="2"/>
      <c r="AN850" s="2"/>
      <c r="AO850" s="2"/>
    </row>
    <row r="851" spans="1:41" x14ac:dyDescent="0.2">
      <c r="A851" s="2" t="s">
        <v>1679</v>
      </c>
      <c r="B851" s="2" t="s">
        <v>1680</v>
      </c>
      <c r="C851" s="2" t="s">
        <v>38</v>
      </c>
      <c r="D851" s="2" t="s">
        <v>39</v>
      </c>
      <c r="E851" s="7" t="s">
        <v>40</v>
      </c>
      <c r="F851" s="2" t="s">
        <v>1681</v>
      </c>
      <c r="G851" s="2" t="s">
        <v>875</v>
      </c>
      <c r="H851" s="2">
        <v>1.1000000000000001</v>
      </c>
      <c r="I851" s="2">
        <v>2.8</v>
      </c>
      <c r="J851" s="2">
        <v>15</v>
      </c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9">
        <f t="shared" si="72"/>
        <v>3.0800000000000001E-2</v>
      </c>
      <c r="AB851" s="9">
        <f t="shared" si="73"/>
        <v>0.16500000000000001</v>
      </c>
      <c r="AC851" s="10">
        <f t="shared" si="74"/>
        <v>0</v>
      </c>
      <c r="AD851" s="10">
        <f t="shared" si="75"/>
        <v>0</v>
      </c>
      <c r="AE851" s="9">
        <f t="shared" si="76"/>
        <v>0</v>
      </c>
      <c r="AF851" s="9">
        <f t="shared" si="77"/>
        <v>0.1958</v>
      </c>
      <c r="AG851" s="9">
        <f t="shared" si="78"/>
        <v>17.8</v>
      </c>
      <c r="AH851" s="11">
        <f t="shared" si="84"/>
        <v>3.08</v>
      </c>
      <c r="AI851" s="11">
        <f t="shared" si="84"/>
        <v>16.5</v>
      </c>
      <c r="AJ851" s="11">
        <f t="shared" si="84"/>
        <v>0</v>
      </c>
      <c r="AK851" s="11">
        <f t="shared" si="84"/>
        <v>0</v>
      </c>
      <c r="AL851" s="11">
        <f t="shared" si="84"/>
        <v>0</v>
      </c>
      <c r="AM851" s="2"/>
      <c r="AN851" s="2"/>
      <c r="AO851" s="2"/>
    </row>
    <row r="852" spans="1:41" x14ac:dyDescent="0.2">
      <c r="A852" s="2" t="s">
        <v>1682</v>
      </c>
      <c r="B852" s="2" t="s">
        <v>1680</v>
      </c>
      <c r="C852" s="2" t="s">
        <v>38</v>
      </c>
      <c r="D852" s="2" t="s">
        <v>39</v>
      </c>
      <c r="E852" s="7" t="s">
        <v>40</v>
      </c>
      <c r="F852" s="2" t="s">
        <v>1681</v>
      </c>
      <c r="G852" s="2" t="s">
        <v>875</v>
      </c>
      <c r="H852" s="2">
        <v>0.6</v>
      </c>
      <c r="I852" s="2">
        <v>7.3</v>
      </c>
      <c r="J852" s="2">
        <v>10.5</v>
      </c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9">
        <f t="shared" si="72"/>
        <v>4.3799999999999999E-2</v>
      </c>
      <c r="AB852" s="9">
        <f t="shared" si="73"/>
        <v>6.3E-2</v>
      </c>
      <c r="AC852" s="10">
        <f t="shared" si="74"/>
        <v>0</v>
      </c>
      <c r="AD852" s="10">
        <f t="shared" si="75"/>
        <v>0</v>
      </c>
      <c r="AE852" s="9">
        <f t="shared" si="76"/>
        <v>0</v>
      </c>
      <c r="AF852" s="9">
        <f t="shared" si="77"/>
        <v>0.10680000000000001</v>
      </c>
      <c r="AG852" s="9">
        <f t="shared" si="78"/>
        <v>17.8</v>
      </c>
      <c r="AH852" s="11">
        <f t="shared" si="84"/>
        <v>4.38</v>
      </c>
      <c r="AI852" s="11">
        <f t="shared" si="84"/>
        <v>6.3</v>
      </c>
      <c r="AJ852" s="11">
        <f t="shared" si="84"/>
        <v>0</v>
      </c>
      <c r="AK852" s="11">
        <f t="shared" si="84"/>
        <v>0</v>
      </c>
      <c r="AL852" s="11">
        <f t="shared" si="84"/>
        <v>0</v>
      </c>
      <c r="AM852" s="2"/>
      <c r="AN852" s="2"/>
      <c r="AO852" s="2"/>
    </row>
  </sheetData>
  <autoFilter ref="A1:AO852" xr:uid="{4D972A1C-9174-8C41-9F31-B6606D657D47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Vu</dc:creator>
  <cp:lastModifiedBy>Binh Vu</cp:lastModifiedBy>
  <dcterms:created xsi:type="dcterms:W3CDTF">2023-11-30T23:54:33Z</dcterms:created>
  <dcterms:modified xsi:type="dcterms:W3CDTF">2023-12-01T00:02:58Z</dcterms:modified>
</cp:coreProperties>
</file>