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xml" ContentType="application/vnd.openxmlformats-officedocument.spreadsheetml.chartsheet+xml"/>
  <Override PartName="/xl/worksheets/sheet1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9.xml" ContentType="application/vnd.openxmlformats-officedocument.spreadsheetml.worksheet+xml"/>
  <Override PartName="/xl/chartsheets/sheet4.xml" ContentType="application/vnd.openxmlformats-officedocument.spreadsheetml.chart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5.xml" ContentType="application/vnd.openxmlformats-officedocument.spreadsheetml.chart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9.xml" ContentType="application/vnd.openxmlformats-officedocument.spreadsheetml.table+xml"/>
  <Override PartName="/xl/tables/table20.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2.xml" ContentType="application/vnd.openxmlformats-officedocument.spreadsheetml.table+xml"/>
  <Override PartName="/xl/tables/table2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2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7.xml" ContentType="application/vnd.openxmlformats-officedocument.spreadsheetml.table+xml"/>
  <Override PartName="/xl/tables/table28.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9.xml" ContentType="application/vnd.openxmlformats-officedocument.spreadsheetml.table+xml"/>
  <Override PartName="/xl/pivotTables/pivotTable1.xml" ContentType="application/vnd.openxmlformats-officedocument.spreadsheetml.pivotTable+xml"/>
  <Override PartName="/xl/tables/table30.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https://d.docs.live.net/bd4428830306c10d/Documents/GitHub/DASA-Design/CSR-SMS-DA-in-ArchiSoft/assets/docs/"/>
    </mc:Choice>
  </mc:AlternateContent>
  <xr:revisionPtr revIDLastSave="5872" documentId="8_{6758B8D3-F676-466A-BDCC-CC1AE6AA70E7}" xr6:coauthVersionLast="47" xr6:coauthVersionMax="47" xr10:uidLastSave="{65EB636E-8949-4697-A028-FBB219AD15DE}"/>
  <bookViews>
    <workbookView xWindow="12720" yWindow="0" windowWidth="12960" windowHeight="15360" tabRatio="664" firstSheet="8" activeTab="9" xr2:uid="{00000000-000D-0000-FFFF-FFFF00000000}"/>
  </bookViews>
  <sheets>
    <sheet name="00 - README" sheetId="50" r:id="rId1"/>
    <sheet name="01A - Data Profiles" sheetId="3" r:id="rId2"/>
    <sheet name="01B - QryStr" sheetId="27" r:id="rId3"/>
    <sheet name="01C - Mapping Cats" sheetId="38" r:id="rId4"/>
    <sheet name="02A - ACM Dlib Data" sheetId="52" r:id="rId5"/>
    <sheet name="02B - ASME Dlib Data" sheetId="55" r:id="rId6"/>
    <sheet name="02C - IEEE Xplore Data" sheetId="61" r:id="rId7"/>
    <sheet name="02D - Science Direct Data" sheetId="57" r:id="rId8"/>
    <sheet name="02E - Springer Nature|Link Data" sheetId="60" r:id="rId9"/>
    <sheet name="03A - Qry Basics" sheetId="59" r:id="rId10"/>
    <sheet name="03B - Qry Stats" sheetId="34" r:id="rId11"/>
    <sheet name="03C - Selection Pro" sheetId="62" r:id="rId12"/>
    <sheet name="03D - PS QF Score" sheetId="32" r:id="rId13"/>
    <sheet name="03E - SLR Filter Count" sheetId="5" r:id="rId14"/>
    <sheet name="04A - PS Summary" sheetId="37" r:id="rId15"/>
    <sheet name="04B - PS Inferences" sheetId="64" r:id="rId16"/>
    <sheet name="05A - PS Analitics" sheetId="39" r:id="rId17"/>
    <sheet name="05A - PS Analitics Chart" sheetId="40" r:id="rId18"/>
    <sheet name="05B - Token Trends " sheetId="41" r:id="rId19"/>
    <sheet name="5B - Token Trends TOP5 Chart" sheetId="66" r:id="rId20"/>
    <sheet name="05B - Token Trends SPEC7 Chart" sheetId="67" r:id="rId21"/>
    <sheet name="05C - PS Topics" sheetId="43" r:id="rId22"/>
    <sheet name="05C - PS Topic Chart" sheetId="68" r:id="rId23"/>
    <sheet name="05D - PS Categories" sheetId="69" r:id="rId24"/>
    <sheet name="05E - PS Cats Map" sheetId="70" r:id="rId25"/>
    <sheet name="05E - PS Cats Map Chart" sheetId="71" r:id="rId26"/>
    <sheet name="99 - Extras" sheetId="49" r:id="rId27"/>
  </sheets>
  <definedNames>
    <definedName name="_xlcn.WorksheetConnection_01SLRDAinArchiSoftSummary201020242020.xlsxTable11" hidden="1">Table1[]</definedName>
    <definedName name="_xlcn.WorksheetConnection_01SLRDAinArchiSoftSummary201020242020.xlsxTable1281" hidden="1">Table128[]</definedName>
    <definedName name="_xlcn.WorksheetConnection_01SLRDAinArchiSoftSummary201020242020.xlsxTable13321" hidden="1">Table1332[]</definedName>
    <definedName name="_xlcn.WorksheetConnection_01SLRDAinArchiSoftSummary201020242020.xlsxTable1332351" hidden="1">Table133235[]</definedName>
    <definedName name="_xlcn.WorksheetConnection_01SLRDAinArchiSoftSummary201020242020.xlsxTable1332371" hidden="1">Table133237[]</definedName>
  </definedNames>
  <calcPr calcId="191028"/>
  <pivotCaches>
    <pivotCache cacheId="0" r:id="rId2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ACM Dlib" connection="WorksheetConnection_01 - SLR DA in ArchiSoft Summary - 2010-2024 (2020).xlsx!Table1"/>
          <x15:modelTable id="Table128" name="ASME Dlib" connection="WorksheetConnection_01 - SLR DA in ArchiSoft Summary - 2010-2024 (2020).xlsx!Table128"/>
          <x15:modelTable id="Table133237" name="IEEE Xplore" connection="WorksheetConnection_01 - SLR DA in ArchiSoft Summary - 2010-2024 (2020).xlsx!Table133237"/>
          <x15:modelTable id="Table1332" name="Science Direct" connection="WorksheetConnection_01 - SLR DA in ArchiSoft Summary - 2010-2024 (2020).xlsx!Table1332"/>
          <x15:modelTable id="Table133235" name="Springer Link" connection="WorksheetConnection_01 - SLR DA in ArchiSoft Summary - 2010-2024 (2020).xlsx!Table1332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59" l="1"/>
  <c r="I22" i="59" s="1"/>
  <c r="F28" i="59"/>
  <c r="D28" i="59"/>
  <c r="F26" i="59"/>
  <c r="E26" i="59"/>
  <c r="D26" i="59"/>
  <c r="C26" i="59"/>
  <c r="H25" i="59"/>
  <c r="J25" i="59" s="1"/>
  <c r="G25" i="59"/>
  <c r="I25" i="59" s="1"/>
  <c r="H24" i="59"/>
  <c r="J24" i="59" s="1"/>
  <c r="G24" i="59"/>
  <c r="I24" i="59" s="1"/>
  <c r="H23" i="59"/>
  <c r="J23" i="59" s="1"/>
  <c r="G23" i="59"/>
  <c r="I23" i="59" s="1"/>
  <c r="H22" i="59"/>
  <c r="J22" i="59" s="1"/>
  <c r="H21" i="59"/>
  <c r="J21" i="59" s="1"/>
  <c r="G21" i="59"/>
  <c r="I21" i="59" s="1"/>
  <c r="F18" i="5"/>
  <c r="E18" i="5"/>
  <c r="E17" i="5"/>
  <c r="F17" i="5"/>
  <c r="I10" i="39"/>
  <c r="I11" i="39"/>
  <c r="I9" i="39"/>
  <c r="G4" i="39"/>
  <c r="G5" i="39"/>
  <c r="G6" i="39"/>
  <c r="G7" i="39"/>
  <c r="G8" i="39"/>
  <c r="G3" i="39"/>
  <c r="AD678" i="62"/>
  <c r="AD679" i="62"/>
  <c r="AD680" i="62"/>
  <c r="AD681" i="62"/>
  <c r="AD71" i="62"/>
  <c r="AD131" i="62"/>
  <c r="L5" i="32"/>
  <c r="M5" i="32" s="1"/>
  <c r="L6" i="32"/>
  <c r="M6" i="32" s="1"/>
  <c r="L7" i="32"/>
  <c r="M7" i="32" s="1"/>
  <c r="L8" i="32"/>
  <c r="M8" i="32" s="1"/>
  <c r="L9" i="32"/>
  <c r="M9" i="32" s="1"/>
  <c r="L2" i="32"/>
  <c r="M2" i="32" s="1"/>
  <c r="G26" i="59" l="1"/>
  <c r="I26" i="59"/>
  <c r="I31" i="59" s="1"/>
  <c r="J26" i="59"/>
  <c r="J31" i="59" s="1"/>
  <c r="H26" i="59"/>
  <c r="O171" i="62"/>
  <c r="O172" i="62"/>
  <c r="O173" i="62"/>
  <c r="O174" i="62"/>
  <c r="O175" i="62"/>
  <c r="O176" i="62"/>
  <c r="O177" i="62"/>
  <c r="O178" i="62"/>
  <c r="O179" i="62"/>
  <c r="O180" i="62"/>
  <c r="O181" i="62"/>
  <c r="O182" i="62"/>
  <c r="O183" i="62"/>
  <c r="O184" i="62"/>
  <c r="O185" i="62"/>
  <c r="O186" i="62"/>
  <c r="O187" i="62"/>
  <c r="O188" i="62"/>
  <c r="O189" i="62"/>
  <c r="O190" i="62"/>
  <c r="O191" i="62"/>
  <c r="O192" i="62"/>
  <c r="O193" i="62"/>
  <c r="O194" i="62"/>
  <c r="O195" i="62"/>
  <c r="O196" i="62"/>
  <c r="O197" i="62"/>
  <c r="O198" i="62"/>
  <c r="O199" i="62"/>
  <c r="O200" i="62"/>
  <c r="AI557" i="62"/>
  <c r="AI2" i="62"/>
  <c r="AI3" i="62"/>
  <c r="AI4" i="62"/>
  <c r="AI5" i="62"/>
  <c r="AI6" i="62"/>
  <c r="AI7" i="62"/>
  <c r="AI8" i="62"/>
  <c r="AI9" i="62"/>
  <c r="AI10" i="62"/>
  <c r="AI11" i="62"/>
  <c r="AI12" i="62"/>
  <c r="AI13" i="62"/>
  <c r="AI14" i="62"/>
  <c r="AI15" i="62"/>
  <c r="AI16" i="62"/>
  <c r="AI17" i="62"/>
  <c r="AI18" i="62"/>
  <c r="AI19" i="62"/>
  <c r="AI20" i="62"/>
  <c r="AI21" i="62"/>
  <c r="AI22" i="62"/>
  <c r="AI23" i="62"/>
  <c r="AI24" i="62"/>
  <c r="AI25" i="62"/>
  <c r="AI26" i="62"/>
  <c r="AI27" i="62"/>
  <c r="AI28" i="62"/>
  <c r="AI29" i="62"/>
  <c r="AI30" i="62"/>
  <c r="AI31" i="62"/>
  <c r="AI32" i="62"/>
  <c r="AI33" i="62"/>
  <c r="AI34" i="62"/>
  <c r="AI35" i="62"/>
  <c r="AI36" i="62"/>
  <c r="AI37" i="62"/>
  <c r="AI38" i="62"/>
  <c r="AI39" i="62"/>
  <c r="AI40" i="62"/>
  <c r="AI41" i="62"/>
  <c r="AI42" i="62"/>
  <c r="AI43" i="62"/>
  <c r="AI44" i="62"/>
  <c r="AI45" i="62"/>
  <c r="AI46" i="62"/>
  <c r="AI47" i="62"/>
  <c r="AI48" i="62"/>
  <c r="AI49" i="62"/>
  <c r="AI50" i="62"/>
  <c r="AI51" i="62"/>
  <c r="AI52" i="62"/>
  <c r="AI53" i="62"/>
  <c r="AI54" i="62"/>
  <c r="AI55" i="62"/>
  <c r="AI56" i="62"/>
  <c r="AI57" i="62"/>
  <c r="AI58" i="62"/>
  <c r="AI59" i="62"/>
  <c r="AI60" i="62"/>
  <c r="AI61" i="62"/>
  <c r="AI62" i="62"/>
  <c r="AI63" i="62"/>
  <c r="AI64" i="62"/>
  <c r="AI65" i="62"/>
  <c r="AI66" i="62"/>
  <c r="AI67" i="62"/>
  <c r="AI68" i="62"/>
  <c r="AI69" i="62"/>
  <c r="AI70" i="62"/>
  <c r="AI71" i="62"/>
  <c r="AI72" i="62"/>
  <c r="AI73" i="62"/>
  <c r="AI74" i="62"/>
  <c r="AI75" i="62"/>
  <c r="AI76" i="62"/>
  <c r="AI77" i="62"/>
  <c r="AI78" i="62"/>
  <c r="AI79" i="62"/>
  <c r="AI80" i="62"/>
  <c r="AI81" i="62"/>
  <c r="AI82" i="62"/>
  <c r="AI83" i="62"/>
  <c r="AI84" i="62"/>
  <c r="AI85" i="62"/>
  <c r="AI86" i="62"/>
  <c r="AI87" i="62"/>
  <c r="AI88" i="62"/>
  <c r="AI89" i="62"/>
  <c r="AI90" i="62"/>
  <c r="AI91" i="62"/>
  <c r="AI92" i="62"/>
  <c r="AI93" i="62"/>
  <c r="AI94" i="62"/>
  <c r="AI95" i="62"/>
  <c r="AI96" i="62"/>
  <c r="AI97" i="62"/>
  <c r="AI98" i="62"/>
  <c r="AI99" i="62"/>
  <c r="AI100" i="62"/>
  <c r="AI101" i="62"/>
  <c r="AI102" i="62"/>
  <c r="AI103" i="62"/>
  <c r="AI104" i="62"/>
  <c r="AI105" i="62"/>
  <c r="AI106" i="62"/>
  <c r="AI107" i="62"/>
  <c r="AI108" i="62"/>
  <c r="AI109" i="62"/>
  <c r="AI110" i="62"/>
  <c r="AI111" i="62"/>
  <c r="AI112" i="62"/>
  <c r="AI113" i="62"/>
  <c r="AI114" i="62"/>
  <c r="AI115" i="62"/>
  <c r="AI116" i="62"/>
  <c r="AI117" i="62"/>
  <c r="AI118" i="62"/>
  <c r="AI119" i="62"/>
  <c r="AI120" i="62"/>
  <c r="AI121" i="62"/>
  <c r="AI122" i="62"/>
  <c r="AI123" i="62"/>
  <c r="AI124" i="62"/>
  <c r="AI125" i="62"/>
  <c r="AI126" i="62"/>
  <c r="AI127" i="62"/>
  <c r="AI128" i="62"/>
  <c r="AI129" i="62"/>
  <c r="AI130" i="62"/>
  <c r="AI131" i="62"/>
  <c r="AI132" i="62"/>
  <c r="AI133" i="62"/>
  <c r="AI134" i="62"/>
  <c r="AI135" i="62"/>
  <c r="AI136" i="62"/>
  <c r="AI137" i="62"/>
  <c r="AI138" i="62"/>
  <c r="AI139" i="62"/>
  <c r="AI140" i="62"/>
  <c r="AI141" i="62"/>
  <c r="AI142" i="62"/>
  <c r="AI143" i="62"/>
  <c r="AI144" i="62"/>
  <c r="AI145" i="62"/>
  <c r="AI146" i="62"/>
  <c r="AI147" i="62"/>
  <c r="AI148" i="62"/>
  <c r="AI149" i="62"/>
  <c r="AI150" i="62"/>
  <c r="AI151" i="62"/>
  <c r="AI152" i="62"/>
  <c r="AI153" i="62"/>
  <c r="AI154" i="62"/>
  <c r="AI155" i="62"/>
  <c r="AI156" i="62"/>
  <c r="AI157" i="62"/>
  <c r="AI158" i="62"/>
  <c r="AI159" i="62"/>
  <c r="AI160" i="62"/>
  <c r="AI161" i="62"/>
  <c r="AI162" i="62"/>
  <c r="AI163" i="62"/>
  <c r="AI164" i="62"/>
  <c r="AI165" i="62"/>
  <c r="AI166" i="62"/>
  <c r="AI167" i="62"/>
  <c r="AI168" i="62"/>
  <c r="AI169" i="62"/>
  <c r="AI170" i="62"/>
  <c r="AI171" i="62"/>
  <c r="AI172" i="62"/>
  <c r="AI173" i="62"/>
  <c r="AI174" i="62"/>
  <c r="AI175" i="62"/>
  <c r="AI176" i="62"/>
  <c r="AI177" i="62"/>
  <c r="AI178" i="62"/>
  <c r="AI179" i="62"/>
  <c r="AI180" i="62"/>
  <c r="AI181" i="62"/>
  <c r="AI182" i="62"/>
  <c r="AI183" i="62"/>
  <c r="AI184" i="62"/>
  <c r="AI185" i="62"/>
  <c r="AI186" i="62"/>
  <c r="AI187" i="62"/>
  <c r="AI188" i="62"/>
  <c r="AI189" i="62"/>
  <c r="AI190" i="62"/>
  <c r="AI191" i="62"/>
  <c r="AI192" i="62"/>
  <c r="AI193" i="62"/>
  <c r="AI194" i="62"/>
  <c r="AI195" i="62"/>
  <c r="AI196" i="62"/>
  <c r="AI197" i="62"/>
  <c r="AI198" i="62"/>
  <c r="AI199" i="62"/>
  <c r="AI200" i="62"/>
  <c r="AI201" i="62"/>
  <c r="AI202" i="62"/>
  <c r="AI203" i="62"/>
  <c r="AI204" i="62"/>
  <c r="AI205" i="62"/>
  <c r="AI206" i="62"/>
  <c r="AI207" i="62"/>
  <c r="AI208" i="62"/>
  <c r="AI209" i="62"/>
  <c r="AI210" i="62"/>
  <c r="AI211" i="62"/>
  <c r="AI212" i="62"/>
  <c r="AI213" i="62"/>
  <c r="AI214" i="62"/>
  <c r="AI215" i="62"/>
  <c r="AI216" i="62"/>
  <c r="AI217" i="62"/>
  <c r="AI218" i="62"/>
  <c r="AI219" i="62"/>
  <c r="AI220" i="62"/>
  <c r="AI221" i="62"/>
  <c r="AI222" i="62"/>
  <c r="AI223" i="62"/>
  <c r="AI224" i="62"/>
  <c r="AI225" i="62"/>
  <c r="AI226" i="62"/>
  <c r="AI227" i="62"/>
  <c r="AI228" i="62"/>
  <c r="AI229" i="62"/>
  <c r="AI230" i="62"/>
  <c r="AI231" i="62"/>
  <c r="AI232" i="62"/>
  <c r="AI233" i="62"/>
  <c r="AI234" i="62"/>
  <c r="AI235" i="62"/>
  <c r="AI236" i="62"/>
  <c r="AI237" i="62"/>
  <c r="AI238" i="62"/>
  <c r="AI239" i="62"/>
  <c r="AI240" i="62"/>
  <c r="AI241" i="62"/>
  <c r="AI242" i="62"/>
  <c r="AI243" i="62"/>
  <c r="AI244" i="62"/>
  <c r="AI245" i="62"/>
  <c r="AI246" i="62"/>
  <c r="AI247" i="62"/>
  <c r="AI248" i="62"/>
  <c r="AI249" i="62"/>
  <c r="AI250" i="62"/>
  <c r="AI251" i="62"/>
  <c r="AI252" i="62"/>
  <c r="AI253" i="62"/>
  <c r="AI254" i="62"/>
  <c r="AI255" i="62"/>
  <c r="AI256" i="62"/>
  <c r="AI257" i="62"/>
  <c r="AI258" i="62"/>
  <c r="AI259" i="62"/>
  <c r="AI260" i="62"/>
  <c r="AI261" i="62"/>
  <c r="AI262" i="62"/>
  <c r="AI263" i="62"/>
  <c r="AI264" i="62"/>
  <c r="AI265" i="62"/>
  <c r="AI266" i="62"/>
  <c r="AI267" i="62"/>
  <c r="AI268" i="62"/>
  <c r="AI269" i="62"/>
  <c r="AI270" i="62"/>
  <c r="AI271" i="62"/>
  <c r="AI272" i="62"/>
  <c r="AI273" i="62"/>
  <c r="AI274" i="62"/>
  <c r="AI275" i="62"/>
  <c r="AI276" i="62"/>
  <c r="AI277" i="62"/>
  <c r="AI278" i="62"/>
  <c r="AI279" i="62"/>
  <c r="AI280" i="62"/>
  <c r="AI281" i="62"/>
  <c r="AI282" i="62"/>
  <c r="AI283" i="62"/>
  <c r="AI284" i="62"/>
  <c r="AI285" i="62"/>
  <c r="AI286" i="62"/>
  <c r="AI287" i="62"/>
  <c r="AI288" i="62"/>
  <c r="AI289" i="62"/>
  <c r="AI290" i="62"/>
  <c r="AI291" i="62"/>
  <c r="AI292" i="62"/>
  <c r="AI293" i="62"/>
  <c r="AI294" i="62"/>
  <c r="AI295" i="62"/>
  <c r="AI296" i="62"/>
  <c r="AI297" i="62"/>
  <c r="AI298" i="62"/>
  <c r="AI299" i="62"/>
  <c r="AI300" i="62"/>
  <c r="AI301" i="62"/>
  <c r="AI302" i="62"/>
  <c r="AI303" i="62"/>
  <c r="AI304" i="62"/>
  <c r="AI305" i="62"/>
  <c r="AI306" i="62"/>
  <c r="AI307" i="62"/>
  <c r="AI308" i="62"/>
  <c r="AI309" i="62"/>
  <c r="AI310" i="62"/>
  <c r="AI311" i="62"/>
  <c r="AI312" i="62"/>
  <c r="AI313" i="62"/>
  <c r="AI314" i="62"/>
  <c r="AI315" i="62"/>
  <c r="AI316" i="62"/>
  <c r="AI317" i="62"/>
  <c r="AI318" i="62"/>
  <c r="AI319" i="62"/>
  <c r="AI320" i="62"/>
  <c r="AI321" i="62"/>
  <c r="AI322" i="62"/>
  <c r="AI323" i="62"/>
  <c r="AI324" i="62"/>
  <c r="AI325" i="62"/>
  <c r="AI326" i="62"/>
  <c r="AI327" i="62"/>
  <c r="AI328" i="62"/>
  <c r="AI329" i="62"/>
  <c r="AI330" i="62"/>
  <c r="AI331" i="62"/>
  <c r="AI332" i="62"/>
  <c r="AI333" i="62"/>
  <c r="AI334" i="62"/>
  <c r="AI335" i="62"/>
  <c r="AI336" i="62"/>
  <c r="AI337" i="62"/>
  <c r="AI338" i="62"/>
  <c r="AI339" i="62"/>
  <c r="AI340" i="62"/>
  <c r="AI341" i="62"/>
  <c r="AI342" i="62"/>
  <c r="AI343" i="62"/>
  <c r="AI344" i="62"/>
  <c r="AI345" i="62"/>
  <c r="AI346" i="62"/>
  <c r="AI347" i="62"/>
  <c r="AI348" i="62"/>
  <c r="AI349" i="62"/>
  <c r="AI350" i="62"/>
  <c r="AI351" i="62"/>
  <c r="AI352" i="62"/>
  <c r="AI353" i="62"/>
  <c r="AI354" i="62"/>
  <c r="AI355" i="62"/>
  <c r="AI356" i="62"/>
  <c r="AI357" i="62"/>
  <c r="AI358" i="62"/>
  <c r="AI359" i="62"/>
  <c r="AI360" i="62"/>
  <c r="AI361" i="62"/>
  <c r="AI362" i="62"/>
  <c r="AI363" i="62"/>
  <c r="AI364" i="62"/>
  <c r="AI365" i="62"/>
  <c r="AI366" i="62"/>
  <c r="AI367" i="62"/>
  <c r="AI368" i="62"/>
  <c r="AI369" i="62"/>
  <c r="AI370" i="62"/>
  <c r="AI371" i="62"/>
  <c r="AI372" i="62"/>
  <c r="AI373" i="62"/>
  <c r="AI374" i="62"/>
  <c r="AI375" i="62"/>
  <c r="AI376" i="62"/>
  <c r="AI377" i="62"/>
  <c r="AI378" i="62"/>
  <c r="AI379" i="62"/>
  <c r="AI380" i="62"/>
  <c r="AI381" i="62"/>
  <c r="AI382" i="62"/>
  <c r="AI383" i="62"/>
  <c r="AI384" i="62"/>
  <c r="AI385" i="62"/>
  <c r="AI386" i="62"/>
  <c r="AI387" i="62"/>
  <c r="AI388" i="62"/>
  <c r="AI389" i="62"/>
  <c r="AI390" i="62"/>
  <c r="AI391" i="62"/>
  <c r="AI392" i="62"/>
  <c r="AI393" i="62"/>
  <c r="AI394" i="62"/>
  <c r="AI395" i="62"/>
  <c r="AI396" i="62"/>
  <c r="AI397" i="62"/>
  <c r="AI398" i="62"/>
  <c r="AI399" i="62"/>
  <c r="AI400" i="62"/>
  <c r="AI401" i="62"/>
  <c r="AI402" i="62"/>
  <c r="AI403" i="62"/>
  <c r="AI404" i="62"/>
  <c r="AI405" i="62"/>
  <c r="AI406" i="62"/>
  <c r="AI407" i="62"/>
  <c r="AI408" i="62"/>
  <c r="AI409" i="62"/>
  <c r="AI410" i="62"/>
  <c r="AI411" i="62"/>
  <c r="AI412" i="62"/>
  <c r="AI413" i="62"/>
  <c r="AI414" i="62"/>
  <c r="AI415" i="62"/>
  <c r="AI416" i="62"/>
  <c r="AI417" i="62"/>
  <c r="AI418" i="62"/>
  <c r="AI419" i="62"/>
  <c r="AI420" i="62"/>
  <c r="AI421" i="62"/>
  <c r="AI422" i="62"/>
  <c r="AI423" i="62"/>
  <c r="AI424" i="62"/>
  <c r="AI425" i="62"/>
  <c r="AI426" i="62"/>
  <c r="AI427" i="62"/>
  <c r="AI428" i="62"/>
  <c r="AI429" i="62"/>
  <c r="AI430" i="62"/>
  <c r="AI431" i="62"/>
  <c r="AI432" i="62"/>
  <c r="AI433" i="62"/>
  <c r="AI434" i="62"/>
  <c r="AI435" i="62"/>
  <c r="AI436" i="62"/>
  <c r="AI437" i="62"/>
  <c r="AI438" i="62"/>
  <c r="AI439" i="62"/>
  <c r="AI440" i="62"/>
  <c r="AI441" i="62"/>
  <c r="AI442" i="62"/>
  <c r="AI443" i="62"/>
  <c r="AI444" i="62"/>
  <c r="AI445" i="62"/>
  <c r="AI446" i="62"/>
  <c r="AI447" i="62"/>
  <c r="AI448" i="62"/>
  <c r="AI449" i="62"/>
  <c r="AI450" i="62"/>
  <c r="AI451" i="62"/>
  <c r="AI452" i="62"/>
  <c r="AI453" i="62"/>
  <c r="AI454" i="62"/>
  <c r="AI455" i="62"/>
  <c r="AI456" i="62"/>
  <c r="AI457" i="62"/>
  <c r="AI458" i="62"/>
  <c r="AI459" i="62"/>
  <c r="AI460" i="62"/>
  <c r="AI461" i="62"/>
  <c r="AI462" i="62"/>
  <c r="AI463" i="62"/>
  <c r="AI464" i="62"/>
  <c r="AI465" i="62"/>
  <c r="AI466" i="62"/>
  <c r="AI467" i="62"/>
  <c r="AI468" i="62"/>
  <c r="AI469" i="62"/>
  <c r="AI470" i="62"/>
  <c r="AI471" i="62"/>
  <c r="AI472" i="62"/>
  <c r="AI473" i="62"/>
  <c r="AI474" i="62"/>
  <c r="AI475" i="62"/>
  <c r="AI476" i="62"/>
  <c r="AI477" i="62"/>
  <c r="AI478" i="62"/>
  <c r="AI479" i="62"/>
  <c r="AI480" i="62"/>
  <c r="AI481" i="62"/>
  <c r="AI482" i="62"/>
  <c r="AI483" i="62"/>
  <c r="AI484" i="62"/>
  <c r="AI485" i="62"/>
  <c r="AI486" i="62"/>
  <c r="AI487" i="62"/>
  <c r="AI488" i="62"/>
  <c r="AI489" i="62"/>
  <c r="AI490" i="62"/>
  <c r="AI491" i="62"/>
  <c r="AI492" i="62"/>
  <c r="AI493" i="62"/>
  <c r="AI494" i="62"/>
  <c r="AI495" i="62"/>
  <c r="AI496" i="62"/>
  <c r="AI497" i="62"/>
  <c r="AI498" i="62"/>
  <c r="AI499" i="62"/>
  <c r="AI500" i="62"/>
  <c r="AI501" i="62"/>
  <c r="AI502" i="62"/>
  <c r="AI503" i="62"/>
  <c r="AI504" i="62"/>
  <c r="AI505" i="62"/>
  <c r="AI506" i="62"/>
  <c r="AI507" i="62"/>
  <c r="AI508" i="62"/>
  <c r="AI509" i="62"/>
  <c r="AI510" i="62"/>
  <c r="AI511" i="62"/>
  <c r="AI512" i="62"/>
  <c r="AI513" i="62"/>
  <c r="AI514" i="62"/>
  <c r="AI515" i="62"/>
  <c r="AI516" i="62"/>
  <c r="AI517" i="62"/>
  <c r="AI518" i="62"/>
  <c r="AI519" i="62"/>
  <c r="AI520" i="62"/>
  <c r="AI521" i="62"/>
  <c r="AI522" i="62"/>
  <c r="AI523" i="62"/>
  <c r="AI524" i="62"/>
  <c r="AI525" i="62"/>
  <c r="AI526" i="62"/>
  <c r="AI527" i="62"/>
  <c r="AI528" i="62"/>
  <c r="AI529" i="62"/>
  <c r="AI530" i="62"/>
  <c r="AI531" i="62"/>
  <c r="AI532" i="62"/>
  <c r="AI533" i="62"/>
  <c r="AI534" i="62"/>
  <c r="AI535" i="62"/>
  <c r="AI536" i="62"/>
  <c r="AI537" i="62"/>
  <c r="AI538" i="62"/>
  <c r="AI539" i="62"/>
  <c r="AI540" i="62"/>
  <c r="AI541" i="62"/>
  <c r="AI542" i="62"/>
  <c r="AI543" i="62"/>
  <c r="AI544" i="62"/>
  <c r="AI545" i="62"/>
  <c r="AI546" i="62"/>
  <c r="AI547" i="62"/>
  <c r="AI548" i="62"/>
  <c r="AI549" i="62"/>
  <c r="AI550" i="62"/>
  <c r="AI551" i="62"/>
  <c r="AI552" i="62"/>
  <c r="AI553" i="62"/>
  <c r="AI554" i="62"/>
  <c r="AI555" i="62"/>
  <c r="AI556" i="62"/>
  <c r="AI558" i="62"/>
  <c r="AI559" i="62"/>
  <c r="AI560" i="62"/>
  <c r="AI561" i="62"/>
  <c r="AI562" i="62"/>
  <c r="AI563" i="62"/>
  <c r="AI564" i="62"/>
  <c r="AI565" i="62"/>
  <c r="AI566" i="62"/>
  <c r="AI567" i="62"/>
  <c r="AI568" i="62"/>
  <c r="AI569" i="62"/>
  <c r="AI570" i="62"/>
  <c r="AI571" i="62"/>
  <c r="AI572" i="62"/>
  <c r="AI573" i="62"/>
  <c r="AI574" i="62"/>
  <c r="AI575" i="62"/>
  <c r="AI576" i="62"/>
  <c r="AI577" i="62"/>
  <c r="AI578" i="62"/>
  <c r="AI579" i="62"/>
  <c r="AI580" i="62"/>
  <c r="AI581" i="62"/>
  <c r="AI582" i="62"/>
  <c r="AI583" i="62"/>
  <c r="AI584" i="62"/>
  <c r="AI585" i="62"/>
  <c r="AI586" i="62"/>
  <c r="AI587" i="62"/>
  <c r="AI588" i="62"/>
  <c r="AI589" i="62"/>
  <c r="AI590" i="62"/>
  <c r="AI591" i="62"/>
  <c r="AI592" i="62"/>
  <c r="AI593" i="62"/>
  <c r="AI594" i="62"/>
  <c r="AI595" i="62"/>
  <c r="AI596" i="62"/>
  <c r="AI597" i="62"/>
  <c r="AI598" i="62"/>
  <c r="AI599" i="62"/>
  <c r="AI600" i="62"/>
  <c r="AI601" i="62"/>
  <c r="AI602" i="62"/>
  <c r="AI603" i="62"/>
  <c r="AI604" i="62"/>
  <c r="AI605" i="62"/>
  <c r="AI606" i="62"/>
  <c r="AI607" i="62"/>
  <c r="AI608" i="62"/>
  <c r="AI609" i="62"/>
  <c r="AI610" i="62"/>
  <c r="AI611" i="62"/>
  <c r="AI612" i="62"/>
  <c r="AI613" i="62"/>
  <c r="AI614" i="62"/>
  <c r="AI615" i="62"/>
  <c r="AI616" i="62"/>
  <c r="AI617" i="62"/>
  <c r="AI618" i="62"/>
  <c r="AI619" i="62"/>
  <c r="AI620" i="62"/>
  <c r="AI621" i="62"/>
  <c r="AI622" i="62"/>
  <c r="AI623" i="62"/>
  <c r="AI624" i="62"/>
  <c r="AI625" i="62"/>
  <c r="AI626" i="62"/>
  <c r="AI627" i="62"/>
  <c r="AI628" i="62"/>
  <c r="AI629" i="62"/>
  <c r="AI630" i="62"/>
  <c r="AI631" i="62"/>
  <c r="AI632" i="62"/>
  <c r="AI633" i="62"/>
  <c r="AI634" i="62"/>
  <c r="AI635" i="62"/>
  <c r="AI636" i="62"/>
  <c r="AI637" i="62"/>
  <c r="AI638" i="62"/>
  <c r="AI639" i="62"/>
  <c r="AI640" i="62"/>
  <c r="AI641" i="62"/>
  <c r="AI642" i="62"/>
  <c r="AI643" i="62"/>
  <c r="AI644" i="62"/>
  <c r="AI645" i="62"/>
  <c r="AI646" i="62"/>
  <c r="AI647" i="62"/>
  <c r="AI648" i="62"/>
  <c r="AI649" i="62"/>
  <c r="AI650" i="62"/>
  <c r="AI651" i="62"/>
  <c r="AI652" i="62"/>
  <c r="AI653" i="62"/>
  <c r="AI654" i="62"/>
  <c r="AI655" i="62"/>
  <c r="AI656" i="62"/>
  <c r="AI657" i="62"/>
  <c r="AI658" i="62"/>
  <c r="AI659" i="62"/>
  <c r="AI660" i="62"/>
  <c r="AI661" i="62"/>
  <c r="AI662" i="62"/>
  <c r="AI663" i="62"/>
  <c r="AI664" i="62"/>
  <c r="AI665" i="62"/>
  <c r="AI666" i="62"/>
  <c r="AI667" i="62"/>
  <c r="AI668" i="62"/>
  <c r="AI669" i="62"/>
  <c r="AI670" i="62"/>
  <c r="AI671" i="62"/>
  <c r="AI672" i="62"/>
  <c r="AI673" i="62"/>
  <c r="AI674" i="62"/>
  <c r="AI675" i="62"/>
  <c r="AI676" i="62"/>
  <c r="AI677" i="62"/>
  <c r="AI678" i="62"/>
  <c r="AI679" i="62"/>
  <c r="AI680" i="62"/>
  <c r="AI681" i="62"/>
  <c r="J28" i="59" l="1"/>
  <c r="J29" i="59"/>
  <c r="J30" i="59"/>
  <c r="I28" i="59"/>
  <c r="I29" i="59"/>
  <c r="I30" i="59"/>
  <c r="Z561" i="62" a="1"/>
  <c r="Z561" i="62" s="1"/>
  <c r="P561" i="62"/>
  <c r="AA561" i="62" a="1"/>
  <c r="AA561" i="62" s="1"/>
  <c r="Y561" i="62"/>
  <c r="T561" i="62"/>
  <c r="Q561" i="62"/>
  <c r="Z562" i="62" a="1"/>
  <c r="Z562" i="62" s="1"/>
  <c r="P562" i="62"/>
  <c r="AA562" i="62" a="1"/>
  <c r="AA562" i="62" s="1"/>
  <c r="V562" i="62"/>
  <c r="Y562" i="62"/>
  <c r="T562" i="62"/>
  <c r="Q562" i="62"/>
  <c r="Z563" i="62" a="1"/>
  <c r="Z563" i="62" s="1"/>
  <c r="P563" i="62"/>
  <c r="AA563" i="62" a="1"/>
  <c r="AA563" i="62" s="1"/>
  <c r="Y563" i="62"/>
  <c r="T563" i="62"/>
  <c r="Q563" i="62"/>
  <c r="X563" i="62"/>
  <c r="Z564" i="62" a="1"/>
  <c r="Z564" i="62" s="1"/>
  <c r="P564" i="62"/>
  <c r="AA564" i="62" a="1"/>
  <c r="AA564" i="62" s="1"/>
  <c r="T564" i="62"/>
  <c r="Q564" i="62"/>
  <c r="Z565" i="62" a="1"/>
  <c r="Z565" i="62" s="1"/>
  <c r="P565" i="62"/>
  <c r="AA565" i="62" a="1"/>
  <c r="AA565" i="62" s="1"/>
  <c r="Y565" i="62"/>
  <c r="T565" i="62"/>
  <c r="Q565" i="62"/>
  <c r="X565" i="62"/>
  <c r="Z566" i="62" a="1"/>
  <c r="Z566" i="62" s="1"/>
  <c r="P566" i="62"/>
  <c r="AA566" i="62" a="1"/>
  <c r="AA566" i="62" s="1"/>
  <c r="Y566" i="62"/>
  <c r="T566" i="62"/>
  <c r="Q566" i="62"/>
  <c r="Z567" i="62" a="1"/>
  <c r="Z567" i="62" s="1"/>
  <c r="P567" i="62"/>
  <c r="AA567" i="62" a="1"/>
  <c r="AA567" i="62" s="1"/>
  <c r="Y567" i="62"/>
  <c r="T567" i="62"/>
  <c r="Q567" i="62"/>
  <c r="X567" i="62"/>
  <c r="Z568" i="62" a="1"/>
  <c r="Z568" i="62" s="1"/>
  <c r="P568" i="62"/>
  <c r="AA568" i="62" a="1"/>
  <c r="AA568" i="62" s="1"/>
  <c r="Y568" i="62"/>
  <c r="T568" i="62"/>
  <c r="Q568" i="62"/>
  <c r="Z569" i="62" a="1"/>
  <c r="Z569" i="62" s="1"/>
  <c r="P569" i="62"/>
  <c r="AA569" i="62" a="1"/>
  <c r="AA569" i="62" s="1"/>
  <c r="Y569" i="62"/>
  <c r="T569" i="62"/>
  <c r="Q569" i="62"/>
  <c r="X569" i="62"/>
  <c r="Z570" i="62" a="1"/>
  <c r="Z570" i="62" s="1"/>
  <c r="P570" i="62"/>
  <c r="AA570" i="62" a="1"/>
  <c r="AA570" i="62" s="1"/>
  <c r="Y570" i="62"/>
  <c r="T570" i="62"/>
  <c r="Q570" i="62"/>
  <c r="Z571" i="62" a="1"/>
  <c r="Z571" i="62" s="1"/>
  <c r="P571" i="62"/>
  <c r="AA571" i="62" a="1"/>
  <c r="AA571" i="62" s="1"/>
  <c r="Y571" i="62"/>
  <c r="T571" i="62"/>
  <c r="Q571" i="62"/>
  <c r="X571" i="62"/>
  <c r="Z572" i="62" a="1"/>
  <c r="Z572" i="62" s="1"/>
  <c r="P572" i="62"/>
  <c r="AA572" i="62" a="1"/>
  <c r="AA572" i="62" s="1"/>
  <c r="Y572" i="62"/>
  <c r="T572" i="62"/>
  <c r="Q572" i="62"/>
  <c r="Z573" i="62" a="1"/>
  <c r="Z573" i="62" s="1"/>
  <c r="P573" i="62"/>
  <c r="AA573" i="62" a="1"/>
  <c r="AA573" i="62" s="1"/>
  <c r="Y573" i="62"/>
  <c r="T573" i="62"/>
  <c r="Q573" i="62"/>
  <c r="X573" i="62"/>
  <c r="Z574" i="62" a="1"/>
  <c r="Z574" i="62" s="1"/>
  <c r="P574" i="62"/>
  <c r="AA574" i="62" a="1"/>
  <c r="AA574" i="62" s="1"/>
  <c r="Y574" i="62"/>
  <c r="T574" i="62"/>
  <c r="Q574" i="62"/>
  <c r="Z575" i="62" a="1"/>
  <c r="Z575" i="62" s="1"/>
  <c r="P575" i="62"/>
  <c r="AA575" i="62" a="1"/>
  <c r="AA575" i="62" s="1"/>
  <c r="Y575" i="62"/>
  <c r="T575" i="62"/>
  <c r="Q575" i="62"/>
  <c r="X575" i="62"/>
  <c r="Z576" i="62" a="1"/>
  <c r="Z576" i="62" s="1"/>
  <c r="P576" i="62"/>
  <c r="AA576" i="62" a="1"/>
  <c r="AA576" i="62" s="1"/>
  <c r="Y576" i="62"/>
  <c r="T576" i="62"/>
  <c r="Q576" i="62"/>
  <c r="X576" i="62"/>
  <c r="Z577" i="62" a="1"/>
  <c r="Z577" i="62" s="1"/>
  <c r="P577" i="62"/>
  <c r="AA577" i="62" a="1"/>
  <c r="AA577" i="62" s="1"/>
  <c r="Y577" i="62"/>
  <c r="T577" i="62"/>
  <c r="Q577" i="62"/>
  <c r="X577" i="62"/>
  <c r="Z578" i="62" a="1"/>
  <c r="Z578" i="62" s="1"/>
  <c r="P578" i="62"/>
  <c r="AA578" i="62" a="1"/>
  <c r="AA578" i="62" s="1"/>
  <c r="Y578" i="62"/>
  <c r="T578" i="62"/>
  <c r="Q578" i="62"/>
  <c r="Z579" i="62" a="1"/>
  <c r="Z579" i="62" s="1"/>
  <c r="P579" i="62"/>
  <c r="AA579" i="62" a="1"/>
  <c r="AA579" i="62" s="1"/>
  <c r="Y579" i="62"/>
  <c r="T579" i="62"/>
  <c r="Q579" i="62"/>
  <c r="X579" i="62"/>
  <c r="Z580" i="62" a="1"/>
  <c r="Z580" i="62" s="1"/>
  <c r="P580" i="62"/>
  <c r="AA580" i="62" a="1"/>
  <c r="AA580" i="62" s="1"/>
  <c r="Y580" i="62"/>
  <c r="T580" i="62"/>
  <c r="Q580" i="62"/>
  <c r="X580" i="62"/>
  <c r="Z581" i="62" a="1"/>
  <c r="Z581" i="62" s="1"/>
  <c r="P581" i="62"/>
  <c r="AA581" i="62" a="1"/>
  <c r="AA581" i="62" s="1"/>
  <c r="Y581" i="62"/>
  <c r="T581" i="62"/>
  <c r="Q581" i="62"/>
  <c r="X581" i="62"/>
  <c r="Z582" i="62" a="1"/>
  <c r="Z582" i="62" s="1"/>
  <c r="P582" i="62"/>
  <c r="AA582" i="62" a="1"/>
  <c r="AA582" i="62" s="1"/>
  <c r="Y582" i="62"/>
  <c r="T582" i="62"/>
  <c r="Q582" i="62"/>
  <c r="Z583" i="62" a="1"/>
  <c r="Z583" i="62" s="1"/>
  <c r="P583" i="62"/>
  <c r="AA583" i="62" a="1"/>
  <c r="AA583" i="62" s="1"/>
  <c r="Y583" i="62"/>
  <c r="T583" i="62"/>
  <c r="Q583" i="62"/>
  <c r="X583" i="62"/>
  <c r="Z584" i="62" a="1"/>
  <c r="Z584" i="62" s="1"/>
  <c r="P584" i="62"/>
  <c r="AA584" i="62" a="1"/>
  <c r="AA584" i="62" s="1"/>
  <c r="Y584" i="62"/>
  <c r="T584" i="62"/>
  <c r="Q584" i="62"/>
  <c r="X584" i="62"/>
  <c r="Z585" i="62" a="1"/>
  <c r="Z585" i="62" s="1"/>
  <c r="P585" i="62"/>
  <c r="AA585" i="62" a="1"/>
  <c r="AA585" i="62" s="1"/>
  <c r="V585" i="62"/>
  <c r="Y585" i="62"/>
  <c r="T585" i="62"/>
  <c r="Q585" i="62"/>
  <c r="X585" i="62"/>
  <c r="Z586" i="62" a="1"/>
  <c r="Z586" i="62" s="1"/>
  <c r="P586" i="62"/>
  <c r="AA586" i="62" a="1"/>
  <c r="AA586" i="62" s="1"/>
  <c r="Y586" i="62"/>
  <c r="T586" i="62"/>
  <c r="Q586" i="62"/>
  <c r="Z587" i="62" a="1"/>
  <c r="Z587" i="62" s="1"/>
  <c r="P587" i="62"/>
  <c r="AA587" i="62" a="1"/>
  <c r="AA587" i="62" s="1"/>
  <c r="Y587" i="62"/>
  <c r="T587" i="62"/>
  <c r="Q587" i="62"/>
  <c r="X587" i="62"/>
  <c r="Z588" i="62" a="1"/>
  <c r="Z588" i="62" s="1"/>
  <c r="P588" i="62"/>
  <c r="AA588" i="62" a="1"/>
  <c r="AA588" i="62" s="1"/>
  <c r="Y588" i="62"/>
  <c r="T588" i="62"/>
  <c r="Q588" i="62"/>
  <c r="X588" i="62"/>
  <c r="Z589" i="62" a="1"/>
  <c r="Z589" i="62" s="1"/>
  <c r="P589" i="62"/>
  <c r="AA589" i="62" a="1"/>
  <c r="AA589" i="62" s="1"/>
  <c r="Y589" i="62"/>
  <c r="T589" i="62"/>
  <c r="Q589" i="62"/>
  <c r="X589" i="62"/>
  <c r="Z590" i="62" a="1"/>
  <c r="Z590" i="62" s="1"/>
  <c r="P590" i="62"/>
  <c r="AA590" i="62" a="1"/>
  <c r="AA590" i="62" s="1"/>
  <c r="Y590" i="62"/>
  <c r="T590" i="62"/>
  <c r="Q590" i="62"/>
  <c r="Z591" i="62" a="1"/>
  <c r="Z591" i="62" s="1"/>
  <c r="P591" i="62"/>
  <c r="AA591" i="62" a="1"/>
  <c r="AA591" i="62" s="1"/>
  <c r="Y591" i="62"/>
  <c r="T591" i="62"/>
  <c r="Q591" i="62"/>
  <c r="X591" i="62"/>
  <c r="Z592" i="62" a="1"/>
  <c r="Z592" i="62" s="1"/>
  <c r="P592" i="62"/>
  <c r="AA592" i="62" a="1"/>
  <c r="AA592" i="62" s="1"/>
  <c r="Y592" i="62"/>
  <c r="T592" i="62"/>
  <c r="Q592" i="62"/>
  <c r="X592" i="62"/>
  <c r="Z593" i="62" a="1"/>
  <c r="Z593" i="62" s="1"/>
  <c r="P593" i="62"/>
  <c r="AA593" i="62" a="1"/>
  <c r="AA593" i="62" s="1"/>
  <c r="Y593" i="62"/>
  <c r="T593" i="62"/>
  <c r="Q593" i="62"/>
  <c r="X593" i="62"/>
  <c r="Z594" i="62" a="1"/>
  <c r="Z594" i="62" s="1"/>
  <c r="P594" i="62"/>
  <c r="AA594" i="62" a="1"/>
  <c r="AA594" i="62" s="1"/>
  <c r="Y594" i="62"/>
  <c r="T594" i="62"/>
  <c r="Q594" i="62"/>
  <c r="Z595" i="62" a="1"/>
  <c r="Z595" i="62" s="1"/>
  <c r="P595" i="62"/>
  <c r="AA595" i="62" a="1"/>
  <c r="AA595" i="62" s="1"/>
  <c r="Y595" i="62"/>
  <c r="T595" i="62"/>
  <c r="Q595" i="62"/>
  <c r="X595" i="62"/>
  <c r="Z596" i="62" a="1"/>
  <c r="Z596" i="62" s="1"/>
  <c r="P596" i="62"/>
  <c r="AA596" i="62" a="1"/>
  <c r="AA596" i="62" s="1"/>
  <c r="T596" i="62"/>
  <c r="Q596" i="62"/>
  <c r="X596" i="62"/>
  <c r="Z597" i="62" a="1"/>
  <c r="Z597" i="62" s="1"/>
  <c r="P597" i="62"/>
  <c r="AA597" i="62" a="1"/>
  <c r="AA597" i="62" s="1"/>
  <c r="Y597" i="62"/>
  <c r="T597" i="62"/>
  <c r="Q597" i="62"/>
  <c r="X597" i="62"/>
  <c r="Z598" i="62" a="1"/>
  <c r="Z598" i="62" s="1"/>
  <c r="P598" i="62"/>
  <c r="AA598" i="62" a="1"/>
  <c r="AA598" i="62" s="1"/>
  <c r="Y598" i="62"/>
  <c r="T598" i="62"/>
  <c r="Q598" i="62"/>
  <c r="Z599" i="62" a="1"/>
  <c r="Z599" i="62" s="1"/>
  <c r="P599" i="62"/>
  <c r="AA599" i="62" a="1"/>
  <c r="AA599" i="62" s="1"/>
  <c r="Y599" i="62"/>
  <c r="T599" i="62"/>
  <c r="Q599" i="62"/>
  <c r="X599" i="62"/>
  <c r="Z600" i="62" a="1"/>
  <c r="Z600" i="62" s="1"/>
  <c r="P600" i="62"/>
  <c r="AA600" i="62" a="1"/>
  <c r="AA600" i="62" s="1"/>
  <c r="Y600" i="62"/>
  <c r="T600" i="62"/>
  <c r="Q600" i="62"/>
  <c r="X600" i="62"/>
  <c r="Z601" i="62" a="1"/>
  <c r="Z601" i="62" s="1"/>
  <c r="P601" i="62"/>
  <c r="AA601" i="62" a="1"/>
  <c r="AA601" i="62" s="1"/>
  <c r="Y601" i="62"/>
  <c r="T601" i="62"/>
  <c r="Q601" i="62"/>
  <c r="X601" i="62"/>
  <c r="Z602" i="62" a="1"/>
  <c r="Z602" i="62" s="1"/>
  <c r="P602" i="62"/>
  <c r="AA602" i="62" a="1"/>
  <c r="AA602" i="62" s="1"/>
  <c r="Y602" i="62"/>
  <c r="T602" i="62"/>
  <c r="Q602" i="62"/>
  <c r="Z603" i="62" a="1"/>
  <c r="Z603" i="62" s="1"/>
  <c r="P603" i="62"/>
  <c r="AA603" i="62" a="1"/>
  <c r="AA603" i="62" s="1"/>
  <c r="Y603" i="62"/>
  <c r="T603" i="62"/>
  <c r="Q603" i="62"/>
  <c r="X603" i="62"/>
  <c r="Z604" i="62" a="1"/>
  <c r="Z604" i="62" s="1"/>
  <c r="P604" i="62"/>
  <c r="AA604" i="62" a="1"/>
  <c r="AA604" i="62" s="1"/>
  <c r="Y604" i="62"/>
  <c r="T604" i="62"/>
  <c r="Q604" i="62"/>
  <c r="X604" i="62"/>
  <c r="Z605" i="62" a="1"/>
  <c r="Z605" i="62" s="1"/>
  <c r="P605" i="62"/>
  <c r="AA605" i="62" a="1"/>
  <c r="AA605" i="62" s="1"/>
  <c r="Y605" i="62"/>
  <c r="T605" i="62"/>
  <c r="Q605" i="62"/>
  <c r="X605" i="62"/>
  <c r="Z606" i="62" a="1"/>
  <c r="Z606" i="62" s="1"/>
  <c r="P606" i="62"/>
  <c r="AA606" i="62" a="1"/>
  <c r="AA606" i="62" s="1"/>
  <c r="Y606" i="62"/>
  <c r="T606" i="62"/>
  <c r="Q606" i="62"/>
  <c r="X606" i="62"/>
  <c r="Z607" i="62" a="1"/>
  <c r="Z607" i="62" s="1"/>
  <c r="P607" i="62"/>
  <c r="AA607" i="62" a="1"/>
  <c r="AA607" i="62" s="1"/>
  <c r="Y607" i="62"/>
  <c r="T607" i="62"/>
  <c r="Q607" i="62"/>
  <c r="X607" i="62"/>
  <c r="Z608" i="62" a="1"/>
  <c r="Z608" i="62" s="1"/>
  <c r="P608" i="62"/>
  <c r="AA608" i="62" a="1"/>
  <c r="AA608" i="62" s="1"/>
  <c r="Y608" i="62"/>
  <c r="T608" i="62"/>
  <c r="Q608" i="62"/>
  <c r="X608" i="62"/>
  <c r="Z609" i="62" a="1"/>
  <c r="Z609" i="62" s="1"/>
  <c r="P609" i="62"/>
  <c r="AA609" i="62" a="1"/>
  <c r="AA609" i="62" s="1"/>
  <c r="Y609" i="62"/>
  <c r="T609" i="62"/>
  <c r="Q609" i="62"/>
  <c r="X609" i="62"/>
  <c r="Z610" i="62" a="1"/>
  <c r="Z610" i="62" s="1"/>
  <c r="P610" i="62"/>
  <c r="AA610" i="62" a="1"/>
  <c r="AA610" i="62" s="1"/>
  <c r="Y610" i="62"/>
  <c r="T610" i="62"/>
  <c r="Q610" i="62"/>
  <c r="Z611" i="62" a="1"/>
  <c r="Z611" i="62" s="1"/>
  <c r="P611" i="62"/>
  <c r="AA611" i="62" a="1"/>
  <c r="AA611" i="62" s="1"/>
  <c r="Y611" i="62"/>
  <c r="T611" i="62"/>
  <c r="Q611" i="62"/>
  <c r="X611" i="62"/>
  <c r="Z612" i="62" a="1"/>
  <c r="Z612" i="62" s="1"/>
  <c r="P612" i="62"/>
  <c r="AA612" i="62" a="1"/>
  <c r="AA612" i="62" s="1"/>
  <c r="Y612" i="62"/>
  <c r="T612" i="62"/>
  <c r="Q612" i="62"/>
  <c r="X612" i="62"/>
  <c r="Z613" i="62" a="1"/>
  <c r="Z613" i="62" s="1"/>
  <c r="P613" i="62"/>
  <c r="AA613" i="62" a="1"/>
  <c r="AA613" i="62" s="1"/>
  <c r="Y613" i="62"/>
  <c r="T613" i="62"/>
  <c r="Q613" i="62"/>
  <c r="X613" i="62"/>
  <c r="Z614" i="62" a="1"/>
  <c r="Z614" i="62" s="1"/>
  <c r="P614" i="62"/>
  <c r="AA614" i="62" a="1"/>
  <c r="AA614" i="62" s="1"/>
  <c r="Y614" i="62"/>
  <c r="T614" i="62"/>
  <c r="Q614" i="62"/>
  <c r="Z615" i="62" a="1"/>
  <c r="Z615" i="62" s="1"/>
  <c r="P615" i="62"/>
  <c r="AA615" i="62" a="1"/>
  <c r="AA615" i="62" s="1"/>
  <c r="Y615" i="62"/>
  <c r="T615" i="62"/>
  <c r="Q615" i="62"/>
  <c r="X615" i="62"/>
  <c r="Z616" i="62" a="1"/>
  <c r="Z616" i="62" s="1"/>
  <c r="P616" i="62"/>
  <c r="AA616" i="62" a="1"/>
  <c r="AA616" i="62" s="1"/>
  <c r="Y616" i="62"/>
  <c r="T616" i="62"/>
  <c r="Q616" i="62"/>
  <c r="X616" i="62"/>
  <c r="Z617" i="62" a="1"/>
  <c r="Z617" i="62" s="1"/>
  <c r="P617" i="62"/>
  <c r="AA617" i="62" a="1"/>
  <c r="AA617" i="62" s="1"/>
  <c r="Y617" i="62"/>
  <c r="T617" i="62"/>
  <c r="Q617" i="62"/>
  <c r="X617" i="62"/>
  <c r="Z618" i="62" a="1"/>
  <c r="Z618" i="62" s="1"/>
  <c r="P618" i="62"/>
  <c r="AA618" i="62" a="1"/>
  <c r="AA618" i="62" s="1"/>
  <c r="Y618" i="62"/>
  <c r="T618" i="62"/>
  <c r="Q618" i="62"/>
  <c r="Z619" i="62" a="1"/>
  <c r="Z619" i="62" s="1"/>
  <c r="P619" i="62"/>
  <c r="AA619" i="62" a="1"/>
  <c r="AA619" i="62" s="1"/>
  <c r="Y619" i="62"/>
  <c r="T619" i="62"/>
  <c r="Q619" i="62"/>
  <c r="X619" i="62"/>
  <c r="Z620" i="62" a="1"/>
  <c r="Z620" i="62" s="1"/>
  <c r="P620" i="62"/>
  <c r="AA620" i="62" a="1"/>
  <c r="AA620" i="62" s="1"/>
  <c r="Y620" i="62"/>
  <c r="T620" i="62"/>
  <c r="Q620" i="62"/>
  <c r="X620" i="62"/>
  <c r="Z621" i="62" a="1"/>
  <c r="Z621" i="62" s="1"/>
  <c r="P621" i="62"/>
  <c r="AA621" i="62" a="1"/>
  <c r="AA621" i="62" s="1"/>
  <c r="Y621" i="62"/>
  <c r="T621" i="62"/>
  <c r="Q621" i="62"/>
  <c r="X621" i="62"/>
  <c r="Z622" i="62" a="1"/>
  <c r="Z622" i="62" s="1"/>
  <c r="P622" i="62"/>
  <c r="AA622" i="62" a="1"/>
  <c r="AA622" i="62" s="1"/>
  <c r="Y622" i="62"/>
  <c r="T622" i="62"/>
  <c r="Q622" i="62"/>
  <c r="X622" i="62"/>
  <c r="Z623" i="62" a="1"/>
  <c r="Z623" i="62" s="1"/>
  <c r="P623" i="62"/>
  <c r="AA623" i="62" a="1"/>
  <c r="AA623" i="62" s="1"/>
  <c r="Y623" i="62"/>
  <c r="T623" i="62"/>
  <c r="Q623" i="62"/>
  <c r="X623" i="62"/>
  <c r="Z624" i="62" a="1"/>
  <c r="Z624" i="62" s="1"/>
  <c r="P624" i="62"/>
  <c r="AA624" i="62" a="1"/>
  <c r="AA624" i="62" s="1"/>
  <c r="Y624" i="62"/>
  <c r="T624" i="62"/>
  <c r="Q624" i="62"/>
  <c r="X624" i="62"/>
  <c r="Z625" i="62" a="1"/>
  <c r="Z625" i="62" s="1"/>
  <c r="P625" i="62"/>
  <c r="AA625" i="62" a="1"/>
  <c r="AA625" i="62" s="1"/>
  <c r="W625" i="62"/>
  <c r="Y625" i="62"/>
  <c r="T625" i="62"/>
  <c r="Q625" i="62"/>
  <c r="X625" i="62"/>
  <c r="Z626" i="62" a="1"/>
  <c r="Z626" i="62" s="1"/>
  <c r="P626" i="62"/>
  <c r="AA626" i="62" a="1"/>
  <c r="AA626" i="62" s="1"/>
  <c r="Y626" i="62"/>
  <c r="T626" i="62"/>
  <c r="Q626" i="62"/>
  <c r="X626" i="62"/>
  <c r="Z627" i="62" a="1"/>
  <c r="Z627" i="62" s="1"/>
  <c r="P627" i="62"/>
  <c r="AA627" i="62" a="1"/>
  <c r="AA627" i="62" s="1"/>
  <c r="W627" i="62"/>
  <c r="Y627" i="62"/>
  <c r="T627" i="62"/>
  <c r="Q627" i="62"/>
  <c r="X627" i="62"/>
  <c r="Z628" i="62" a="1"/>
  <c r="Z628" i="62" s="1"/>
  <c r="P628" i="62"/>
  <c r="AA628" i="62" a="1"/>
  <c r="AA628" i="62" s="1"/>
  <c r="Y628" i="62"/>
  <c r="T628" i="62"/>
  <c r="Q628" i="62"/>
  <c r="X628" i="62"/>
  <c r="Z629" i="62" a="1"/>
  <c r="Z629" i="62" s="1"/>
  <c r="P629" i="62"/>
  <c r="AA629" i="62" a="1"/>
  <c r="AA629" i="62" s="1"/>
  <c r="Y629" i="62"/>
  <c r="T629" i="62"/>
  <c r="Q629" i="62"/>
  <c r="X629" i="62"/>
  <c r="Z630" i="62" a="1"/>
  <c r="Z630" i="62" s="1"/>
  <c r="P630" i="62"/>
  <c r="AA630" i="62" a="1"/>
  <c r="AA630" i="62" s="1"/>
  <c r="Y630" i="62"/>
  <c r="T630" i="62"/>
  <c r="Q630" i="62"/>
  <c r="X630" i="62"/>
  <c r="Z631" i="62" a="1"/>
  <c r="Z631" i="62" s="1"/>
  <c r="P631" i="62"/>
  <c r="AA631" i="62" a="1"/>
  <c r="AA631" i="62" s="1"/>
  <c r="Y631" i="62"/>
  <c r="T631" i="62"/>
  <c r="Q631" i="62"/>
  <c r="X631" i="62"/>
  <c r="Z632" i="62" a="1"/>
  <c r="Z632" i="62" s="1"/>
  <c r="P632" i="62"/>
  <c r="AA632" i="62" a="1"/>
  <c r="AA632" i="62" s="1"/>
  <c r="V632" i="62"/>
  <c r="Y632" i="62"/>
  <c r="T632" i="62"/>
  <c r="Q632" i="62"/>
  <c r="X632" i="62"/>
  <c r="Z633" i="62" a="1"/>
  <c r="Z633" i="62" s="1"/>
  <c r="P633" i="62"/>
  <c r="AA633" i="62" a="1"/>
  <c r="AA633" i="62" s="1"/>
  <c r="Y633" i="62"/>
  <c r="T633" i="62"/>
  <c r="Q633" i="62"/>
  <c r="X633" i="62"/>
  <c r="Z634" i="62" a="1"/>
  <c r="Z634" i="62" s="1"/>
  <c r="P634" i="62"/>
  <c r="AA634" i="62" a="1"/>
  <c r="AA634" i="62" s="1"/>
  <c r="Y634" i="62"/>
  <c r="T634" i="62"/>
  <c r="Q634" i="62"/>
  <c r="X634" i="62"/>
  <c r="Z635" i="62" a="1"/>
  <c r="Z635" i="62" s="1"/>
  <c r="P635" i="62"/>
  <c r="AA635" i="62" a="1"/>
  <c r="AA635" i="62" s="1"/>
  <c r="Y635" i="62"/>
  <c r="T635" i="62"/>
  <c r="Q635" i="62"/>
  <c r="X635" i="62"/>
  <c r="Z636" i="62" a="1"/>
  <c r="Z636" i="62" s="1"/>
  <c r="P636" i="62"/>
  <c r="AA636" i="62" a="1"/>
  <c r="AA636" i="62" s="1"/>
  <c r="Y636" i="62"/>
  <c r="T636" i="62"/>
  <c r="Q636" i="62"/>
  <c r="X636" i="62"/>
  <c r="Z637" i="62" a="1"/>
  <c r="Z637" i="62" s="1"/>
  <c r="P637" i="62"/>
  <c r="AA637" i="62" a="1"/>
  <c r="AA637" i="62" s="1"/>
  <c r="Y637" i="62"/>
  <c r="T637" i="62"/>
  <c r="Q637" i="62"/>
  <c r="X637" i="62"/>
  <c r="Z638" i="62" a="1"/>
  <c r="Z638" i="62" s="1"/>
  <c r="P638" i="62"/>
  <c r="AA638" i="62" a="1"/>
  <c r="AA638" i="62" s="1"/>
  <c r="Y638" i="62"/>
  <c r="T638" i="62"/>
  <c r="Q638" i="62"/>
  <c r="X638" i="62"/>
  <c r="P639" i="62"/>
  <c r="AA639" i="62" a="1"/>
  <c r="AA639" i="62" s="1"/>
  <c r="Y639" i="62"/>
  <c r="T639" i="62"/>
  <c r="Q639" i="62"/>
  <c r="X639" i="62"/>
  <c r="Z640" i="62" a="1"/>
  <c r="Z640" i="62" s="1"/>
  <c r="P640" i="62"/>
  <c r="AA640" i="62" a="1"/>
  <c r="AA640" i="62" s="1"/>
  <c r="V640" i="62"/>
  <c r="Y640" i="62"/>
  <c r="T640" i="62"/>
  <c r="Q640" i="62"/>
  <c r="X640" i="62"/>
  <c r="Z641" i="62" a="1"/>
  <c r="Z641" i="62" s="1"/>
  <c r="P641" i="62"/>
  <c r="AA641" i="62" a="1"/>
  <c r="AA641" i="62" s="1"/>
  <c r="Y641" i="62"/>
  <c r="T641" i="62"/>
  <c r="Q641" i="62"/>
  <c r="X641" i="62"/>
  <c r="Z642" i="62" a="1"/>
  <c r="Z642" i="62" s="1"/>
  <c r="P642" i="62"/>
  <c r="AA642" i="62" a="1"/>
  <c r="AA642" i="62" s="1"/>
  <c r="Y642" i="62"/>
  <c r="T642" i="62"/>
  <c r="Q642" i="62"/>
  <c r="X642" i="62"/>
  <c r="Z643" i="62" a="1"/>
  <c r="Z643" i="62" s="1"/>
  <c r="P643" i="62"/>
  <c r="AA643" i="62" a="1"/>
  <c r="AA643" i="62" s="1"/>
  <c r="W643" i="62"/>
  <c r="Y643" i="62"/>
  <c r="T643" i="62"/>
  <c r="Q643" i="62"/>
  <c r="X643" i="62"/>
  <c r="Z644" i="62" a="1"/>
  <c r="Z644" i="62" s="1"/>
  <c r="P644" i="62"/>
  <c r="AA644" i="62" a="1"/>
  <c r="AA644" i="62" s="1"/>
  <c r="Y644" i="62"/>
  <c r="T644" i="62"/>
  <c r="Q644" i="62"/>
  <c r="X644" i="62"/>
  <c r="Z645" i="62" a="1"/>
  <c r="Z645" i="62" s="1"/>
  <c r="P645" i="62"/>
  <c r="AA645" i="62" a="1"/>
  <c r="AA645" i="62" s="1"/>
  <c r="V645" i="62"/>
  <c r="Y645" i="62"/>
  <c r="T645" i="62"/>
  <c r="Q645" i="62"/>
  <c r="X645" i="62"/>
  <c r="Z646" i="62" a="1"/>
  <c r="Z646" i="62" s="1"/>
  <c r="P646" i="62"/>
  <c r="AA646" i="62" a="1"/>
  <c r="AA646" i="62" s="1"/>
  <c r="Y646" i="62"/>
  <c r="T646" i="62"/>
  <c r="Q646" i="62"/>
  <c r="X646" i="62"/>
  <c r="Z647" i="62" a="1"/>
  <c r="Z647" i="62" s="1"/>
  <c r="P647" i="62"/>
  <c r="AA647" i="62" a="1"/>
  <c r="AA647" i="62" s="1"/>
  <c r="Y647" i="62"/>
  <c r="T647" i="62"/>
  <c r="Q647" i="62"/>
  <c r="X647" i="62"/>
  <c r="Z648" i="62" a="1"/>
  <c r="Z648" i="62" s="1"/>
  <c r="P648" i="62"/>
  <c r="AA648" i="62" a="1"/>
  <c r="AA648" i="62" s="1"/>
  <c r="V648" i="62"/>
  <c r="Y648" i="62"/>
  <c r="T648" i="62"/>
  <c r="Q648" i="62"/>
  <c r="X648" i="62"/>
  <c r="Z649" i="62" a="1"/>
  <c r="Z649" i="62" s="1"/>
  <c r="P649" i="62"/>
  <c r="AA649" i="62" a="1"/>
  <c r="AA649" i="62" s="1"/>
  <c r="Y649" i="62"/>
  <c r="T649" i="62"/>
  <c r="Q649" i="62"/>
  <c r="X649" i="62"/>
  <c r="Z650" i="62" a="1"/>
  <c r="Z650" i="62" s="1"/>
  <c r="P650" i="62"/>
  <c r="AA650" i="62" a="1"/>
  <c r="AA650" i="62" s="1"/>
  <c r="V650" i="62"/>
  <c r="Y650" i="62"/>
  <c r="T650" i="62"/>
  <c r="Q650" i="62"/>
  <c r="X650" i="62"/>
  <c r="Z651" i="62" a="1"/>
  <c r="Z651" i="62" s="1"/>
  <c r="P651" i="62"/>
  <c r="AA651" i="62" a="1"/>
  <c r="AA651" i="62" s="1"/>
  <c r="Y651" i="62"/>
  <c r="T651" i="62"/>
  <c r="Q651" i="62"/>
  <c r="X651" i="62"/>
  <c r="Z652" i="62" a="1"/>
  <c r="Z652" i="62" s="1"/>
  <c r="P652" i="62"/>
  <c r="AA652" i="62" a="1"/>
  <c r="AA652" i="62" s="1"/>
  <c r="Y652" i="62"/>
  <c r="T652" i="62"/>
  <c r="Q652" i="62"/>
  <c r="X652" i="62"/>
  <c r="Z653" i="62" a="1"/>
  <c r="Z653" i="62" s="1"/>
  <c r="P653" i="62"/>
  <c r="AA653" i="62" a="1"/>
  <c r="AA653" i="62" s="1"/>
  <c r="V653" i="62"/>
  <c r="Y653" i="62"/>
  <c r="T653" i="62"/>
  <c r="Q653" i="62"/>
  <c r="X653" i="62"/>
  <c r="Z654" i="62" a="1"/>
  <c r="Z654" i="62" s="1"/>
  <c r="P654" i="62"/>
  <c r="AA654" i="62" a="1"/>
  <c r="AA654" i="62" s="1"/>
  <c r="Y654" i="62"/>
  <c r="T654" i="62"/>
  <c r="Q654" i="62"/>
  <c r="X654" i="62"/>
  <c r="P655" i="62"/>
  <c r="AA655" i="62" a="1"/>
  <c r="AA655" i="62" s="1"/>
  <c r="V655" i="62"/>
  <c r="Y655" i="62"/>
  <c r="T655" i="62"/>
  <c r="Q655" i="62"/>
  <c r="X655" i="62"/>
  <c r="Z656" i="62" a="1"/>
  <c r="Z656" i="62" s="1"/>
  <c r="P656" i="62"/>
  <c r="AA656" i="62" a="1"/>
  <c r="AA656" i="62" s="1"/>
  <c r="Y656" i="62"/>
  <c r="T656" i="62"/>
  <c r="Q656" i="62"/>
  <c r="X656" i="62"/>
  <c r="P657" i="62"/>
  <c r="AA657" i="62" a="1"/>
  <c r="AA657" i="62" s="1"/>
  <c r="Y657" i="62"/>
  <c r="T657" i="62"/>
  <c r="Q657" i="62"/>
  <c r="X657" i="62"/>
  <c r="Z658" i="62" a="1"/>
  <c r="Z658" i="62" s="1"/>
  <c r="P658" i="62"/>
  <c r="AA658" i="62" a="1"/>
  <c r="AA658" i="62" s="1"/>
  <c r="W658" i="62"/>
  <c r="Y658" i="62"/>
  <c r="T658" i="62"/>
  <c r="Q658" i="62"/>
  <c r="X658" i="62"/>
  <c r="Z659" i="62" a="1"/>
  <c r="Z659" i="62" s="1"/>
  <c r="P659" i="62"/>
  <c r="AA659" i="62" a="1"/>
  <c r="AA659" i="62" s="1"/>
  <c r="Y659" i="62"/>
  <c r="T659" i="62"/>
  <c r="Q659" i="62"/>
  <c r="X659" i="62"/>
  <c r="Z660" i="62" a="1"/>
  <c r="Z660" i="62" s="1"/>
  <c r="P660" i="62"/>
  <c r="AA660" i="62" a="1"/>
  <c r="AA660" i="62" s="1"/>
  <c r="V660" i="62"/>
  <c r="Y660" i="62"/>
  <c r="T660" i="62"/>
  <c r="Q660" i="62"/>
  <c r="X660" i="62"/>
  <c r="Z661" i="62" a="1"/>
  <c r="Z661" i="62" s="1"/>
  <c r="P661" i="62"/>
  <c r="AA661" i="62" a="1"/>
  <c r="AA661" i="62" s="1"/>
  <c r="Y661" i="62"/>
  <c r="T661" i="62"/>
  <c r="Q661" i="62"/>
  <c r="X661" i="62"/>
  <c r="P662" i="62"/>
  <c r="AA662" i="62" a="1"/>
  <c r="AA662" i="62" s="1"/>
  <c r="Y662" i="62"/>
  <c r="T662" i="62"/>
  <c r="Q662" i="62"/>
  <c r="X662" i="62"/>
  <c r="Z663" i="62" a="1"/>
  <c r="Z663" i="62" s="1"/>
  <c r="P663" i="62"/>
  <c r="AA663" i="62" a="1"/>
  <c r="AA663" i="62" s="1"/>
  <c r="W663" i="62"/>
  <c r="Y663" i="62"/>
  <c r="T663" i="62"/>
  <c r="Q663" i="62"/>
  <c r="X663" i="62"/>
  <c r="Z664" i="62" a="1"/>
  <c r="Z664" i="62" s="1"/>
  <c r="P664" i="62"/>
  <c r="AA664" i="62" a="1"/>
  <c r="AA664" i="62" s="1"/>
  <c r="Y664" i="62"/>
  <c r="T664" i="62"/>
  <c r="Q664" i="62"/>
  <c r="X664" i="62"/>
  <c r="Z665" i="62" a="1"/>
  <c r="Z665" i="62" s="1"/>
  <c r="P665" i="62"/>
  <c r="AA665" i="62" a="1"/>
  <c r="AA665" i="62" s="1"/>
  <c r="V665" i="62"/>
  <c r="Y665" i="62"/>
  <c r="T665" i="62"/>
  <c r="Q665" i="62"/>
  <c r="X665" i="62"/>
  <c r="Z666" i="62" a="1"/>
  <c r="Z666" i="62" s="1"/>
  <c r="P666" i="62"/>
  <c r="AA666" i="62" a="1"/>
  <c r="AA666" i="62" s="1"/>
  <c r="Y666" i="62"/>
  <c r="T666" i="62"/>
  <c r="Q666" i="62"/>
  <c r="P667" i="62"/>
  <c r="AA667" i="62" a="1"/>
  <c r="AA667" i="62" s="1"/>
  <c r="Y667" i="62"/>
  <c r="T667" i="62"/>
  <c r="Q667" i="62"/>
  <c r="X667" i="62"/>
  <c r="Z668" i="62" a="1"/>
  <c r="Z668" i="62" s="1"/>
  <c r="P668" i="62"/>
  <c r="AA668" i="62" a="1"/>
  <c r="AA668" i="62" s="1"/>
  <c r="Y668" i="62"/>
  <c r="T668" i="62"/>
  <c r="Q668" i="62"/>
  <c r="X668" i="62"/>
  <c r="Z669" i="62" a="1"/>
  <c r="Z669" i="62" s="1"/>
  <c r="P669" i="62"/>
  <c r="Y669" i="62"/>
  <c r="T669" i="62"/>
  <c r="Q669" i="62"/>
  <c r="X669" i="62"/>
  <c r="Z670" i="62" a="1"/>
  <c r="Z670" i="62" s="1"/>
  <c r="P670" i="62"/>
  <c r="AA670" i="62" a="1"/>
  <c r="AA670" i="62" s="1"/>
  <c r="W670" i="62"/>
  <c r="Y670" i="62"/>
  <c r="T670" i="62"/>
  <c r="Q670" i="62"/>
  <c r="X670" i="62"/>
  <c r="Z671" i="62" a="1"/>
  <c r="Z671" i="62" s="1"/>
  <c r="P671" i="62"/>
  <c r="AA671" i="62" a="1"/>
  <c r="AA671" i="62" s="1"/>
  <c r="Y671" i="62"/>
  <c r="T671" i="62"/>
  <c r="Q671" i="62"/>
  <c r="X671" i="62"/>
  <c r="Z672" i="62" a="1"/>
  <c r="Z672" i="62" s="1"/>
  <c r="P672" i="62"/>
  <c r="AA672" i="62" a="1"/>
  <c r="AA672" i="62" s="1"/>
  <c r="V672" i="62"/>
  <c r="Y672" i="62"/>
  <c r="T672" i="62"/>
  <c r="Q672" i="62"/>
  <c r="X672" i="62"/>
  <c r="Z673" i="62" a="1"/>
  <c r="Z673" i="62" s="1"/>
  <c r="P673" i="62"/>
  <c r="AA673" i="62" a="1"/>
  <c r="AA673" i="62" s="1"/>
  <c r="Y673" i="62"/>
  <c r="T673" i="62"/>
  <c r="Q673" i="62"/>
  <c r="X673" i="62"/>
  <c r="P674" i="62"/>
  <c r="AA674" i="62" a="1"/>
  <c r="AA674" i="62" s="1"/>
  <c r="Y674" i="62"/>
  <c r="T674" i="62"/>
  <c r="Q674" i="62"/>
  <c r="X674" i="62"/>
  <c r="Z675" i="62" a="1"/>
  <c r="Z675" i="62" s="1"/>
  <c r="P675" i="62"/>
  <c r="AA675" i="62" a="1"/>
  <c r="AA675" i="62" s="1"/>
  <c r="W675" i="62"/>
  <c r="Y675" i="62"/>
  <c r="T675" i="62"/>
  <c r="Q675" i="62"/>
  <c r="X675" i="62"/>
  <c r="Z676" i="62" a="1"/>
  <c r="Z676" i="62" s="1"/>
  <c r="P676" i="62"/>
  <c r="AA676" i="62" a="1"/>
  <c r="AA676" i="62" s="1"/>
  <c r="Y676" i="62"/>
  <c r="T676" i="62"/>
  <c r="Q676" i="62"/>
  <c r="X676" i="62"/>
  <c r="Z677" i="62" a="1"/>
  <c r="Z677" i="62" s="1"/>
  <c r="P677" i="62"/>
  <c r="AA677" i="62" a="1"/>
  <c r="AA677" i="62" s="1"/>
  <c r="V677" i="62"/>
  <c r="Y677" i="62"/>
  <c r="T677" i="62"/>
  <c r="Q677" i="62"/>
  <c r="X677" i="62"/>
  <c r="Z678" i="62" a="1"/>
  <c r="Z678" i="62" s="1"/>
  <c r="P678" i="62"/>
  <c r="AA678" i="62" a="1"/>
  <c r="AA678" i="62" s="1"/>
  <c r="Y678" i="62"/>
  <c r="T678" i="62"/>
  <c r="Q678" i="62"/>
  <c r="X678" i="62"/>
  <c r="P679" i="62"/>
  <c r="AA679" i="62" a="1"/>
  <c r="AA679" i="62" s="1"/>
  <c r="Y679" i="62"/>
  <c r="T679" i="62"/>
  <c r="Q679" i="62"/>
  <c r="X679" i="62"/>
  <c r="Z680" i="62" a="1"/>
  <c r="Z680" i="62" s="1"/>
  <c r="P680" i="62"/>
  <c r="AA680" i="62" a="1"/>
  <c r="AA680" i="62" s="1"/>
  <c r="W680" i="62"/>
  <c r="Y680" i="62"/>
  <c r="T680" i="62"/>
  <c r="Q680" i="62"/>
  <c r="X680" i="62"/>
  <c r="Z681" i="62" a="1"/>
  <c r="Z681" i="62" s="1"/>
  <c r="P681" i="62"/>
  <c r="AA681" i="62" a="1"/>
  <c r="AA681" i="62" s="1"/>
  <c r="Y681" i="62"/>
  <c r="T681" i="62"/>
  <c r="Q681" i="62"/>
  <c r="X681" i="62"/>
  <c r="Z558" i="62" a="1"/>
  <c r="Z558" i="62" s="1"/>
  <c r="P558" i="62"/>
  <c r="AA558" i="62" a="1"/>
  <c r="AA558" i="62" s="1"/>
  <c r="Y558" i="62"/>
  <c r="T558" i="62"/>
  <c r="Q558" i="62"/>
  <c r="X558" i="62"/>
  <c r="Z559" i="62" a="1"/>
  <c r="Z559" i="62" s="1"/>
  <c r="P559" i="62"/>
  <c r="AA559" i="62" a="1"/>
  <c r="AA559" i="62" s="1"/>
  <c r="Y559" i="62"/>
  <c r="T559" i="62"/>
  <c r="Q559" i="62"/>
  <c r="X559" i="62"/>
  <c r="Z560" i="62" a="1"/>
  <c r="Z560" i="62" s="1"/>
  <c r="P560" i="62"/>
  <c r="AA560" i="62" a="1"/>
  <c r="AA560" i="62" s="1"/>
  <c r="W560" i="62"/>
  <c r="Y560" i="62"/>
  <c r="T560" i="62"/>
  <c r="Q560" i="62"/>
  <c r="X560" i="62"/>
  <c r="Z557" i="62" a="1"/>
  <c r="Z557" i="62" s="1"/>
  <c r="P557" i="62"/>
  <c r="AA557" i="62" a="1"/>
  <c r="AA557" i="62" s="1"/>
  <c r="Y557" i="62"/>
  <c r="T557" i="62"/>
  <c r="Q557" i="62"/>
  <c r="X561" i="62" l="1"/>
  <c r="O662" i="62"/>
  <c r="Z662" i="62" a="1"/>
  <c r="Z662" i="62" s="1"/>
  <c r="O674" i="62"/>
  <c r="Z674" i="62" a="1"/>
  <c r="Z674" i="62" s="1"/>
  <c r="O679" i="62"/>
  <c r="Z679" i="62" a="1"/>
  <c r="Z679" i="62" s="1"/>
  <c r="O667" i="62"/>
  <c r="Z667" i="62" a="1"/>
  <c r="Z667" i="62" s="1"/>
  <c r="O655" i="62"/>
  <c r="Z655" i="62" a="1"/>
  <c r="Z655" i="62" s="1"/>
  <c r="O639" i="62"/>
  <c r="Z639" i="62" a="1"/>
  <c r="Z639" i="62" s="1"/>
  <c r="R669" i="62"/>
  <c r="AA669" i="62" a="1"/>
  <c r="AA669" i="62" s="1"/>
  <c r="O657" i="62"/>
  <c r="Z657" i="62" a="1"/>
  <c r="Z657" i="62" s="1"/>
  <c r="R631" i="62"/>
  <c r="R619" i="62"/>
  <c r="R599" i="62"/>
  <c r="R591" i="62"/>
  <c r="O619" i="62"/>
  <c r="R647" i="62"/>
  <c r="O647" i="62"/>
  <c r="R652" i="62"/>
  <c r="R636" i="62"/>
  <c r="R584" i="62"/>
  <c r="R664" i="62"/>
  <c r="R679" i="62"/>
  <c r="R667" i="62"/>
  <c r="R659" i="62"/>
  <c r="O652" i="62"/>
  <c r="O612" i="62"/>
  <c r="O592" i="62"/>
  <c r="R672" i="62"/>
  <c r="O605" i="62"/>
  <c r="R642" i="62"/>
  <c r="R598" i="62"/>
  <c r="O650" i="62"/>
  <c r="O642" i="62"/>
  <c r="O598" i="62"/>
  <c r="O561" i="62"/>
  <c r="S620" i="62"/>
  <c r="X618" i="62"/>
  <c r="X614" i="62"/>
  <c r="X610" i="62"/>
  <c r="X602" i="62"/>
  <c r="W648" i="62"/>
  <c r="W562" i="62"/>
  <c r="R677" i="62"/>
  <c r="R673" i="62"/>
  <c r="O681" i="62"/>
  <c r="V678" i="62"/>
  <c r="W678" i="62"/>
  <c r="O677" i="62"/>
  <c r="V674" i="62"/>
  <c r="W674" i="62"/>
  <c r="O673" i="62"/>
  <c r="O669" i="62"/>
  <c r="V666" i="62"/>
  <c r="W666" i="62"/>
  <c r="O665" i="62"/>
  <c r="V662" i="62"/>
  <c r="W662" i="62"/>
  <c r="O661" i="62"/>
  <c r="V654" i="62"/>
  <c r="W654" i="62"/>
  <c r="O653" i="62"/>
  <c r="O649" i="62"/>
  <c r="V646" i="62"/>
  <c r="W646" i="62"/>
  <c r="O645" i="62"/>
  <c r="V642" i="62"/>
  <c r="W642" i="62"/>
  <c r="O641" i="62"/>
  <c r="V638" i="62"/>
  <c r="W638" i="62"/>
  <c r="O637" i="62"/>
  <c r="V634" i="62"/>
  <c r="W634" i="62"/>
  <c r="O633" i="62"/>
  <c r="W630" i="62"/>
  <c r="V630" i="62"/>
  <c r="O629" i="62"/>
  <c r="V626" i="62"/>
  <c r="W626" i="62"/>
  <c r="O625" i="62"/>
  <c r="V622" i="62"/>
  <c r="W622" i="62"/>
  <c r="O621" i="62"/>
  <c r="W618" i="62"/>
  <c r="V618" i="62"/>
  <c r="O617" i="62"/>
  <c r="V614" i="62"/>
  <c r="W614" i="62"/>
  <c r="O613" i="62"/>
  <c r="V610" i="62"/>
  <c r="W610" i="62"/>
  <c r="W606" i="62"/>
  <c r="V606" i="62"/>
  <c r="V602" i="62"/>
  <c r="W602" i="62"/>
  <c r="O601" i="62"/>
  <c r="V598" i="62"/>
  <c r="W598" i="62"/>
  <c r="O597" i="62"/>
  <c r="V594" i="62"/>
  <c r="W594" i="62"/>
  <c r="O593" i="62"/>
  <c r="W590" i="62"/>
  <c r="V590" i="62"/>
  <c r="O589" i="62"/>
  <c r="V586" i="62"/>
  <c r="W586" i="62"/>
  <c r="O585" i="62"/>
  <c r="V582" i="62"/>
  <c r="W582" i="62"/>
  <c r="O581" i="62"/>
  <c r="V578" i="62"/>
  <c r="W578" i="62"/>
  <c r="O577" i="62"/>
  <c r="W574" i="62"/>
  <c r="V574" i="62"/>
  <c r="O573" i="62"/>
  <c r="V570" i="62"/>
  <c r="W570" i="62"/>
  <c r="O569" i="62"/>
  <c r="V566" i="62"/>
  <c r="W566" i="62"/>
  <c r="O557" i="62"/>
  <c r="V680" i="62"/>
  <c r="V670" i="62"/>
  <c r="W660" i="62"/>
  <c r="X572" i="62"/>
  <c r="R570" i="62"/>
  <c r="X568" i="62"/>
  <c r="R566" i="62"/>
  <c r="R562" i="62"/>
  <c r="O565" i="62"/>
  <c r="W650" i="62"/>
  <c r="V560" i="62"/>
  <c r="W558" i="62"/>
  <c r="V558" i="62"/>
  <c r="R618" i="62"/>
  <c r="R610" i="62"/>
  <c r="R594" i="62"/>
  <c r="O654" i="62"/>
  <c r="O606" i="62"/>
  <c r="O602" i="62"/>
  <c r="V599" i="62"/>
  <c r="W599" i="62"/>
  <c r="V595" i="62"/>
  <c r="W595" i="62"/>
  <c r="O574" i="62"/>
  <c r="V571" i="62"/>
  <c r="W571" i="62"/>
  <c r="V567" i="62"/>
  <c r="W567" i="62"/>
  <c r="R643" i="62"/>
  <c r="R639" i="62"/>
  <c r="R635" i="62"/>
  <c r="R627" i="62"/>
  <c r="R623" i="62"/>
  <c r="R615" i="62"/>
  <c r="R611" i="62"/>
  <c r="R607" i="62"/>
  <c r="R603" i="62"/>
  <c r="S596" i="62"/>
  <c r="Y596" i="62"/>
  <c r="R595" i="62"/>
  <c r="R587" i="62"/>
  <c r="R583" i="62"/>
  <c r="R579" i="62"/>
  <c r="R571" i="62"/>
  <c r="R567" i="62"/>
  <c r="S564" i="62"/>
  <c r="Y564" i="62"/>
  <c r="R563" i="62"/>
  <c r="R675" i="62"/>
  <c r="R663" i="62"/>
  <c r="R651" i="62"/>
  <c r="X557" i="62"/>
  <c r="W677" i="62"/>
  <c r="AB677" i="62" s="1"/>
  <c r="R621" i="62"/>
  <c r="R589" i="62"/>
  <c r="R585" i="62"/>
  <c r="R646" i="62"/>
  <c r="R614" i="62"/>
  <c r="R606" i="62"/>
  <c r="R590" i="62"/>
  <c r="R586" i="62"/>
  <c r="R578" i="62"/>
  <c r="V559" i="62"/>
  <c r="W559" i="62"/>
  <c r="V667" i="62"/>
  <c r="W667" i="62"/>
  <c r="O658" i="62"/>
  <c r="V651" i="62"/>
  <c r="W651" i="62"/>
  <c r="V611" i="62"/>
  <c r="W611" i="62"/>
  <c r="V591" i="62"/>
  <c r="W591" i="62"/>
  <c r="O559" i="62"/>
  <c r="V676" i="62"/>
  <c r="W676" i="62"/>
  <c r="O671" i="62"/>
  <c r="V656" i="62"/>
  <c r="W656" i="62"/>
  <c r="O643" i="62"/>
  <c r="V636" i="62"/>
  <c r="W636" i="62"/>
  <c r="O635" i="62"/>
  <c r="O631" i="62"/>
  <c r="V628" i="62"/>
  <c r="W628" i="62"/>
  <c r="O627" i="62"/>
  <c r="V624" i="62"/>
  <c r="W624" i="62"/>
  <c r="O623" i="62"/>
  <c r="W620" i="62"/>
  <c r="V620" i="62"/>
  <c r="W616" i="62"/>
  <c r="V616" i="62"/>
  <c r="O615" i="62"/>
  <c r="V612" i="62"/>
  <c r="W612" i="62"/>
  <c r="O611" i="62"/>
  <c r="W608" i="62"/>
  <c r="V608" i="62"/>
  <c r="O607" i="62"/>
  <c r="W604" i="62"/>
  <c r="V604" i="62"/>
  <c r="O603" i="62"/>
  <c r="V600" i="62"/>
  <c r="W600" i="62"/>
  <c r="O599" i="62"/>
  <c r="V596" i="62"/>
  <c r="W596" i="62"/>
  <c r="O595" i="62"/>
  <c r="W592" i="62"/>
  <c r="V592" i="62"/>
  <c r="O591" i="62"/>
  <c r="W588" i="62"/>
  <c r="V588" i="62"/>
  <c r="O587" i="62"/>
  <c r="V584" i="62"/>
  <c r="W584" i="62"/>
  <c r="O583" i="62"/>
  <c r="V580" i="62"/>
  <c r="W580" i="62"/>
  <c r="O579" i="62"/>
  <c r="W576" i="62"/>
  <c r="V576" i="62"/>
  <c r="O575" i="62"/>
  <c r="V572" i="62"/>
  <c r="W572" i="62"/>
  <c r="O571" i="62"/>
  <c r="V568" i="62"/>
  <c r="W568" i="62"/>
  <c r="O567" i="62"/>
  <c r="V564" i="62"/>
  <c r="W564" i="62"/>
  <c r="O563" i="62"/>
  <c r="W632" i="62"/>
  <c r="V679" i="62"/>
  <c r="W679" i="62"/>
  <c r="O646" i="62"/>
  <c r="V639" i="62"/>
  <c r="W639" i="62"/>
  <c r="O618" i="62"/>
  <c r="V587" i="62"/>
  <c r="W587" i="62"/>
  <c r="O570" i="62"/>
  <c r="R671" i="62"/>
  <c r="R655" i="62"/>
  <c r="O675" i="62"/>
  <c r="V668" i="62"/>
  <c r="W668" i="62"/>
  <c r="V664" i="62"/>
  <c r="W664" i="62"/>
  <c r="O663" i="62"/>
  <c r="O659" i="62"/>
  <c r="V652" i="62"/>
  <c r="W652" i="62"/>
  <c r="O651" i="62"/>
  <c r="V644" i="62"/>
  <c r="W644" i="62"/>
  <c r="V675" i="62"/>
  <c r="W665" i="62"/>
  <c r="AB665" i="62" s="1"/>
  <c r="R653" i="62"/>
  <c r="R649" i="62"/>
  <c r="R609" i="62"/>
  <c r="R670" i="62"/>
  <c r="R638" i="62"/>
  <c r="R582" i="62"/>
  <c r="O666" i="62"/>
  <c r="O586" i="62"/>
  <c r="V579" i="62"/>
  <c r="W579" i="62"/>
  <c r="V563" i="62"/>
  <c r="W563" i="62"/>
  <c r="R680" i="62"/>
  <c r="R676" i="62"/>
  <c r="R668" i="62"/>
  <c r="X666" i="62"/>
  <c r="R660" i="62"/>
  <c r="R656" i="62"/>
  <c r="R648" i="62"/>
  <c r="R644" i="62"/>
  <c r="R640" i="62"/>
  <c r="R632" i="62"/>
  <c r="R628" i="62"/>
  <c r="R624" i="62"/>
  <c r="R620" i="62"/>
  <c r="R616" i="62"/>
  <c r="R612" i="62"/>
  <c r="R608" i="62"/>
  <c r="R604" i="62"/>
  <c r="R600" i="62"/>
  <c r="X598" i="62"/>
  <c r="R596" i="62"/>
  <c r="X594" i="62"/>
  <c r="R592" i="62"/>
  <c r="X590" i="62"/>
  <c r="R588" i="62"/>
  <c r="X586" i="62"/>
  <c r="X582" i="62"/>
  <c r="R580" i="62"/>
  <c r="X578" i="62"/>
  <c r="R576" i="62"/>
  <c r="X574" i="62"/>
  <c r="R572" i="62"/>
  <c r="X570" i="62"/>
  <c r="R568" i="62"/>
  <c r="X566" i="62"/>
  <c r="R564" i="62"/>
  <c r="X562" i="62"/>
  <c r="W655" i="62"/>
  <c r="R681" i="62"/>
  <c r="R657" i="62"/>
  <c r="R645" i="62"/>
  <c r="R641" i="62"/>
  <c r="R617" i="62"/>
  <c r="R581" i="62"/>
  <c r="R662" i="62"/>
  <c r="X564" i="62"/>
  <c r="V659" i="62"/>
  <c r="W659" i="62"/>
  <c r="V647" i="62"/>
  <c r="W647" i="62"/>
  <c r="V631" i="62"/>
  <c r="W631" i="62"/>
  <c r="O626" i="62"/>
  <c r="W623" i="62"/>
  <c r="V623" i="62"/>
  <c r="V619" i="62"/>
  <c r="W619" i="62"/>
  <c r="V615" i="62"/>
  <c r="W615" i="62"/>
  <c r="O610" i="62"/>
  <c r="V603" i="62"/>
  <c r="W603" i="62"/>
  <c r="O562" i="62"/>
  <c r="W645" i="62"/>
  <c r="AB645" i="62" s="1"/>
  <c r="V627" i="62"/>
  <c r="R666" i="62"/>
  <c r="R622" i="62"/>
  <c r="O558" i="62"/>
  <c r="O678" i="62"/>
  <c r="V671" i="62"/>
  <c r="W671" i="62"/>
  <c r="O638" i="62"/>
  <c r="W635" i="62"/>
  <c r="V635" i="62"/>
  <c r="O630" i="62"/>
  <c r="O622" i="62"/>
  <c r="O614" i="62"/>
  <c r="V607" i="62"/>
  <c r="W607" i="62"/>
  <c r="O590" i="62"/>
  <c r="O582" i="62"/>
  <c r="V658" i="62"/>
  <c r="O676" i="62"/>
  <c r="O664" i="62"/>
  <c r="O660" i="62"/>
  <c r="V657" i="62"/>
  <c r="W657" i="62"/>
  <c r="O648" i="62"/>
  <c r="O644" i="62"/>
  <c r="V641" i="62"/>
  <c r="W641" i="62"/>
  <c r="O640" i="62"/>
  <c r="V637" i="62"/>
  <c r="W637" i="62"/>
  <c r="V633" i="62"/>
  <c r="W633" i="62"/>
  <c r="O632" i="62"/>
  <c r="V629" i="62"/>
  <c r="W629" i="62"/>
  <c r="O628" i="62"/>
  <c r="W621" i="62"/>
  <c r="V621" i="62"/>
  <c r="O620" i="62"/>
  <c r="O616" i="62"/>
  <c r="W613" i="62"/>
  <c r="V613" i="62"/>
  <c r="W609" i="62"/>
  <c r="V609" i="62"/>
  <c r="AB609" i="62" s="1"/>
  <c r="O608" i="62"/>
  <c r="V605" i="62"/>
  <c r="W605" i="62"/>
  <c r="O604" i="62"/>
  <c r="V601" i="62"/>
  <c r="W601" i="62"/>
  <c r="O600" i="62"/>
  <c r="V597" i="62"/>
  <c r="W597" i="62"/>
  <c r="O596" i="62"/>
  <c r="W593" i="62"/>
  <c r="V593" i="62"/>
  <c r="V589" i="62"/>
  <c r="W589" i="62"/>
  <c r="O588" i="62"/>
  <c r="O584" i="62"/>
  <c r="V581" i="62"/>
  <c r="W581" i="62"/>
  <c r="O580" i="62"/>
  <c r="V577" i="62"/>
  <c r="W577" i="62"/>
  <c r="O576" i="62"/>
  <c r="V573" i="62"/>
  <c r="W573" i="62"/>
  <c r="O572" i="62"/>
  <c r="V569" i="62"/>
  <c r="W569" i="62"/>
  <c r="O568" i="62"/>
  <c r="V565" i="62"/>
  <c r="W565" i="62"/>
  <c r="O564" i="62"/>
  <c r="V561" i="62"/>
  <c r="W561" i="62"/>
  <c r="V663" i="62"/>
  <c r="W653" i="62"/>
  <c r="AB653" i="62" s="1"/>
  <c r="O670" i="62"/>
  <c r="O634" i="62"/>
  <c r="O594" i="62"/>
  <c r="V583" i="62"/>
  <c r="W583" i="62"/>
  <c r="O578" i="62"/>
  <c r="V575" i="62"/>
  <c r="W575" i="62"/>
  <c r="O566" i="62"/>
  <c r="R560" i="62"/>
  <c r="O560" i="62"/>
  <c r="V681" i="62"/>
  <c r="W681" i="62"/>
  <c r="O680" i="62"/>
  <c r="V673" i="62"/>
  <c r="W673" i="62"/>
  <c r="O672" i="62"/>
  <c r="V669" i="62"/>
  <c r="W669" i="62"/>
  <c r="O668" i="62"/>
  <c r="V661" i="62"/>
  <c r="W661" i="62"/>
  <c r="O656" i="62"/>
  <c r="V649" i="62"/>
  <c r="W649" i="62"/>
  <c r="O636" i="62"/>
  <c r="O624" i="62"/>
  <c r="V617" i="62"/>
  <c r="W617" i="62"/>
  <c r="V557" i="62"/>
  <c r="W557" i="62"/>
  <c r="V643" i="62"/>
  <c r="V625" i="62"/>
  <c r="AB625" i="62" s="1"/>
  <c r="W585" i="62"/>
  <c r="AB585" i="62" s="1"/>
  <c r="R569" i="62"/>
  <c r="R565" i="62"/>
  <c r="R557" i="62"/>
  <c r="W672" i="62"/>
  <c r="W640" i="62"/>
  <c r="R601" i="62"/>
  <c r="S586" i="62"/>
  <c r="S574" i="62"/>
  <c r="S666" i="62"/>
  <c r="S622" i="62"/>
  <c r="S619" i="62"/>
  <c r="S585" i="62"/>
  <c r="S581" i="62"/>
  <c r="S667" i="62"/>
  <c r="S665" i="62"/>
  <c r="S629" i="62"/>
  <c r="S677" i="62"/>
  <c r="S634" i="62"/>
  <c r="S588" i="62"/>
  <c r="S557" i="62"/>
  <c r="S670" i="62"/>
  <c r="S633" i="62"/>
  <c r="S587" i="62"/>
  <c r="S680" i="62"/>
  <c r="S676" i="62"/>
  <c r="S672" i="62"/>
  <c r="S664" i="62"/>
  <c r="S660" i="62"/>
  <c r="S656" i="62"/>
  <c r="S648" i="62"/>
  <c r="S644" i="62"/>
  <c r="S640" i="62"/>
  <c r="S632" i="62"/>
  <c r="S628" i="62"/>
  <c r="S624" i="62"/>
  <c r="S616" i="62"/>
  <c r="S612" i="62"/>
  <c r="S608" i="62"/>
  <c r="S600" i="62"/>
  <c r="S592" i="62"/>
  <c r="S584" i="62"/>
  <c r="S580" i="62"/>
  <c r="S576" i="62"/>
  <c r="R575" i="62"/>
  <c r="S568" i="62"/>
  <c r="S668" i="62"/>
  <c r="S673" i="62"/>
  <c r="S669" i="62"/>
  <c r="S657" i="62"/>
  <c r="S653" i="62"/>
  <c r="S641" i="62"/>
  <c r="S637" i="62"/>
  <c r="S625" i="62"/>
  <c r="S621" i="62"/>
  <c r="S609" i="62"/>
  <c r="S605" i="62"/>
  <c r="S593" i="62"/>
  <c r="S589" i="62"/>
  <c r="S577" i="62"/>
  <c r="S573" i="62"/>
  <c r="S561" i="62"/>
  <c r="O609" i="62"/>
  <c r="R633" i="62"/>
  <c r="S661" i="62"/>
  <c r="S618" i="62"/>
  <c r="S572" i="62"/>
  <c r="R678" i="62"/>
  <c r="S654" i="62"/>
  <c r="S617" i="62"/>
  <c r="S571" i="62"/>
  <c r="S559" i="62"/>
  <c r="R558" i="62"/>
  <c r="R674" i="62"/>
  <c r="S652" i="62"/>
  <c r="S613" i="62"/>
  <c r="S570" i="62"/>
  <c r="R630" i="62"/>
  <c r="S651" i="62"/>
  <c r="S606" i="62"/>
  <c r="S569" i="62"/>
  <c r="S678" i="62"/>
  <c r="S674" i="62"/>
  <c r="S662" i="62"/>
  <c r="R661" i="62"/>
  <c r="S658" i="62"/>
  <c r="S646" i="62"/>
  <c r="S642" i="62"/>
  <c r="R637" i="62"/>
  <c r="S630" i="62"/>
  <c r="R629" i="62"/>
  <c r="S626" i="62"/>
  <c r="R625" i="62"/>
  <c r="S614" i="62"/>
  <c r="R613" i="62"/>
  <c r="S610" i="62"/>
  <c r="R605" i="62"/>
  <c r="S598" i="62"/>
  <c r="R597" i="62"/>
  <c r="S594" i="62"/>
  <c r="R593" i="62"/>
  <c r="S582" i="62"/>
  <c r="S578" i="62"/>
  <c r="R577" i="62"/>
  <c r="R573" i="62"/>
  <c r="S566" i="62"/>
  <c r="S562" i="62"/>
  <c r="R561" i="62"/>
  <c r="R665" i="62"/>
  <c r="R626" i="62"/>
  <c r="S650" i="62"/>
  <c r="S604" i="62"/>
  <c r="S565" i="62"/>
  <c r="S649" i="62"/>
  <c r="S603" i="62"/>
  <c r="S558" i="62"/>
  <c r="S645" i="62"/>
  <c r="S602" i="62"/>
  <c r="S638" i="62"/>
  <c r="S601" i="62"/>
  <c r="S560" i="62"/>
  <c r="R559" i="62"/>
  <c r="S679" i="62"/>
  <c r="S675" i="62"/>
  <c r="S671" i="62"/>
  <c r="S663" i="62"/>
  <c r="S659" i="62"/>
  <c r="S655" i="62"/>
  <c r="R654" i="62"/>
  <c r="R650" i="62"/>
  <c r="S647" i="62"/>
  <c r="S643" i="62"/>
  <c r="S639" i="62"/>
  <c r="R634" i="62"/>
  <c r="S631" i="62"/>
  <c r="S627" i="62"/>
  <c r="S623" i="62"/>
  <c r="S615" i="62"/>
  <c r="S611" i="62"/>
  <c r="S607" i="62"/>
  <c r="R602" i="62"/>
  <c r="S599" i="62"/>
  <c r="S595" i="62"/>
  <c r="S591" i="62"/>
  <c r="S583" i="62"/>
  <c r="S579" i="62"/>
  <c r="S575" i="62"/>
  <c r="R574" i="62"/>
  <c r="S567" i="62"/>
  <c r="S563" i="62"/>
  <c r="R658" i="62"/>
  <c r="S636" i="62"/>
  <c r="S597" i="62"/>
  <c r="S681" i="62"/>
  <c r="S635" i="62"/>
  <c r="S590" i="62"/>
  <c r="U652" i="62" l="1"/>
  <c r="U639" i="62"/>
  <c r="U619" i="62"/>
  <c r="U679" i="62"/>
  <c r="U642" i="62"/>
  <c r="U598" i="62"/>
  <c r="U647" i="62"/>
  <c r="U667" i="62"/>
  <c r="U592" i="62"/>
  <c r="AB619" i="62"/>
  <c r="AB605" i="62"/>
  <c r="AB593" i="62"/>
  <c r="AB623" i="62"/>
  <c r="AB592" i="62"/>
  <c r="AB637" i="62"/>
  <c r="AB679" i="62"/>
  <c r="AB657" i="62"/>
  <c r="AB631" i="62"/>
  <c r="AB629" i="62"/>
  <c r="U634" i="62"/>
  <c r="AB678" i="62"/>
  <c r="AB660" i="62"/>
  <c r="AB675" i="62"/>
  <c r="AB673" i="62"/>
  <c r="AB648" i="62"/>
  <c r="AB607" i="62"/>
  <c r="AB602" i="62"/>
  <c r="AB658" i="62"/>
  <c r="AB647" i="62"/>
  <c r="AB587" i="62"/>
  <c r="AB672" i="62"/>
  <c r="AB562" i="62"/>
  <c r="AB588" i="62"/>
  <c r="AB646" i="62"/>
  <c r="AB615" i="62"/>
  <c r="AB650" i="62"/>
  <c r="AB640" i="62"/>
  <c r="AB632" i="62"/>
  <c r="AB586" i="62"/>
  <c r="AB574" i="62"/>
  <c r="AB564" i="62"/>
  <c r="AB580" i="62"/>
  <c r="AB596" i="62"/>
  <c r="AB612" i="62"/>
  <c r="AB591" i="62"/>
  <c r="AB571" i="62"/>
  <c r="AB606" i="62"/>
  <c r="AB570" i="62"/>
  <c r="AB638" i="62"/>
  <c r="AB662" i="62"/>
  <c r="AB652" i="62"/>
  <c r="AB561" i="62"/>
  <c r="AB577" i="62"/>
  <c r="AB597" i="62"/>
  <c r="AB557" i="62"/>
  <c r="AB669" i="62"/>
  <c r="AB575" i="62"/>
  <c r="AB671" i="62"/>
  <c r="AB622" i="62"/>
  <c r="AB641" i="62"/>
  <c r="AB603" i="62"/>
  <c r="AB659" i="62"/>
  <c r="AB563" i="62"/>
  <c r="AB616" i="62"/>
  <c r="AB558" i="62"/>
  <c r="AB610" i="62"/>
  <c r="AB626" i="62"/>
  <c r="AB642" i="62"/>
  <c r="AB590" i="62"/>
  <c r="AB617" i="62"/>
  <c r="AB621" i="62"/>
  <c r="AB584" i="62"/>
  <c r="AB600" i="62"/>
  <c r="AB651" i="62"/>
  <c r="AB595" i="62"/>
  <c r="AB611" i="62"/>
  <c r="AB655" i="62"/>
  <c r="AB568" i="62"/>
  <c r="AB636" i="62"/>
  <c r="AB565" i="62"/>
  <c r="AB581" i="62"/>
  <c r="AB601" i="62"/>
  <c r="AB579" i="62"/>
  <c r="AB664" i="62"/>
  <c r="AB639" i="62"/>
  <c r="AB620" i="62"/>
  <c r="AB560" i="62"/>
  <c r="AB666" i="62"/>
  <c r="AB649" i="62"/>
  <c r="AB681" i="62"/>
  <c r="AB589" i="62"/>
  <c r="AB644" i="62"/>
  <c r="AB576" i="62"/>
  <c r="AB608" i="62"/>
  <c r="AB627" i="62"/>
  <c r="AB583" i="62"/>
  <c r="AB599" i="62"/>
  <c r="AB670" i="62"/>
  <c r="AB630" i="62"/>
  <c r="AB668" i="62"/>
  <c r="AB604" i="62"/>
  <c r="AB680" i="62"/>
  <c r="AB578" i="62"/>
  <c r="AB594" i="62"/>
  <c r="AB614" i="62"/>
  <c r="AB572" i="62"/>
  <c r="AB656" i="62"/>
  <c r="AB667" i="62"/>
  <c r="AB569" i="62"/>
  <c r="AB624" i="62"/>
  <c r="AB559" i="62"/>
  <c r="AB618" i="62"/>
  <c r="AB566" i="62"/>
  <c r="AB582" i="62"/>
  <c r="AB598" i="62"/>
  <c r="AB634" i="62"/>
  <c r="AC634" i="62" s="1"/>
  <c r="AB674" i="62"/>
  <c r="AB676" i="62"/>
  <c r="AB573" i="62"/>
  <c r="AB633" i="62"/>
  <c r="AB635" i="62"/>
  <c r="AB654" i="62"/>
  <c r="AB643" i="62"/>
  <c r="AB661" i="62"/>
  <c r="AB663" i="62"/>
  <c r="AB613" i="62"/>
  <c r="AB628" i="62"/>
  <c r="AB567" i="62"/>
  <c r="U605" i="62"/>
  <c r="U672" i="62"/>
  <c r="U678" i="62"/>
  <c r="U644" i="62"/>
  <c r="U610" i="62"/>
  <c r="U650" i="62"/>
  <c r="U657" i="62"/>
  <c r="U659" i="62"/>
  <c r="U568" i="62"/>
  <c r="U662" i="62"/>
  <c r="U561" i="62"/>
  <c r="U612" i="62"/>
  <c r="U674" i="62"/>
  <c r="U588" i="62"/>
  <c r="U614" i="62"/>
  <c r="U658" i="62"/>
  <c r="U572" i="62"/>
  <c r="U591" i="62"/>
  <c r="U602" i="62"/>
  <c r="U656" i="62"/>
  <c r="U670" i="62"/>
  <c r="U655" i="62"/>
  <c r="U671" i="62"/>
  <c r="U596" i="62"/>
  <c r="U595" i="62"/>
  <c r="U569" i="62"/>
  <c r="U601" i="62"/>
  <c r="U620" i="62"/>
  <c r="U575" i="62"/>
  <c r="U607" i="62"/>
  <c r="U621" i="62"/>
  <c r="U637" i="62"/>
  <c r="U623" i="62"/>
  <c r="U585" i="62"/>
  <c r="AC585" i="62" s="1"/>
  <c r="U651" i="62"/>
  <c r="U608" i="62"/>
  <c r="U632" i="62"/>
  <c r="U622" i="62"/>
  <c r="U677" i="62"/>
  <c r="AC677" i="62" s="1"/>
  <c r="U668" i="62"/>
  <c r="U566" i="62"/>
  <c r="U660" i="62"/>
  <c r="U573" i="62"/>
  <c r="U589" i="62"/>
  <c r="U661" i="62"/>
  <c r="U570" i="62"/>
  <c r="U563" i="62"/>
  <c r="U579" i="62"/>
  <c r="U611" i="62"/>
  <c r="U625" i="62"/>
  <c r="AC625" i="62" s="1"/>
  <c r="U641" i="62"/>
  <c r="U627" i="62"/>
  <c r="U664" i="62"/>
  <c r="U606" i="62"/>
  <c r="U681" i="62"/>
  <c r="U560" i="62"/>
  <c r="U630" i="62"/>
  <c r="U577" i="62"/>
  <c r="U593" i="62"/>
  <c r="U613" i="62"/>
  <c r="U665" i="62"/>
  <c r="AC665" i="62" s="1"/>
  <c r="U576" i="62"/>
  <c r="U586" i="62"/>
  <c r="U578" i="62"/>
  <c r="U676" i="62"/>
  <c r="U616" i="62"/>
  <c r="U640" i="62"/>
  <c r="U638" i="62"/>
  <c r="U626" i="62"/>
  <c r="U666" i="62"/>
  <c r="U663" i="62"/>
  <c r="U631" i="62"/>
  <c r="U559" i="62"/>
  <c r="U624" i="62"/>
  <c r="U564" i="62"/>
  <c r="U580" i="62"/>
  <c r="U618" i="62"/>
  <c r="U567" i="62"/>
  <c r="U583" i="62"/>
  <c r="U599" i="62"/>
  <c r="U615" i="62"/>
  <c r="U654" i="62"/>
  <c r="U629" i="62"/>
  <c r="U645" i="62"/>
  <c r="AC645" i="62" s="1"/>
  <c r="U609" i="62"/>
  <c r="AC609" i="62" s="1"/>
  <c r="U600" i="62"/>
  <c r="U582" i="62"/>
  <c r="U635" i="62"/>
  <c r="U636" i="62"/>
  <c r="U680" i="62"/>
  <c r="U594" i="62"/>
  <c r="U590" i="62"/>
  <c r="U562" i="62"/>
  <c r="U557" i="62"/>
  <c r="U581" i="62"/>
  <c r="U597" i="62"/>
  <c r="U669" i="62"/>
  <c r="U584" i="62"/>
  <c r="U646" i="62"/>
  <c r="U571" i="62"/>
  <c r="U587" i="62"/>
  <c r="U603" i="62"/>
  <c r="U617" i="62"/>
  <c r="U633" i="62"/>
  <c r="U649" i="62"/>
  <c r="U604" i="62"/>
  <c r="U628" i="62"/>
  <c r="U648" i="62"/>
  <c r="U558" i="62"/>
  <c r="U675" i="62"/>
  <c r="U574" i="62"/>
  <c r="U565" i="62"/>
  <c r="U673" i="62"/>
  <c r="U643" i="62"/>
  <c r="U653" i="62"/>
  <c r="AC653" i="62" s="1"/>
  <c r="AC652" i="62" l="1"/>
  <c r="AC639" i="62"/>
  <c r="AC667" i="62"/>
  <c r="AC679" i="62"/>
  <c r="AC619" i="62"/>
  <c r="AC579" i="62"/>
  <c r="AC644" i="62"/>
  <c r="AC661" i="62"/>
  <c r="AC593" i="62"/>
  <c r="AC614" i="62"/>
  <c r="AC643" i="62"/>
  <c r="AC656" i="62"/>
  <c r="AC611" i="62"/>
  <c r="AC654" i="62"/>
  <c r="AC572" i="62"/>
  <c r="AC681" i="62"/>
  <c r="AC651" i="62"/>
  <c r="AC671" i="62"/>
  <c r="AC607" i="62"/>
  <c r="AC641" i="62"/>
  <c r="AC594" i="62"/>
  <c r="AC666" i="62"/>
  <c r="AC584" i="62"/>
  <c r="AC669" i="62"/>
  <c r="AC574" i="62"/>
  <c r="AC673" i="62"/>
  <c r="AC573" i="62"/>
  <c r="AC578" i="62"/>
  <c r="AC621" i="62"/>
  <c r="AC557" i="62"/>
  <c r="AC586" i="62"/>
  <c r="AC675" i="62"/>
  <c r="AC658" i="62"/>
  <c r="AC676" i="62"/>
  <c r="AC597" i="62"/>
  <c r="AC632" i="62"/>
  <c r="AC674" i="62"/>
  <c r="AC589" i="62"/>
  <c r="AC595" i="62"/>
  <c r="AC622" i="62"/>
  <c r="AC596" i="62"/>
  <c r="AC602" i="62"/>
  <c r="AC605" i="62"/>
  <c r="AC580" i="62"/>
  <c r="AC635" i="62"/>
  <c r="AC649" i="62"/>
  <c r="AC600" i="62"/>
  <c r="AC575" i="62"/>
  <c r="AC564" i="62"/>
  <c r="AC648" i="62"/>
  <c r="AC617" i="62"/>
  <c r="AC577" i="62"/>
  <c r="AC640" i="62"/>
  <c r="AC678" i="62"/>
  <c r="AC660" i="62"/>
  <c r="AC668" i="62"/>
  <c r="AC664" i="62"/>
  <c r="AC642" i="62"/>
  <c r="AC561" i="62"/>
  <c r="AC650" i="62"/>
  <c r="AC612" i="62"/>
  <c r="AC630" i="62"/>
  <c r="AC626" i="62"/>
  <c r="AC615" i="62"/>
  <c r="AC629" i="62"/>
  <c r="AC582" i="62"/>
  <c r="AC670" i="62"/>
  <c r="AC601" i="62"/>
  <c r="AC610" i="62"/>
  <c r="AC662" i="62"/>
  <c r="AC646" i="62"/>
  <c r="AC631" i="62"/>
  <c r="AC598" i="62"/>
  <c r="AC566" i="62"/>
  <c r="AC599" i="62"/>
  <c r="AC581" i="62"/>
  <c r="AC558" i="62"/>
  <c r="AC638" i="62"/>
  <c r="AC588" i="62"/>
  <c r="AC657" i="62"/>
  <c r="AC567" i="62"/>
  <c r="AC618" i="62"/>
  <c r="AC583" i="62"/>
  <c r="AC565" i="62"/>
  <c r="AC616" i="62"/>
  <c r="AC570" i="62"/>
  <c r="AC562" i="62"/>
  <c r="AC633" i="62"/>
  <c r="AC628" i="62"/>
  <c r="AC559" i="62"/>
  <c r="AC627" i="62"/>
  <c r="AC636" i="62"/>
  <c r="AC563" i="62"/>
  <c r="AC606" i="62"/>
  <c r="AC672" i="62"/>
  <c r="AC637" i="62"/>
  <c r="AC560" i="62"/>
  <c r="AC620" i="62"/>
  <c r="AC604" i="62"/>
  <c r="AC613" i="62"/>
  <c r="AC624" i="62"/>
  <c r="AC608" i="62"/>
  <c r="AC568" i="62"/>
  <c r="AC659" i="62"/>
  <c r="AC571" i="62"/>
  <c r="AC587" i="62"/>
  <c r="AC592" i="62"/>
  <c r="AC680" i="62"/>
  <c r="AC590" i="62"/>
  <c r="AC663" i="62"/>
  <c r="AC569" i="62"/>
  <c r="AC576" i="62"/>
  <c r="AC655" i="62"/>
  <c r="AC603" i="62"/>
  <c r="AC591" i="62"/>
  <c r="AC647" i="62"/>
  <c r="AC623" i="62"/>
  <c r="P2" i="62"/>
  <c r="Z434" i="62" a="1"/>
  <c r="Z434" i="62" s="1"/>
  <c r="P434" i="62"/>
  <c r="AA434" i="62" a="1"/>
  <c r="AA434" i="62" s="1"/>
  <c r="Y434" i="62"/>
  <c r="T434" i="62"/>
  <c r="Q434" i="62"/>
  <c r="Z435" i="62" a="1"/>
  <c r="Z435" i="62" s="1"/>
  <c r="P435" i="62"/>
  <c r="AA435" i="62" a="1"/>
  <c r="AA435" i="62" s="1"/>
  <c r="Y435" i="62"/>
  <c r="T435" i="62"/>
  <c r="Q435" i="62"/>
  <c r="Z436" i="62" a="1"/>
  <c r="Z436" i="62" s="1"/>
  <c r="P436" i="62"/>
  <c r="AA436" i="62" a="1"/>
  <c r="AA436" i="62" s="1"/>
  <c r="Y436" i="62"/>
  <c r="T436" i="62"/>
  <c r="Q436" i="62"/>
  <c r="Z437" i="62" a="1"/>
  <c r="Z437" i="62" s="1"/>
  <c r="P437" i="62"/>
  <c r="AA437" i="62" a="1"/>
  <c r="AA437" i="62" s="1"/>
  <c r="Y437" i="62"/>
  <c r="T437" i="62"/>
  <c r="Q437" i="62"/>
  <c r="Z438" i="62" a="1"/>
  <c r="Z438" i="62" s="1"/>
  <c r="P438" i="62"/>
  <c r="AA438" i="62" a="1"/>
  <c r="AA438" i="62" s="1"/>
  <c r="Y438" i="62"/>
  <c r="T438" i="62"/>
  <c r="Q438" i="62"/>
  <c r="X438" i="62"/>
  <c r="Z439" i="62" a="1"/>
  <c r="Z439" i="62" s="1"/>
  <c r="P439" i="62"/>
  <c r="AA439" i="62" a="1"/>
  <c r="AA439" i="62" s="1"/>
  <c r="Y439" i="62"/>
  <c r="T439" i="62"/>
  <c r="Q439" i="62"/>
  <c r="Z440" i="62" a="1"/>
  <c r="Z440" i="62" s="1"/>
  <c r="P440" i="62"/>
  <c r="AA440" i="62" a="1"/>
  <c r="AA440" i="62" s="1"/>
  <c r="Y440" i="62"/>
  <c r="T440" i="62"/>
  <c r="Q440" i="62"/>
  <c r="Z441" i="62" a="1"/>
  <c r="Z441" i="62" s="1"/>
  <c r="P441" i="62"/>
  <c r="AA441" i="62" a="1"/>
  <c r="AA441" i="62" s="1"/>
  <c r="Y441" i="62"/>
  <c r="T441" i="62"/>
  <c r="Q441" i="62"/>
  <c r="Z442" i="62" a="1"/>
  <c r="Z442" i="62" s="1"/>
  <c r="P442" i="62"/>
  <c r="AA442" i="62" a="1"/>
  <c r="AA442" i="62" s="1"/>
  <c r="Y442" i="62"/>
  <c r="T442" i="62"/>
  <c r="Q442" i="62"/>
  <c r="X442" i="62"/>
  <c r="Z443" i="62" a="1"/>
  <c r="Z443" i="62" s="1"/>
  <c r="P443" i="62"/>
  <c r="AA443" i="62" a="1"/>
  <c r="AA443" i="62" s="1"/>
  <c r="Y443" i="62"/>
  <c r="T443" i="62"/>
  <c r="Q443" i="62"/>
  <c r="Z444" i="62" a="1"/>
  <c r="Z444" i="62" s="1"/>
  <c r="P444" i="62"/>
  <c r="AA444" i="62" a="1"/>
  <c r="AA444" i="62" s="1"/>
  <c r="Y444" i="62"/>
  <c r="T444" i="62"/>
  <c r="Q444" i="62"/>
  <c r="Z445" i="62" a="1"/>
  <c r="Z445" i="62" s="1"/>
  <c r="P445" i="62"/>
  <c r="AA445" i="62" a="1"/>
  <c r="AA445" i="62" s="1"/>
  <c r="Y445" i="62"/>
  <c r="T445" i="62"/>
  <c r="Q445" i="62"/>
  <c r="Z446" i="62" a="1"/>
  <c r="Z446" i="62" s="1"/>
  <c r="P446" i="62"/>
  <c r="AA446" i="62" a="1"/>
  <c r="AA446" i="62" s="1"/>
  <c r="Y446" i="62"/>
  <c r="T446" i="62"/>
  <c r="Q446" i="62"/>
  <c r="X446" i="62"/>
  <c r="Z447" i="62" a="1"/>
  <c r="Z447" i="62" s="1"/>
  <c r="P447" i="62"/>
  <c r="AA447" i="62" a="1"/>
  <c r="AA447" i="62" s="1"/>
  <c r="Y447" i="62"/>
  <c r="T447" i="62"/>
  <c r="Q447" i="62"/>
  <c r="Z448" i="62" a="1"/>
  <c r="Z448" i="62" s="1"/>
  <c r="P448" i="62"/>
  <c r="AA448" i="62" a="1"/>
  <c r="AA448" i="62" s="1"/>
  <c r="Y448" i="62"/>
  <c r="T448" i="62"/>
  <c r="Q448" i="62"/>
  <c r="X448" i="62"/>
  <c r="Z449" i="62" a="1"/>
  <c r="Z449" i="62" s="1"/>
  <c r="P449" i="62"/>
  <c r="AA449" i="62" a="1"/>
  <c r="AA449" i="62" s="1"/>
  <c r="Y449" i="62"/>
  <c r="T449" i="62"/>
  <c r="Q449" i="62"/>
  <c r="Z450" i="62" a="1"/>
  <c r="Z450" i="62" s="1"/>
  <c r="P450" i="62"/>
  <c r="AA450" i="62" a="1"/>
  <c r="AA450" i="62" s="1"/>
  <c r="Y450" i="62"/>
  <c r="T450" i="62"/>
  <c r="Q450" i="62"/>
  <c r="X450" i="62"/>
  <c r="Z451" i="62" a="1"/>
  <c r="Z451" i="62" s="1"/>
  <c r="P451" i="62"/>
  <c r="AA451" i="62" a="1"/>
  <c r="AA451" i="62" s="1"/>
  <c r="Y451" i="62"/>
  <c r="T451" i="62"/>
  <c r="Q451" i="62"/>
  <c r="X451" i="62"/>
  <c r="Z452" i="62" a="1"/>
  <c r="Z452" i="62" s="1"/>
  <c r="P452" i="62"/>
  <c r="AA452" i="62" a="1"/>
  <c r="AA452" i="62" s="1"/>
  <c r="Y452" i="62"/>
  <c r="T452" i="62"/>
  <c r="Q452" i="62"/>
  <c r="X452" i="62"/>
  <c r="Z453" i="62" a="1"/>
  <c r="Z453" i="62" s="1"/>
  <c r="P453" i="62"/>
  <c r="AA453" i="62" a="1"/>
  <c r="AA453" i="62" s="1"/>
  <c r="Y453" i="62"/>
  <c r="T453" i="62"/>
  <c r="Q453" i="62"/>
  <c r="Z454" i="62" a="1"/>
  <c r="Z454" i="62" s="1"/>
  <c r="P454" i="62"/>
  <c r="AA454" i="62" a="1"/>
  <c r="AA454" i="62" s="1"/>
  <c r="Y454" i="62"/>
  <c r="T454" i="62"/>
  <c r="Q454" i="62"/>
  <c r="X454" i="62"/>
  <c r="Z455" i="62" a="1"/>
  <c r="Z455" i="62" s="1"/>
  <c r="P455" i="62"/>
  <c r="AA455" i="62" a="1"/>
  <c r="AA455" i="62" s="1"/>
  <c r="Y455" i="62"/>
  <c r="T455" i="62"/>
  <c r="Q455" i="62"/>
  <c r="X455" i="62"/>
  <c r="Z456" i="62" a="1"/>
  <c r="Z456" i="62" s="1"/>
  <c r="P456" i="62"/>
  <c r="AA456" i="62" a="1"/>
  <c r="AA456" i="62" s="1"/>
  <c r="Y456" i="62"/>
  <c r="T456" i="62"/>
  <c r="Q456" i="62"/>
  <c r="X456" i="62"/>
  <c r="Z457" i="62" a="1"/>
  <c r="Z457" i="62" s="1"/>
  <c r="P457" i="62"/>
  <c r="AA457" i="62" a="1"/>
  <c r="AA457" i="62" s="1"/>
  <c r="Y457" i="62"/>
  <c r="T457" i="62"/>
  <c r="Q457" i="62"/>
  <c r="Z458" i="62" a="1"/>
  <c r="Z458" i="62" s="1"/>
  <c r="P458" i="62"/>
  <c r="AA458" i="62" a="1"/>
  <c r="AA458" i="62" s="1"/>
  <c r="Y458" i="62"/>
  <c r="T458" i="62"/>
  <c r="Q458" i="62"/>
  <c r="X458" i="62"/>
  <c r="Z459" i="62" a="1"/>
  <c r="Z459" i="62" s="1"/>
  <c r="P459" i="62"/>
  <c r="AA459" i="62" a="1"/>
  <c r="AA459" i="62" s="1"/>
  <c r="Y459" i="62"/>
  <c r="T459" i="62"/>
  <c r="Q459" i="62"/>
  <c r="X459" i="62"/>
  <c r="Z460" i="62" a="1"/>
  <c r="Z460" i="62" s="1"/>
  <c r="P460" i="62"/>
  <c r="AA460" i="62" a="1"/>
  <c r="AA460" i="62" s="1"/>
  <c r="Y460" i="62"/>
  <c r="T460" i="62"/>
  <c r="Q460" i="62"/>
  <c r="X460" i="62"/>
  <c r="Z461" i="62" a="1"/>
  <c r="Z461" i="62" s="1"/>
  <c r="P461" i="62"/>
  <c r="AA461" i="62" a="1"/>
  <c r="AA461" i="62" s="1"/>
  <c r="Y461" i="62"/>
  <c r="T461" i="62"/>
  <c r="Q461" i="62"/>
  <c r="Z462" i="62" a="1"/>
  <c r="Z462" i="62" s="1"/>
  <c r="P462" i="62"/>
  <c r="AA462" i="62" a="1"/>
  <c r="AA462" i="62" s="1"/>
  <c r="Y462" i="62"/>
  <c r="T462" i="62"/>
  <c r="Q462" i="62"/>
  <c r="X462" i="62"/>
  <c r="Z463" i="62" a="1"/>
  <c r="Z463" i="62" s="1"/>
  <c r="P463" i="62"/>
  <c r="AA463" i="62" a="1"/>
  <c r="AA463" i="62" s="1"/>
  <c r="Y463" i="62"/>
  <c r="T463" i="62"/>
  <c r="Q463" i="62"/>
  <c r="X463" i="62"/>
  <c r="Z464" i="62" a="1"/>
  <c r="Z464" i="62" s="1"/>
  <c r="P464" i="62"/>
  <c r="AA464" i="62" a="1"/>
  <c r="AA464" i="62" s="1"/>
  <c r="Y464" i="62"/>
  <c r="T464" i="62"/>
  <c r="Q464" i="62"/>
  <c r="X464" i="62"/>
  <c r="Z465" i="62" a="1"/>
  <c r="Z465" i="62" s="1"/>
  <c r="P465" i="62"/>
  <c r="AA465" i="62" a="1"/>
  <c r="AA465" i="62" s="1"/>
  <c r="Y465" i="62"/>
  <c r="T465" i="62"/>
  <c r="Q465" i="62"/>
  <c r="Z466" i="62" a="1"/>
  <c r="Z466" i="62" s="1"/>
  <c r="P466" i="62"/>
  <c r="AA466" i="62" a="1"/>
  <c r="AA466" i="62" s="1"/>
  <c r="Y466" i="62"/>
  <c r="T466" i="62"/>
  <c r="Q466" i="62"/>
  <c r="X466" i="62"/>
  <c r="Z467" i="62" a="1"/>
  <c r="Z467" i="62" s="1"/>
  <c r="P467" i="62"/>
  <c r="AA467" i="62" a="1"/>
  <c r="AA467" i="62" s="1"/>
  <c r="Y467" i="62"/>
  <c r="T467" i="62"/>
  <c r="Q467" i="62"/>
  <c r="X467" i="62"/>
  <c r="Z468" i="62" a="1"/>
  <c r="Z468" i="62" s="1"/>
  <c r="P468" i="62"/>
  <c r="AA468" i="62" a="1"/>
  <c r="AA468" i="62" s="1"/>
  <c r="Y468" i="62"/>
  <c r="T468" i="62"/>
  <c r="Q468" i="62"/>
  <c r="X468" i="62"/>
  <c r="Z469" i="62" a="1"/>
  <c r="Z469" i="62" s="1"/>
  <c r="P469" i="62"/>
  <c r="AA469" i="62" a="1"/>
  <c r="AA469" i="62" s="1"/>
  <c r="Y469" i="62"/>
  <c r="T469" i="62"/>
  <c r="Q469" i="62"/>
  <c r="X469" i="62"/>
  <c r="Z470" i="62" a="1"/>
  <c r="Z470" i="62" s="1"/>
  <c r="P470" i="62"/>
  <c r="AA470" i="62" a="1"/>
  <c r="AA470" i="62" s="1"/>
  <c r="Y470" i="62"/>
  <c r="T470" i="62"/>
  <c r="Q470" i="62"/>
  <c r="X470" i="62"/>
  <c r="Z471" i="62" a="1"/>
  <c r="Z471" i="62" s="1"/>
  <c r="P471" i="62"/>
  <c r="AA471" i="62" a="1"/>
  <c r="AA471" i="62" s="1"/>
  <c r="Y471" i="62"/>
  <c r="T471" i="62"/>
  <c r="Q471" i="62"/>
  <c r="X471" i="62"/>
  <c r="Z472" i="62" a="1"/>
  <c r="Z472" i="62" s="1"/>
  <c r="P472" i="62"/>
  <c r="AA472" i="62" a="1"/>
  <c r="AA472" i="62" s="1"/>
  <c r="Y472" i="62"/>
  <c r="T472" i="62"/>
  <c r="Q472" i="62"/>
  <c r="X472" i="62"/>
  <c r="Z473" i="62" a="1"/>
  <c r="Z473" i="62" s="1"/>
  <c r="P473" i="62"/>
  <c r="AA473" i="62" a="1"/>
  <c r="AA473" i="62" s="1"/>
  <c r="Y473" i="62"/>
  <c r="T473" i="62"/>
  <c r="Q473" i="62"/>
  <c r="X473" i="62"/>
  <c r="Z474" i="62" a="1"/>
  <c r="Z474" i="62" s="1"/>
  <c r="P474" i="62"/>
  <c r="AA474" i="62" a="1"/>
  <c r="AA474" i="62" s="1"/>
  <c r="Y474" i="62"/>
  <c r="T474" i="62"/>
  <c r="Q474" i="62"/>
  <c r="X474" i="62"/>
  <c r="Z475" i="62" a="1"/>
  <c r="Z475" i="62" s="1"/>
  <c r="P475" i="62"/>
  <c r="AA475" i="62" a="1"/>
  <c r="AA475" i="62" s="1"/>
  <c r="Y475" i="62"/>
  <c r="T475" i="62"/>
  <c r="Q475" i="62"/>
  <c r="X475" i="62"/>
  <c r="Z476" i="62" a="1"/>
  <c r="Z476" i="62" s="1"/>
  <c r="P476" i="62"/>
  <c r="AA476" i="62" a="1"/>
  <c r="AA476" i="62" s="1"/>
  <c r="Y476" i="62"/>
  <c r="T476" i="62"/>
  <c r="Q476" i="62"/>
  <c r="X476" i="62"/>
  <c r="Z477" i="62" a="1"/>
  <c r="Z477" i="62" s="1"/>
  <c r="P477" i="62"/>
  <c r="AA477" i="62" a="1"/>
  <c r="AA477" i="62" s="1"/>
  <c r="Y477" i="62"/>
  <c r="T477" i="62"/>
  <c r="Q477" i="62"/>
  <c r="X477" i="62"/>
  <c r="Z478" i="62" a="1"/>
  <c r="Z478" i="62" s="1"/>
  <c r="P478" i="62"/>
  <c r="AA478" i="62" a="1"/>
  <c r="AA478" i="62" s="1"/>
  <c r="Y478" i="62"/>
  <c r="T478" i="62"/>
  <c r="Q478" i="62"/>
  <c r="X478" i="62"/>
  <c r="Z479" i="62" a="1"/>
  <c r="Z479" i="62" s="1"/>
  <c r="P479" i="62"/>
  <c r="AA479" i="62" a="1"/>
  <c r="AA479" i="62" s="1"/>
  <c r="Y479" i="62"/>
  <c r="T479" i="62"/>
  <c r="Q479" i="62"/>
  <c r="X479" i="62"/>
  <c r="Z480" i="62" a="1"/>
  <c r="Z480" i="62" s="1"/>
  <c r="P480" i="62"/>
  <c r="AA480" i="62" a="1"/>
  <c r="AA480" i="62" s="1"/>
  <c r="Y480" i="62"/>
  <c r="T480" i="62"/>
  <c r="Q480" i="62"/>
  <c r="X480" i="62"/>
  <c r="Z481" i="62" a="1"/>
  <c r="Z481" i="62" s="1"/>
  <c r="P481" i="62"/>
  <c r="AA481" i="62" a="1"/>
  <c r="AA481" i="62" s="1"/>
  <c r="Y481" i="62"/>
  <c r="T481" i="62"/>
  <c r="Q481" i="62"/>
  <c r="X481" i="62"/>
  <c r="Z482" i="62" a="1"/>
  <c r="Z482" i="62" s="1"/>
  <c r="P482" i="62"/>
  <c r="AA482" i="62" a="1"/>
  <c r="AA482" i="62" s="1"/>
  <c r="Y482" i="62"/>
  <c r="T482" i="62"/>
  <c r="Q482" i="62"/>
  <c r="X482" i="62"/>
  <c r="Z483" i="62" a="1"/>
  <c r="Z483" i="62" s="1"/>
  <c r="P483" i="62"/>
  <c r="AA483" i="62" a="1"/>
  <c r="AA483" i="62" s="1"/>
  <c r="Y483" i="62"/>
  <c r="T483" i="62"/>
  <c r="Q483" i="62"/>
  <c r="X483" i="62"/>
  <c r="Z484" i="62" a="1"/>
  <c r="Z484" i="62" s="1"/>
  <c r="P484" i="62"/>
  <c r="AA484" i="62" a="1"/>
  <c r="AA484" i="62" s="1"/>
  <c r="Y484" i="62"/>
  <c r="T484" i="62"/>
  <c r="Q484" i="62"/>
  <c r="X484" i="62"/>
  <c r="Z485" i="62" a="1"/>
  <c r="Z485" i="62" s="1"/>
  <c r="P485" i="62"/>
  <c r="AA485" i="62" a="1"/>
  <c r="AA485" i="62" s="1"/>
  <c r="Y485" i="62"/>
  <c r="T485" i="62"/>
  <c r="Q485" i="62"/>
  <c r="X485" i="62"/>
  <c r="Z486" i="62" a="1"/>
  <c r="Z486" i="62" s="1"/>
  <c r="P486" i="62"/>
  <c r="AA486" i="62" a="1"/>
  <c r="AA486" i="62" s="1"/>
  <c r="Y486" i="62"/>
  <c r="T486" i="62"/>
  <c r="Q486" i="62"/>
  <c r="X486" i="62"/>
  <c r="Z487" i="62" a="1"/>
  <c r="Z487" i="62" s="1"/>
  <c r="P487" i="62"/>
  <c r="AA487" i="62" a="1"/>
  <c r="AA487" i="62" s="1"/>
  <c r="Y487" i="62"/>
  <c r="T487" i="62"/>
  <c r="Q487" i="62"/>
  <c r="X487" i="62"/>
  <c r="Z488" i="62" a="1"/>
  <c r="Z488" i="62" s="1"/>
  <c r="P488" i="62"/>
  <c r="AA488" i="62" a="1"/>
  <c r="AA488" i="62" s="1"/>
  <c r="Y488" i="62"/>
  <c r="T488" i="62"/>
  <c r="Q488" i="62"/>
  <c r="X488" i="62"/>
  <c r="Z489" i="62" a="1"/>
  <c r="Z489" i="62" s="1"/>
  <c r="P489" i="62"/>
  <c r="AA489" i="62" a="1"/>
  <c r="AA489" i="62" s="1"/>
  <c r="Y489" i="62"/>
  <c r="T489" i="62"/>
  <c r="Q489" i="62"/>
  <c r="X489" i="62"/>
  <c r="Z490" i="62" a="1"/>
  <c r="Z490" i="62" s="1"/>
  <c r="P490" i="62"/>
  <c r="AA490" i="62" a="1"/>
  <c r="AA490" i="62" s="1"/>
  <c r="Y490" i="62"/>
  <c r="T490" i="62"/>
  <c r="Q490" i="62"/>
  <c r="X490" i="62"/>
  <c r="Z491" i="62" a="1"/>
  <c r="Z491" i="62" s="1"/>
  <c r="P491" i="62"/>
  <c r="AA491" i="62" a="1"/>
  <c r="AA491" i="62" s="1"/>
  <c r="Y491" i="62"/>
  <c r="T491" i="62"/>
  <c r="Q491" i="62"/>
  <c r="X491" i="62"/>
  <c r="Z492" i="62" a="1"/>
  <c r="Z492" i="62" s="1"/>
  <c r="P492" i="62"/>
  <c r="AA492" i="62" a="1"/>
  <c r="AA492" i="62" s="1"/>
  <c r="Y492" i="62"/>
  <c r="T492" i="62"/>
  <c r="Q492" i="62"/>
  <c r="X492" i="62"/>
  <c r="Z493" i="62" a="1"/>
  <c r="Z493" i="62" s="1"/>
  <c r="P493" i="62"/>
  <c r="AA493" i="62" a="1"/>
  <c r="AA493" i="62" s="1"/>
  <c r="Y493" i="62"/>
  <c r="T493" i="62"/>
  <c r="Q493" i="62"/>
  <c r="X493" i="62"/>
  <c r="Z494" i="62" a="1"/>
  <c r="Z494" i="62" s="1"/>
  <c r="P494" i="62"/>
  <c r="AA494" i="62" a="1"/>
  <c r="AA494" i="62" s="1"/>
  <c r="Y494" i="62"/>
  <c r="T494" i="62"/>
  <c r="Q494" i="62"/>
  <c r="X494" i="62"/>
  <c r="Z495" i="62" a="1"/>
  <c r="Z495" i="62" s="1"/>
  <c r="P495" i="62"/>
  <c r="AA495" i="62" a="1"/>
  <c r="AA495" i="62" s="1"/>
  <c r="Y495" i="62"/>
  <c r="T495" i="62"/>
  <c r="Q495" i="62"/>
  <c r="X495" i="62"/>
  <c r="Z496" i="62" a="1"/>
  <c r="Z496" i="62" s="1"/>
  <c r="P496" i="62"/>
  <c r="AA496" i="62" a="1"/>
  <c r="AA496" i="62" s="1"/>
  <c r="Y496" i="62"/>
  <c r="T496" i="62"/>
  <c r="Q496" i="62"/>
  <c r="X496" i="62"/>
  <c r="Z497" i="62" a="1"/>
  <c r="Z497" i="62" s="1"/>
  <c r="P497" i="62"/>
  <c r="AA497" i="62" a="1"/>
  <c r="AA497" i="62" s="1"/>
  <c r="Y497" i="62"/>
  <c r="T497" i="62"/>
  <c r="Q497" i="62"/>
  <c r="X497" i="62"/>
  <c r="Z498" i="62" a="1"/>
  <c r="Z498" i="62" s="1"/>
  <c r="P498" i="62"/>
  <c r="AA498" i="62" a="1"/>
  <c r="AA498" i="62" s="1"/>
  <c r="Y498" i="62"/>
  <c r="T498" i="62"/>
  <c r="Q498" i="62"/>
  <c r="X498" i="62"/>
  <c r="Z499" i="62" a="1"/>
  <c r="Z499" i="62" s="1"/>
  <c r="P499" i="62"/>
  <c r="AA499" i="62" a="1"/>
  <c r="AA499" i="62" s="1"/>
  <c r="Y499" i="62"/>
  <c r="T499" i="62"/>
  <c r="Q499" i="62"/>
  <c r="X499" i="62"/>
  <c r="Z500" i="62" a="1"/>
  <c r="Z500" i="62" s="1"/>
  <c r="P500" i="62"/>
  <c r="AA500" i="62" a="1"/>
  <c r="AA500" i="62" s="1"/>
  <c r="Y500" i="62"/>
  <c r="T500" i="62"/>
  <c r="Q500" i="62"/>
  <c r="X500" i="62"/>
  <c r="Z501" i="62" a="1"/>
  <c r="Z501" i="62" s="1"/>
  <c r="P501" i="62"/>
  <c r="AA501" i="62" a="1"/>
  <c r="AA501" i="62" s="1"/>
  <c r="Y501" i="62"/>
  <c r="T501" i="62"/>
  <c r="Q501" i="62"/>
  <c r="X501" i="62"/>
  <c r="Z502" i="62" a="1"/>
  <c r="Z502" i="62" s="1"/>
  <c r="P502" i="62"/>
  <c r="AA502" i="62" a="1"/>
  <c r="AA502" i="62" s="1"/>
  <c r="Y502" i="62"/>
  <c r="T502" i="62"/>
  <c r="Q502" i="62"/>
  <c r="X502" i="62"/>
  <c r="Z503" i="62" a="1"/>
  <c r="Z503" i="62" s="1"/>
  <c r="P503" i="62"/>
  <c r="AA503" i="62" a="1"/>
  <c r="AA503" i="62" s="1"/>
  <c r="Y503" i="62"/>
  <c r="T503" i="62"/>
  <c r="Q503" i="62"/>
  <c r="X503" i="62"/>
  <c r="Z504" i="62" a="1"/>
  <c r="Z504" i="62" s="1"/>
  <c r="P504" i="62"/>
  <c r="AA504" i="62" a="1"/>
  <c r="AA504" i="62" s="1"/>
  <c r="Y504" i="62"/>
  <c r="T504" i="62"/>
  <c r="Q504" i="62"/>
  <c r="X504" i="62"/>
  <c r="Z505" i="62" a="1"/>
  <c r="Z505" i="62" s="1"/>
  <c r="P505" i="62"/>
  <c r="AA505" i="62" a="1"/>
  <c r="AA505" i="62" s="1"/>
  <c r="Y505" i="62"/>
  <c r="T505" i="62"/>
  <c r="Q505" i="62"/>
  <c r="X505" i="62"/>
  <c r="Z506" i="62" a="1"/>
  <c r="Z506" i="62" s="1"/>
  <c r="P506" i="62"/>
  <c r="AA506" i="62" a="1"/>
  <c r="AA506" i="62" s="1"/>
  <c r="Y506" i="62"/>
  <c r="T506" i="62"/>
  <c r="Q506" i="62"/>
  <c r="X506" i="62"/>
  <c r="Z507" i="62" a="1"/>
  <c r="Z507" i="62" s="1"/>
  <c r="P507" i="62"/>
  <c r="AA507" i="62" a="1"/>
  <c r="AA507" i="62" s="1"/>
  <c r="Y507" i="62"/>
  <c r="T507" i="62"/>
  <c r="Q507" i="62"/>
  <c r="X507" i="62"/>
  <c r="Z508" i="62" a="1"/>
  <c r="Z508" i="62" s="1"/>
  <c r="P508" i="62"/>
  <c r="AA508" i="62" a="1"/>
  <c r="AA508" i="62" s="1"/>
  <c r="Y508" i="62"/>
  <c r="T508" i="62"/>
  <c r="Q508" i="62"/>
  <c r="X508" i="62"/>
  <c r="Z509" i="62" a="1"/>
  <c r="Z509" i="62" s="1"/>
  <c r="P509" i="62"/>
  <c r="AA509" i="62" a="1"/>
  <c r="AA509" i="62" s="1"/>
  <c r="Y509" i="62"/>
  <c r="T509" i="62"/>
  <c r="Q509" i="62"/>
  <c r="X509" i="62"/>
  <c r="Z510" i="62" a="1"/>
  <c r="Z510" i="62" s="1"/>
  <c r="P510" i="62"/>
  <c r="AA510" i="62" a="1"/>
  <c r="AA510" i="62" s="1"/>
  <c r="Y510" i="62"/>
  <c r="T510" i="62"/>
  <c r="Q510" i="62"/>
  <c r="X510" i="62"/>
  <c r="Z511" i="62" a="1"/>
  <c r="Z511" i="62" s="1"/>
  <c r="P511" i="62"/>
  <c r="AA511" i="62" a="1"/>
  <c r="AA511" i="62" s="1"/>
  <c r="Y511" i="62"/>
  <c r="T511" i="62"/>
  <c r="Q511" i="62"/>
  <c r="X511" i="62"/>
  <c r="Z512" i="62" a="1"/>
  <c r="Z512" i="62" s="1"/>
  <c r="P512" i="62"/>
  <c r="AA512" i="62" a="1"/>
  <c r="AA512" i="62" s="1"/>
  <c r="Y512" i="62"/>
  <c r="T512" i="62"/>
  <c r="Q512" i="62"/>
  <c r="X512" i="62"/>
  <c r="Z513" i="62" a="1"/>
  <c r="Z513" i="62" s="1"/>
  <c r="P513" i="62"/>
  <c r="AA513" i="62" a="1"/>
  <c r="AA513" i="62" s="1"/>
  <c r="Y513" i="62"/>
  <c r="T513" i="62"/>
  <c r="Q513" i="62"/>
  <c r="X513" i="62"/>
  <c r="Z514" i="62" a="1"/>
  <c r="Z514" i="62" s="1"/>
  <c r="P514" i="62"/>
  <c r="AA514" i="62" a="1"/>
  <c r="AA514" i="62" s="1"/>
  <c r="Y514" i="62"/>
  <c r="T514" i="62"/>
  <c r="Q514" i="62"/>
  <c r="X514" i="62"/>
  <c r="Z515" i="62" a="1"/>
  <c r="Z515" i="62" s="1"/>
  <c r="P515" i="62"/>
  <c r="AA515" i="62" a="1"/>
  <c r="AA515" i="62" s="1"/>
  <c r="Y515" i="62"/>
  <c r="T515" i="62"/>
  <c r="Q515" i="62"/>
  <c r="X515" i="62"/>
  <c r="Z516" i="62" a="1"/>
  <c r="Z516" i="62" s="1"/>
  <c r="P516" i="62"/>
  <c r="AA516" i="62" a="1"/>
  <c r="AA516" i="62" s="1"/>
  <c r="Y516" i="62"/>
  <c r="T516" i="62"/>
  <c r="Q516" i="62"/>
  <c r="X516" i="62"/>
  <c r="Z517" i="62" a="1"/>
  <c r="Z517" i="62" s="1"/>
  <c r="P517" i="62"/>
  <c r="AA517" i="62" a="1"/>
  <c r="AA517" i="62" s="1"/>
  <c r="Y517" i="62"/>
  <c r="T517" i="62"/>
  <c r="Q517" i="62"/>
  <c r="X517" i="62"/>
  <c r="Z518" i="62" a="1"/>
  <c r="Z518" i="62" s="1"/>
  <c r="P518" i="62"/>
  <c r="AA518" i="62" a="1"/>
  <c r="AA518" i="62" s="1"/>
  <c r="Y518" i="62"/>
  <c r="T518" i="62"/>
  <c r="Q518" i="62"/>
  <c r="X518" i="62"/>
  <c r="Z519" i="62" a="1"/>
  <c r="Z519" i="62" s="1"/>
  <c r="P519" i="62"/>
  <c r="AA519" i="62" a="1"/>
  <c r="AA519" i="62" s="1"/>
  <c r="Y519" i="62"/>
  <c r="T519" i="62"/>
  <c r="Q519" i="62"/>
  <c r="X519" i="62"/>
  <c r="Z520" i="62" a="1"/>
  <c r="Z520" i="62" s="1"/>
  <c r="P520" i="62"/>
  <c r="AA520" i="62" a="1"/>
  <c r="AA520" i="62" s="1"/>
  <c r="Y520" i="62"/>
  <c r="T520" i="62"/>
  <c r="Q520" i="62"/>
  <c r="X520" i="62"/>
  <c r="Z521" i="62" a="1"/>
  <c r="Z521" i="62" s="1"/>
  <c r="P521" i="62"/>
  <c r="AA521" i="62" a="1"/>
  <c r="AA521" i="62" s="1"/>
  <c r="Y521" i="62"/>
  <c r="T521" i="62"/>
  <c r="Q521" i="62"/>
  <c r="X521" i="62"/>
  <c r="Z522" i="62" a="1"/>
  <c r="Z522" i="62" s="1"/>
  <c r="P522" i="62"/>
  <c r="AA522" i="62" a="1"/>
  <c r="AA522" i="62" s="1"/>
  <c r="Y522" i="62"/>
  <c r="T522" i="62"/>
  <c r="Q522" i="62"/>
  <c r="X522" i="62"/>
  <c r="Z523" i="62" a="1"/>
  <c r="Z523" i="62" s="1"/>
  <c r="P523" i="62"/>
  <c r="AA523" i="62" a="1"/>
  <c r="AA523" i="62" s="1"/>
  <c r="Y523" i="62"/>
  <c r="T523" i="62"/>
  <c r="Q523" i="62"/>
  <c r="X523" i="62"/>
  <c r="Z524" i="62" a="1"/>
  <c r="Z524" i="62" s="1"/>
  <c r="P524" i="62"/>
  <c r="AA524" i="62" a="1"/>
  <c r="AA524" i="62" s="1"/>
  <c r="Y524" i="62"/>
  <c r="T524" i="62"/>
  <c r="Q524" i="62"/>
  <c r="X524" i="62"/>
  <c r="Z525" i="62" a="1"/>
  <c r="Z525" i="62" s="1"/>
  <c r="P525" i="62"/>
  <c r="AA525" i="62" a="1"/>
  <c r="AA525" i="62" s="1"/>
  <c r="Y525" i="62"/>
  <c r="T525" i="62"/>
  <c r="Q525" i="62"/>
  <c r="X525" i="62"/>
  <c r="Z526" i="62" a="1"/>
  <c r="Z526" i="62" s="1"/>
  <c r="P526" i="62"/>
  <c r="AA526" i="62" a="1"/>
  <c r="AA526" i="62" s="1"/>
  <c r="Y526" i="62"/>
  <c r="T526" i="62"/>
  <c r="Q526" i="62"/>
  <c r="X526" i="62"/>
  <c r="Z527" i="62" a="1"/>
  <c r="Z527" i="62" s="1"/>
  <c r="P527" i="62"/>
  <c r="AA527" i="62" a="1"/>
  <c r="AA527" i="62" s="1"/>
  <c r="Y527" i="62"/>
  <c r="T527" i="62"/>
  <c r="Q527" i="62"/>
  <c r="X527" i="62"/>
  <c r="Z528" i="62" a="1"/>
  <c r="Z528" i="62" s="1"/>
  <c r="P528" i="62"/>
  <c r="AA528" i="62" a="1"/>
  <c r="AA528" i="62" s="1"/>
  <c r="Y528" i="62"/>
  <c r="T528" i="62"/>
  <c r="Q528" i="62"/>
  <c r="X528" i="62"/>
  <c r="Z529" i="62" a="1"/>
  <c r="Z529" i="62" s="1"/>
  <c r="P529" i="62"/>
  <c r="AA529" i="62" a="1"/>
  <c r="AA529" i="62" s="1"/>
  <c r="Y529" i="62"/>
  <c r="T529" i="62"/>
  <c r="Q529" i="62"/>
  <c r="X529" i="62"/>
  <c r="Z530" i="62" a="1"/>
  <c r="Z530" i="62" s="1"/>
  <c r="P530" i="62"/>
  <c r="AA530" i="62" a="1"/>
  <c r="AA530" i="62" s="1"/>
  <c r="Y530" i="62"/>
  <c r="T530" i="62"/>
  <c r="Q530" i="62"/>
  <c r="X530" i="62"/>
  <c r="Z531" i="62" a="1"/>
  <c r="Z531" i="62" s="1"/>
  <c r="P531" i="62"/>
  <c r="AA531" i="62" a="1"/>
  <c r="AA531" i="62" s="1"/>
  <c r="Y531" i="62"/>
  <c r="T531" i="62"/>
  <c r="Q531" i="62"/>
  <c r="X531" i="62"/>
  <c r="Z532" i="62" a="1"/>
  <c r="Z532" i="62" s="1"/>
  <c r="P532" i="62"/>
  <c r="AA532" i="62" a="1"/>
  <c r="AA532" i="62" s="1"/>
  <c r="Y532" i="62"/>
  <c r="T532" i="62"/>
  <c r="Q532" i="62"/>
  <c r="X532" i="62"/>
  <c r="Z533" i="62" a="1"/>
  <c r="Z533" i="62" s="1"/>
  <c r="P533" i="62"/>
  <c r="AA533" i="62" a="1"/>
  <c r="AA533" i="62" s="1"/>
  <c r="Y533" i="62"/>
  <c r="T533" i="62"/>
  <c r="Q533" i="62"/>
  <c r="X533" i="62"/>
  <c r="Z534" i="62" a="1"/>
  <c r="Z534" i="62" s="1"/>
  <c r="P534" i="62"/>
  <c r="AA534" i="62" a="1"/>
  <c r="AA534" i="62" s="1"/>
  <c r="Y534" i="62"/>
  <c r="T534" i="62"/>
  <c r="Q534" i="62"/>
  <c r="X534" i="62"/>
  <c r="Z535" i="62" a="1"/>
  <c r="Z535" i="62" s="1"/>
  <c r="P535" i="62"/>
  <c r="AA535" i="62" a="1"/>
  <c r="AA535" i="62" s="1"/>
  <c r="Y535" i="62"/>
  <c r="T535" i="62"/>
  <c r="Q535" i="62"/>
  <c r="X535" i="62"/>
  <c r="Z536" i="62" a="1"/>
  <c r="Z536" i="62" s="1"/>
  <c r="P536" i="62"/>
  <c r="AA536" i="62" a="1"/>
  <c r="AA536" i="62" s="1"/>
  <c r="Y536" i="62"/>
  <c r="T536" i="62"/>
  <c r="Q536" i="62"/>
  <c r="X536" i="62"/>
  <c r="Z537" i="62" a="1"/>
  <c r="Z537" i="62" s="1"/>
  <c r="P537" i="62"/>
  <c r="AA537" i="62" a="1"/>
  <c r="AA537" i="62" s="1"/>
  <c r="Y537" i="62"/>
  <c r="T537" i="62"/>
  <c r="Q537" i="62"/>
  <c r="X537" i="62"/>
  <c r="Z538" i="62" a="1"/>
  <c r="Z538" i="62" s="1"/>
  <c r="P538" i="62"/>
  <c r="AA538" i="62" a="1"/>
  <c r="AA538" i="62" s="1"/>
  <c r="Y538" i="62"/>
  <c r="T538" i="62"/>
  <c r="Q538" i="62"/>
  <c r="X538" i="62"/>
  <c r="Z539" i="62" a="1"/>
  <c r="Z539" i="62" s="1"/>
  <c r="P539" i="62"/>
  <c r="AA539" i="62" a="1"/>
  <c r="AA539" i="62" s="1"/>
  <c r="Y539" i="62"/>
  <c r="T539" i="62"/>
  <c r="Q539" i="62"/>
  <c r="X539" i="62"/>
  <c r="Z540" i="62" a="1"/>
  <c r="Z540" i="62" s="1"/>
  <c r="P540" i="62"/>
  <c r="AA540" i="62" a="1"/>
  <c r="AA540" i="62" s="1"/>
  <c r="Y540" i="62"/>
  <c r="T540" i="62"/>
  <c r="Q540" i="62"/>
  <c r="X540" i="62"/>
  <c r="Z541" i="62" a="1"/>
  <c r="Z541" i="62" s="1"/>
  <c r="P541" i="62"/>
  <c r="AA541" i="62" a="1"/>
  <c r="AA541" i="62" s="1"/>
  <c r="Y541" i="62"/>
  <c r="T541" i="62"/>
  <c r="Q541" i="62"/>
  <c r="X541" i="62"/>
  <c r="Z542" i="62" a="1"/>
  <c r="Z542" i="62" s="1"/>
  <c r="P542" i="62"/>
  <c r="AA542" i="62" a="1"/>
  <c r="AA542" i="62" s="1"/>
  <c r="Y542" i="62"/>
  <c r="T542" i="62"/>
  <c r="Q542" i="62"/>
  <c r="X542" i="62"/>
  <c r="Z543" i="62" a="1"/>
  <c r="Z543" i="62" s="1"/>
  <c r="P543" i="62"/>
  <c r="AA543" i="62" a="1"/>
  <c r="AA543" i="62" s="1"/>
  <c r="Y543" i="62"/>
  <c r="T543" i="62"/>
  <c r="Q543" i="62"/>
  <c r="X543" i="62"/>
  <c r="Z544" i="62" a="1"/>
  <c r="Z544" i="62" s="1"/>
  <c r="P544" i="62"/>
  <c r="AA544" i="62" a="1"/>
  <c r="AA544" i="62" s="1"/>
  <c r="Y544" i="62"/>
  <c r="T544" i="62"/>
  <c r="Q544" i="62"/>
  <c r="X544" i="62"/>
  <c r="Z545" i="62" a="1"/>
  <c r="Z545" i="62" s="1"/>
  <c r="P545" i="62"/>
  <c r="AA545" i="62" a="1"/>
  <c r="AA545" i="62" s="1"/>
  <c r="Y545" i="62"/>
  <c r="T545" i="62"/>
  <c r="Q545" i="62"/>
  <c r="X545" i="62"/>
  <c r="Z546" i="62" a="1"/>
  <c r="Z546" i="62" s="1"/>
  <c r="P546" i="62"/>
  <c r="AA546" i="62" a="1"/>
  <c r="AA546" i="62" s="1"/>
  <c r="Y546" i="62"/>
  <c r="T546" i="62"/>
  <c r="Q546" i="62"/>
  <c r="X546" i="62"/>
  <c r="Z547" i="62" a="1"/>
  <c r="Z547" i="62" s="1"/>
  <c r="P547" i="62"/>
  <c r="AA547" i="62" a="1"/>
  <c r="AA547" i="62" s="1"/>
  <c r="Y547" i="62"/>
  <c r="T547" i="62"/>
  <c r="Q547" i="62"/>
  <c r="X547" i="62"/>
  <c r="Z548" i="62" a="1"/>
  <c r="Z548" i="62" s="1"/>
  <c r="P548" i="62"/>
  <c r="AA548" i="62" a="1"/>
  <c r="AA548" i="62" s="1"/>
  <c r="Y548" i="62"/>
  <c r="T548" i="62"/>
  <c r="Q548" i="62"/>
  <c r="X548" i="62"/>
  <c r="Z549" i="62" a="1"/>
  <c r="Z549" i="62" s="1"/>
  <c r="P549" i="62"/>
  <c r="AA549" i="62" a="1"/>
  <c r="AA549" i="62" s="1"/>
  <c r="Y549" i="62"/>
  <c r="T549" i="62"/>
  <c r="Q549" i="62"/>
  <c r="X549" i="62"/>
  <c r="Z550" i="62" a="1"/>
  <c r="Z550" i="62" s="1"/>
  <c r="P550" i="62"/>
  <c r="AA550" i="62" a="1"/>
  <c r="AA550" i="62" s="1"/>
  <c r="Y550" i="62"/>
  <c r="T550" i="62"/>
  <c r="Q550" i="62"/>
  <c r="X550" i="62"/>
  <c r="Z551" i="62" a="1"/>
  <c r="Z551" i="62" s="1"/>
  <c r="P551" i="62"/>
  <c r="AA551" i="62" a="1"/>
  <c r="AA551" i="62" s="1"/>
  <c r="Y551" i="62"/>
  <c r="T551" i="62"/>
  <c r="Q551" i="62"/>
  <c r="X551" i="62"/>
  <c r="Z552" i="62" a="1"/>
  <c r="Z552" i="62" s="1"/>
  <c r="P552" i="62"/>
  <c r="AA552" i="62" a="1"/>
  <c r="AA552" i="62" s="1"/>
  <c r="Y552" i="62"/>
  <c r="T552" i="62"/>
  <c r="Q552" i="62"/>
  <c r="X552" i="62"/>
  <c r="Z553" i="62" a="1"/>
  <c r="Z553" i="62" s="1"/>
  <c r="P553" i="62"/>
  <c r="AA553" i="62" a="1"/>
  <c r="AA553" i="62" s="1"/>
  <c r="Y553" i="62"/>
  <c r="T553" i="62"/>
  <c r="Q553" i="62"/>
  <c r="X553" i="62"/>
  <c r="Z554" i="62" a="1"/>
  <c r="Z554" i="62" s="1"/>
  <c r="P554" i="62"/>
  <c r="AA554" i="62" a="1"/>
  <c r="AA554" i="62" s="1"/>
  <c r="Y554" i="62"/>
  <c r="T554" i="62"/>
  <c r="Q554" i="62"/>
  <c r="X554" i="62"/>
  <c r="Z555" i="62" a="1"/>
  <c r="Z555" i="62" s="1"/>
  <c r="P555" i="62"/>
  <c r="AA555" i="62" a="1"/>
  <c r="AA555" i="62" s="1"/>
  <c r="Y555" i="62"/>
  <c r="T555" i="62"/>
  <c r="Q555" i="62"/>
  <c r="X555" i="62"/>
  <c r="Z556" i="62" a="1"/>
  <c r="Z556" i="62" s="1"/>
  <c r="P556" i="62"/>
  <c r="AA556" i="62" a="1"/>
  <c r="AA556" i="62" s="1"/>
  <c r="Y556" i="62"/>
  <c r="T556" i="62"/>
  <c r="Q556" i="62"/>
  <c r="X556" i="62"/>
  <c r="Z329" i="62" a="1"/>
  <c r="Z329" i="62" s="1"/>
  <c r="P329" i="62"/>
  <c r="AA329" i="62" a="1"/>
  <c r="AA329" i="62" s="1"/>
  <c r="Y329" i="62"/>
  <c r="T329" i="62"/>
  <c r="Q329" i="62"/>
  <c r="X329" i="62"/>
  <c r="Z330" i="62" a="1"/>
  <c r="Z330" i="62" s="1"/>
  <c r="P330" i="62"/>
  <c r="AA330" i="62" a="1"/>
  <c r="AA330" i="62" s="1"/>
  <c r="Y330" i="62"/>
  <c r="T330" i="62"/>
  <c r="Q330" i="62"/>
  <c r="X330" i="62"/>
  <c r="Z331" i="62" a="1"/>
  <c r="Z331" i="62" s="1"/>
  <c r="P331" i="62"/>
  <c r="AA331" i="62" a="1"/>
  <c r="AA331" i="62" s="1"/>
  <c r="Y331" i="62"/>
  <c r="T331" i="62"/>
  <c r="Q331" i="62"/>
  <c r="X331" i="62"/>
  <c r="Z332" i="62" a="1"/>
  <c r="Z332" i="62" s="1"/>
  <c r="P332" i="62"/>
  <c r="AA332" i="62" a="1"/>
  <c r="AA332" i="62" s="1"/>
  <c r="Y332" i="62"/>
  <c r="T332" i="62"/>
  <c r="Q332" i="62"/>
  <c r="X332" i="62"/>
  <c r="Z333" i="62" a="1"/>
  <c r="Z333" i="62" s="1"/>
  <c r="P333" i="62"/>
  <c r="AA333" i="62" a="1"/>
  <c r="AA333" i="62" s="1"/>
  <c r="Y333" i="62"/>
  <c r="T333" i="62"/>
  <c r="Q333" i="62"/>
  <c r="X333" i="62"/>
  <c r="Z334" i="62" a="1"/>
  <c r="Z334" i="62" s="1"/>
  <c r="P334" i="62"/>
  <c r="AA334" i="62" a="1"/>
  <c r="AA334" i="62" s="1"/>
  <c r="Y334" i="62"/>
  <c r="T334" i="62"/>
  <c r="Q334" i="62"/>
  <c r="X334" i="62"/>
  <c r="Z335" i="62" a="1"/>
  <c r="Z335" i="62" s="1"/>
  <c r="P335" i="62"/>
  <c r="AA335" i="62" a="1"/>
  <c r="AA335" i="62" s="1"/>
  <c r="Y335" i="62"/>
  <c r="T335" i="62"/>
  <c r="Q335" i="62"/>
  <c r="X335" i="62"/>
  <c r="Z336" i="62" a="1"/>
  <c r="Z336" i="62" s="1"/>
  <c r="P336" i="62"/>
  <c r="AA336" i="62" a="1"/>
  <c r="AA336" i="62" s="1"/>
  <c r="Y336" i="62"/>
  <c r="T336" i="62"/>
  <c r="Q336" i="62"/>
  <c r="X336" i="62"/>
  <c r="Z337" i="62" a="1"/>
  <c r="Z337" i="62" s="1"/>
  <c r="P337" i="62"/>
  <c r="AA337" i="62" a="1"/>
  <c r="AA337" i="62" s="1"/>
  <c r="Y337" i="62"/>
  <c r="T337" i="62"/>
  <c r="Q337" i="62"/>
  <c r="X337" i="62"/>
  <c r="Z338" i="62" a="1"/>
  <c r="Z338" i="62" s="1"/>
  <c r="P338" i="62"/>
  <c r="AA338" i="62" a="1"/>
  <c r="AA338" i="62" s="1"/>
  <c r="Y338" i="62"/>
  <c r="T338" i="62"/>
  <c r="Q338" i="62"/>
  <c r="X338" i="62"/>
  <c r="Z339" i="62" a="1"/>
  <c r="Z339" i="62" s="1"/>
  <c r="P339" i="62"/>
  <c r="AA339" i="62" a="1"/>
  <c r="AA339" i="62" s="1"/>
  <c r="Y339" i="62"/>
  <c r="T339" i="62"/>
  <c r="Q339" i="62"/>
  <c r="X339" i="62"/>
  <c r="Z340" i="62" a="1"/>
  <c r="Z340" i="62" s="1"/>
  <c r="P340" i="62"/>
  <c r="AA340" i="62" a="1"/>
  <c r="AA340" i="62" s="1"/>
  <c r="Y340" i="62"/>
  <c r="T340" i="62"/>
  <c r="Q340" i="62"/>
  <c r="X340" i="62"/>
  <c r="Z341" i="62" a="1"/>
  <c r="Z341" i="62" s="1"/>
  <c r="P341" i="62"/>
  <c r="AA341" i="62" a="1"/>
  <c r="AA341" i="62" s="1"/>
  <c r="Y341" i="62"/>
  <c r="T341" i="62"/>
  <c r="Q341" i="62"/>
  <c r="X341" i="62"/>
  <c r="Z342" i="62" a="1"/>
  <c r="Z342" i="62" s="1"/>
  <c r="P342" i="62"/>
  <c r="AA342" i="62" a="1"/>
  <c r="AA342" i="62" s="1"/>
  <c r="Y342" i="62"/>
  <c r="T342" i="62"/>
  <c r="Q342" i="62"/>
  <c r="X342" i="62"/>
  <c r="Z343" i="62" a="1"/>
  <c r="Z343" i="62" s="1"/>
  <c r="P343" i="62"/>
  <c r="AA343" i="62" a="1"/>
  <c r="AA343" i="62" s="1"/>
  <c r="Y343" i="62"/>
  <c r="T343" i="62"/>
  <c r="Q343" i="62"/>
  <c r="X343" i="62"/>
  <c r="Z344" i="62" a="1"/>
  <c r="Z344" i="62" s="1"/>
  <c r="P344" i="62"/>
  <c r="AA344" i="62" a="1"/>
  <c r="AA344" i="62" s="1"/>
  <c r="Y344" i="62"/>
  <c r="T344" i="62"/>
  <c r="Q344" i="62"/>
  <c r="X344" i="62"/>
  <c r="Z345" i="62" a="1"/>
  <c r="Z345" i="62" s="1"/>
  <c r="P345" i="62"/>
  <c r="AA345" i="62" a="1"/>
  <c r="AA345" i="62" s="1"/>
  <c r="Y345" i="62"/>
  <c r="T345" i="62"/>
  <c r="Q345" i="62"/>
  <c r="X345" i="62"/>
  <c r="Z346" i="62" a="1"/>
  <c r="Z346" i="62" s="1"/>
  <c r="P346" i="62"/>
  <c r="AA346" i="62" a="1"/>
  <c r="AA346" i="62" s="1"/>
  <c r="Y346" i="62"/>
  <c r="T346" i="62"/>
  <c r="Q346" i="62"/>
  <c r="X346" i="62"/>
  <c r="Z347" i="62" a="1"/>
  <c r="Z347" i="62" s="1"/>
  <c r="P347" i="62"/>
  <c r="AA347" i="62" a="1"/>
  <c r="AA347" i="62" s="1"/>
  <c r="Y347" i="62"/>
  <c r="T347" i="62"/>
  <c r="Q347" i="62"/>
  <c r="X347" i="62"/>
  <c r="Z348" i="62" a="1"/>
  <c r="Z348" i="62" s="1"/>
  <c r="P348" i="62"/>
  <c r="AA348" i="62" a="1"/>
  <c r="AA348" i="62" s="1"/>
  <c r="Y348" i="62"/>
  <c r="T348" i="62"/>
  <c r="Q348" i="62"/>
  <c r="X348" i="62"/>
  <c r="Z349" i="62" a="1"/>
  <c r="Z349" i="62" s="1"/>
  <c r="P349" i="62"/>
  <c r="AA349" i="62" a="1"/>
  <c r="AA349" i="62" s="1"/>
  <c r="Y349" i="62"/>
  <c r="T349" i="62"/>
  <c r="Q349" i="62"/>
  <c r="X349" i="62"/>
  <c r="Z350" i="62" a="1"/>
  <c r="Z350" i="62" s="1"/>
  <c r="P350" i="62"/>
  <c r="AA350" i="62" a="1"/>
  <c r="AA350" i="62" s="1"/>
  <c r="Y350" i="62"/>
  <c r="T350" i="62"/>
  <c r="Q350" i="62"/>
  <c r="X350" i="62"/>
  <c r="Z351" i="62" a="1"/>
  <c r="Z351" i="62" s="1"/>
  <c r="P351" i="62"/>
  <c r="AA351" i="62" a="1"/>
  <c r="AA351" i="62" s="1"/>
  <c r="Y351" i="62"/>
  <c r="T351" i="62"/>
  <c r="Q351" i="62"/>
  <c r="X351" i="62"/>
  <c r="Z352" i="62" a="1"/>
  <c r="Z352" i="62" s="1"/>
  <c r="P352" i="62"/>
  <c r="AA352" i="62" a="1"/>
  <c r="AA352" i="62" s="1"/>
  <c r="Y352" i="62"/>
  <c r="T352" i="62"/>
  <c r="Q352" i="62"/>
  <c r="X352" i="62"/>
  <c r="Z353" i="62" a="1"/>
  <c r="Z353" i="62" s="1"/>
  <c r="P353" i="62"/>
  <c r="AA353" i="62" a="1"/>
  <c r="AA353" i="62" s="1"/>
  <c r="Y353" i="62"/>
  <c r="T353" i="62"/>
  <c r="Q353" i="62"/>
  <c r="X353" i="62"/>
  <c r="Z354" i="62" a="1"/>
  <c r="Z354" i="62" s="1"/>
  <c r="P354" i="62"/>
  <c r="AA354" i="62" a="1"/>
  <c r="AA354" i="62" s="1"/>
  <c r="Y354" i="62"/>
  <c r="T354" i="62"/>
  <c r="Q354" i="62"/>
  <c r="X354" i="62"/>
  <c r="Z355" i="62" a="1"/>
  <c r="Z355" i="62" s="1"/>
  <c r="P355" i="62"/>
  <c r="AA355" i="62" a="1"/>
  <c r="AA355" i="62" s="1"/>
  <c r="Y355" i="62"/>
  <c r="T355" i="62"/>
  <c r="Q355" i="62"/>
  <c r="X355" i="62"/>
  <c r="Z356" i="62" a="1"/>
  <c r="Z356" i="62" s="1"/>
  <c r="P356" i="62"/>
  <c r="AA356" i="62" a="1"/>
  <c r="AA356" i="62" s="1"/>
  <c r="Y356" i="62"/>
  <c r="T356" i="62"/>
  <c r="Q356" i="62"/>
  <c r="X356" i="62"/>
  <c r="Z357" i="62" a="1"/>
  <c r="Z357" i="62" s="1"/>
  <c r="P357" i="62"/>
  <c r="AA357" i="62" a="1"/>
  <c r="AA357" i="62" s="1"/>
  <c r="Y357" i="62"/>
  <c r="T357" i="62"/>
  <c r="Q357" i="62"/>
  <c r="X357" i="62"/>
  <c r="Z358" i="62" a="1"/>
  <c r="Z358" i="62" s="1"/>
  <c r="P358" i="62"/>
  <c r="AA358" i="62" a="1"/>
  <c r="AA358" i="62" s="1"/>
  <c r="Y358" i="62"/>
  <c r="T358" i="62"/>
  <c r="Q358" i="62"/>
  <c r="X358" i="62"/>
  <c r="Z359" i="62" a="1"/>
  <c r="Z359" i="62" s="1"/>
  <c r="P359" i="62"/>
  <c r="AA359" i="62" a="1"/>
  <c r="AA359" i="62" s="1"/>
  <c r="Y359" i="62"/>
  <c r="T359" i="62"/>
  <c r="Q359" i="62"/>
  <c r="X359" i="62"/>
  <c r="Z360" i="62" a="1"/>
  <c r="Z360" i="62" s="1"/>
  <c r="P360" i="62"/>
  <c r="AA360" i="62" a="1"/>
  <c r="AA360" i="62" s="1"/>
  <c r="Y360" i="62"/>
  <c r="T360" i="62"/>
  <c r="Q360" i="62"/>
  <c r="X360" i="62"/>
  <c r="Z361" i="62" a="1"/>
  <c r="Z361" i="62" s="1"/>
  <c r="P361" i="62"/>
  <c r="AA361" i="62" a="1"/>
  <c r="AA361" i="62" s="1"/>
  <c r="Y361" i="62"/>
  <c r="T361" i="62"/>
  <c r="Q361" i="62"/>
  <c r="X361" i="62"/>
  <c r="Z362" i="62" a="1"/>
  <c r="Z362" i="62" s="1"/>
  <c r="P362" i="62"/>
  <c r="AA362" i="62" a="1"/>
  <c r="AA362" i="62" s="1"/>
  <c r="Y362" i="62"/>
  <c r="T362" i="62"/>
  <c r="Q362" i="62"/>
  <c r="X362" i="62"/>
  <c r="Z363" i="62" a="1"/>
  <c r="Z363" i="62" s="1"/>
  <c r="P363" i="62"/>
  <c r="AA363" i="62" a="1"/>
  <c r="AA363" i="62" s="1"/>
  <c r="Y363" i="62"/>
  <c r="T363" i="62"/>
  <c r="Q363" i="62"/>
  <c r="X363" i="62"/>
  <c r="Z364" i="62" a="1"/>
  <c r="Z364" i="62" s="1"/>
  <c r="P364" i="62"/>
  <c r="AA364" i="62" a="1"/>
  <c r="AA364" i="62" s="1"/>
  <c r="Y364" i="62"/>
  <c r="T364" i="62"/>
  <c r="Q364" i="62"/>
  <c r="X364" i="62"/>
  <c r="Z365" i="62" a="1"/>
  <c r="Z365" i="62" s="1"/>
  <c r="P365" i="62"/>
  <c r="AA365" i="62" a="1"/>
  <c r="AA365" i="62" s="1"/>
  <c r="Y365" i="62"/>
  <c r="T365" i="62"/>
  <c r="Q365" i="62"/>
  <c r="X365" i="62"/>
  <c r="Z366" i="62" a="1"/>
  <c r="Z366" i="62" s="1"/>
  <c r="P366" i="62"/>
  <c r="AA366" i="62" a="1"/>
  <c r="AA366" i="62" s="1"/>
  <c r="Y366" i="62"/>
  <c r="T366" i="62"/>
  <c r="Q366" i="62"/>
  <c r="X366" i="62"/>
  <c r="Z367" i="62" a="1"/>
  <c r="Z367" i="62" s="1"/>
  <c r="P367" i="62"/>
  <c r="AA367" i="62" a="1"/>
  <c r="AA367" i="62" s="1"/>
  <c r="Y367" i="62"/>
  <c r="T367" i="62"/>
  <c r="Q367" i="62"/>
  <c r="X367" i="62"/>
  <c r="Z368" i="62" a="1"/>
  <c r="Z368" i="62" s="1"/>
  <c r="P368" i="62"/>
  <c r="AA368" i="62" a="1"/>
  <c r="AA368" i="62" s="1"/>
  <c r="Y368" i="62"/>
  <c r="T368" i="62"/>
  <c r="Q368" i="62"/>
  <c r="X368" i="62"/>
  <c r="Z369" i="62" a="1"/>
  <c r="Z369" i="62" s="1"/>
  <c r="P369" i="62"/>
  <c r="AA369" i="62" a="1"/>
  <c r="AA369" i="62" s="1"/>
  <c r="Y369" i="62"/>
  <c r="T369" i="62"/>
  <c r="Q369" i="62"/>
  <c r="X369" i="62"/>
  <c r="Z370" i="62" a="1"/>
  <c r="Z370" i="62" s="1"/>
  <c r="P370" i="62"/>
  <c r="AA370" i="62" a="1"/>
  <c r="AA370" i="62" s="1"/>
  <c r="Y370" i="62"/>
  <c r="T370" i="62"/>
  <c r="Q370" i="62"/>
  <c r="X370" i="62"/>
  <c r="Z371" i="62" a="1"/>
  <c r="Z371" i="62" s="1"/>
  <c r="P371" i="62"/>
  <c r="AA371" i="62" a="1"/>
  <c r="AA371" i="62" s="1"/>
  <c r="Y371" i="62"/>
  <c r="T371" i="62"/>
  <c r="Q371" i="62"/>
  <c r="X371" i="62"/>
  <c r="Z372" i="62" a="1"/>
  <c r="Z372" i="62" s="1"/>
  <c r="P372" i="62"/>
  <c r="AA372" i="62" a="1"/>
  <c r="AA372" i="62" s="1"/>
  <c r="Y372" i="62"/>
  <c r="T372" i="62"/>
  <c r="Q372" i="62"/>
  <c r="X372" i="62"/>
  <c r="Z373" i="62" a="1"/>
  <c r="Z373" i="62" s="1"/>
  <c r="P373" i="62"/>
  <c r="AA373" i="62" a="1"/>
  <c r="AA373" i="62" s="1"/>
  <c r="Y373" i="62"/>
  <c r="T373" i="62"/>
  <c r="Q373" i="62"/>
  <c r="X373" i="62"/>
  <c r="Z374" i="62" a="1"/>
  <c r="Z374" i="62" s="1"/>
  <c r="P374" i="62"/>
  <c r="AA374" i="62" a="1"/>
  <c r="AA374" i="62" s="1"/>
  <c r="Y374" i="62"/>
  <c r="T374" i="62"/>
  <c r="Q374" i="62"/>
  <c r="X374" i="62"/>
  <c r="Z375" i="62" a="1"/>
  <c r="Z375" i="62" s="1"/>
  <c r="P375" i="62"/>
  <c r="AA375" i="62" a="1"/>
  <c r="AA375" i="62" s="1"/>
  <c r="Y375" i="62"/>
  <c r="T375" i="62"/>
  <c r="Q375" i="62"/>
  <c r="X375" i="62"/>
  <c r="Z376" i="62" a="1"/>
  <c r="Z376" i="62" s="1"/>
  <c r="P376" i="62"/>
  <c r="AA376" i="62" a="1"/>
  <c r="AA376" i="62" s="1"/>
  <c r="Y376" i="62"/>
  <c r="T376" i="62"/>
  <c r="Q376" i="62"/>
  <c r="X376" i="62"/>
  <c r="Z377" i="62" a="1"/>
  <c r="Z377" i="62" s="1"/>
  <c r="P377" i="62"/>
  <c r="AA377" i="62" a="1"/>
  <c r="AA377" i="62" s="1"/>
  <c r="Y377" i="62"/>
  <c r="T377" i="62"/>
  <c r="Q377" i="62"/>
  <c r="X377" i="62"/>
  <c r="Z378" i="62" a="1"/>
  <c r="Z378" i="62" s="1"/>
  <c r="P378" i="62"/>
  <c r="AA378" i="62" a="1"/>
  <c r="AA378" i="62" s="1"/>
  <c r="Y378" i="62"/>
  <c r="T378" i="62"/>
  <c r="Q378" i="62"/>
  <c r="X378" i="62"/>
  <c r="Z379" i="62" a="1"/>
  <c r="Z379" i="62" s="1"/>
  <c r="P379" i="62"/>
  <c r="AA379" i="62" a="1"/>
  <c r="AA379" i="62" s="1"/>
  <c r="Y379" i="62"/>
  <c r="T379" i="62"/>
  <c r="Q379" i="62"/>
  <c r="X379" i="62"/>
  <c r="Z380" i="62" a="1"/>
  <c r="Z380" i="62" s="1"/>
  <c r="P380" i="62"/>
  <c r="AA380" i="62" a="1"/>
  <c r="AA380" i="62" s="1"/>
  <c r="Y380" i="62"/>
  <c r="T380" i="62"/>
  <c r="Q380" i="62"/>
  <c r="X380" i="62"/>
  <c r="Z381" i="62" a="1"/>
  <c r="Z381" i="62" s="1"/>
  <c r="P381" i="62"/>
  <c r="AA381" i="62" a="1"/>
  <c r="AA381" i="62" s="1"/>
  <c r="Y381" i="62"/>
  <c r="T381" i="62"/>
  <c r="Q381" i="62"/>
  <c r="X381" i="62"/>
  <c r="Z382" i="62" a="1"/>
  <c r="Z382" i="62" s="1"/>
  <c r="P382" i="62"/>
  <c r="AA382" i="62" a="1"/>
  <c r="AA382" i="62" s="1"/>
  <c r="Y382" i="62"/>
  <c r="T382" i="62"/>
  <c r="Q382" i="62"/>
  <c r="X382" i="62"/>
  <c r="Z383" i="62" a="1"/>
  <c r="Z383" i="62" s="1"/>
  <c r="P383" i="62"/>
  <c r="AA383" i="62" a="1"/>
  <c r="AA383" i="62" s="1"/>
  <c r="Y383" i="62"/>
  <c r="T383" i="62"/>
  <c r="Q383" i="62"/>
  <c r="X383" i="62"/>
  <c r="Z384" i="62" a="1"/>
  <c r="Z384" i="62" s="1"/>
  <c r="P384" i="62"/>
  <c r="AA384" i="62" a="1"/>
  <c r="AA384" i="62" s="1"/>
  <c r="Y384" i="62"/>
  <c r="T384" i="62"/>
  <c r="Q384" i="62"/>
  <c r="X384" i="62"/>
  <c r="Z385" i="62" a="1"/>
  <c r="Z385" i="62" s="1"/>
  <c r="P385" i="62"/>
  <c r="AA385" i="62" a="1"/>
  <c r="AA385" i="62" s="1"/>
  <c r="Y385" i="62"/>
  <c r="T385" i="62"/>
  <c r="Q385" i="62"/>
  <c r="X385" i="62"/>
  <c r="Z386" i="62" a="1"/>
  <c r="Z386" i="62" s="1"/>
  <c r="P386" i="62"/>
  <c r="AA386" i="62" a="1"/>
  <c r="AA386" i="62" s="1"/>
  <c r="Y386" i="62"/>
  <c r="T386" i="62"/>
  <c r="Q386" i="62"/>
  <c r="X386" i="62"/>
  <c r="Z387" i="62" a="1"/>
  <c r="Z387" i="62" s="1"/>
  <c r="P387" i="62"/>
  <c r="AA387" i="62" a="1"/>
  <c r="AA387" i="62" s="1"/>
  <c r="Y387" i="62"/>
  <c r="T387" i="62"/>
  <c r="Q387" i="62"/>
  <c r="X387" i="62"/>
  <c r="Z388" i="62" a="1"/>
  <c r="Z388" i="62" s="1"/>
  <c r="P388" i="62"/>
  <c r="AA388" i="62" a="1"/>
  <c r="AA388" i="62" s="1"/>
  <c r="Y388" i="62"/>
  <c r="T388" i="62"/>
  <c r="Q388" i="62"/>
  <c r="X388" i="62"/>
  <c r="Z389" i="62" a="1"/>
  <c r="Z389" i="62" s="1"/>
  <c r="P389" i="62"/>
  <c r="AA389" i="62" a="1"/>
  <c r="AA389" i="62" s="1"/>
  <c r="Y389" i="62"/>
  <c r="T389" i="62"/>
  <c r="Q389" i="62"/>
  <c r="X389" i="62"/>
  <c r="Z390" i="62" a="1"/>
  <c r="Z390" i="62" s="1"/>
  <c r="P390" i="62"/>
  <c r="AA390" i="62" a="1"/>
  <c r="AA390" i="62" s="1"/>
  <c r="Y390" i="62"/>
  <c r="T390" i="62"/>
  <c r="Q390" i="62"/>
  <c r="X390" i="62"/>
  <c r="Z391" i="62" a="1"/>
  <c r="Z391" i="62" s="1"/>
  <c r="P391" i="62"/>
  <c r="AA391" i="62" a="1"/>
  <c r="AA391" i="62" s="1"/>
  <c r="Y391" i="62"/>
  <c r="T391" i="62"/>
  <c r="Q391" i="62"/>
  <c r="X391" i="62"/>
  <c r="Z392" i="62" a="1"/>
  <c r="Z392" i="62" s="1"/>
  <c r="P392" i="62"/>
  <c r="AA392" i="62" a="1"/>
  <c r="AA392" i="62" s="1"/>
  <c r="Y392" i="62"/>
  <c r="T392" i="62"/>
  <c r="Q392" i="62"/>
  <c r="X392" i="62"/>
  <c r="Z393" i="62" a="1"/>
  <c r="Z393" i="62" s="1"/>
  <c r="P393" i="62"/>
  <c r="AA393" i="62" a="1"/>
  <c r="AA393" i="62" s="1"/>
  <c r="Y393" i="62"/>
  <c r="T393" i="62"/>
  <c r="Q393" i="62"/>
  <c r="X393" i="62"/>
  <c r="Z394" i="62" a="1"/>
  <c r="Z394" i="62" s="1"/>
  <c r="P394" i="62"/>
  <c r="AA394" i="62" a="1"/>
  <c r="AA394" i="62" s="1"/>
  <c r="Y394" i="62"/>
  <c r="T394" i="62"/>
  <c r="Q394" i="62"/>
  <c r="X394" i="62"/>
  <c r="Z395" i="62" a="1"/>
  <c r="Z395" i="62" s="1"/>
  <c r="P395" i="62"/>
  <c r="AA395" i="62" a="1"/>
  <c r="AA395" i="62" s="1"/>
  <c r="Y395" i="62"/>
  <c r="T395" i="62"/>
  <c r="Q395" i="62"/>
  <c r="X395" i="62"/>
  <c r="Z396" i="62" a="1"/>
  <c r="Z396" i="62" s="1"/>
  <c r="P396" i="62"/>
  <c r="AA396" i="62" a="1"/>
  <c r="AA396" i="62" s="1"/>
  <c r="Y396" i="62"/>
  <c r="T396" i="62"/>
  <c r="Q396" i="62"/>
  <c r="X396" i="62"/>
  <c r="Z397" i="62" a="1"/>
  <c r="Z397" i="62" s="1"/>
  <c r="P397" i="62"/>
  <c r="AA397" i="62" a="1"/>
  <c r="AA397" i="62" s="1"/>
  <c r="Y397" i="62"/>
  <c r="T397" i="62"/>
  <c r="Q397" i="62"/>
  <c r="X397" i="62"/>
  <c r="Z398" i="62" a="1"/>
  <c r="Z398" i="62" s="1"/>
  <c r="P398" i="62"/>
  <c r="AA398" i="62" a="1"/>
  <c r="AA398" i="62" s="1"/>
  <c r="Y398" i="62"/>
  <c r="T398" i="62"/>
  <c r="Q398" i="62"/>
  <c r="X398" i="62"/>
  <c r="Z399" i="62" a="1"/>
  <c r="Z399" i="62" s="1"/>
  <c r="P399" i="62"/>
  <c r="AA399" i="62" a="1"/>
  <c r="AA399" i="62" s="1"/>
  <c r="Y399" i="62"/>
  <c r="T399" i="62"/>
  <c r="Q399" i="62"/>
  <c r="X399" i="62"/>
  <c r="Z400" i="62" a="1"/>
  <c r="Z400" i="62" s="1"/>
  <c r="P400" i="62"/>
  <c r="AA400" i="62" a="1"/>
  <c r="AA400" i="62" s="1"/>
  <c r="Y400" i="62"/>
  <c r="T400" i="62"/>
  <c r="Q400" i="62"/>
  <c r="X400" i="62"/>
  <c r="Z401" i="62" a="1"/>
  <c r="Z401" i="62" s="1"/>
  <c r="P401" i="62"/>
  <c r="AA401" i="62" a="1"/>
  <c r="AA401" i="62" s="1"/>
  <c r="Y401" i="62"/>
  <c r="T401" i="62"/>
  <c r="Q401" i="62"/>
  <c r="X401" i="62"/>
  <c r="Z402" i="62" a="1"/>
  <c r="Z402" i="62" s="1"/>
  <c r="P402" i="62"/>
  <c r="AA402" i="62" a="1"/>
  <c r="AA402" i="62" s="1"/>
  <c r="Y402" i="62"/>
  <c r="T402" i="62"/>
  <c r="Q402" i="62"/>
  <c r="X402" i="62"/>
  <c r="Z403" i="62" a="1"/>
  <c r="Z403" i="62" s="1"/>
  <c r="P403" i="62"/>
  <c r="AA403" i="62" a="1"/>
  <c r="AA403" i="62" s="1"/>
  <c r="Y403" i="62"/>
  <c r="T403" i="62"/>
  <c r="Q403" i="62"/>
  <c r="X403" i="62"/>
  <c r="Z404" i="62" a="1"/>
  <c r="Z404" i="62" s="1"/>
  <c r="P404" i="62"/>
  <c r="AA404" i="62" a="1"/>
  <c r="AA404" i="62" s="1"/>
  <c r="Y404" i="62"/>
  <c r="T404" i="62"/>
  <c r="Q404" i="62"/>
  <c r="X404" i="62"/>
  <c r="Z405" i="62" a="1"/>
  <c r="Z405" i="62" s="1"/>
  <c r="P405" i="62"/>
  <c r="AA405" i="62" a="1"/>
  <c r="AA405" i="62" s="1"/>
  <c r="Y405" i="62"/>
  <c r="T405" i="62"/>
  <c r="Q405" i="62"/>
  <c r="X405" i="62"/>
  <c r="Z406" i="62" a="1"/>
  <c r="Z406" i="62" s="1"/>
  <c r="P406" i="62"/>
  <c r="AA406" i="62" a="1"/>
  <c r="AA406" i="62" s="1"/>
  <c r="Y406" i="62"/>
  <c r="T406" i="62"/>
  <c r="Q406" i="62"/>
  <c r="X406" i="62"/>
  <c r="Z407" i="62" a="1"/>
  <c r="Z407" i="62" s="1"/>
  <c r="P407" i="62"/>
  <c r="AA407" i="62" a="1"/>
  <c r="AA407" i="62" s="1"/>
  <c r="Y407" i="62"/>
  <c r="T407" i="62"/>
  <c r="Q407" i="62"/>
  <c r="X407" i="62"/>
  <c r="Z408" i="62" a="1"/>
  <c r="Z408" i="62" s="1"/>
  <c r="P408" i="62"/>
  <c r="AA408" i="62" a="1"/>
  <c r="AA408" i="62" s="1"/>
  <c r="Y408" i="62"/>
  <c r="T408" i="62"/>
  <c r="Q408" i="62"/>
  <c r="X408" i="62"/>
  <c r="Z409" i="62" a="1"/>
  <c r="Z409" i="62" s="1"/>
  <c r="P409" i="62"/>
  <c r="AA409" i="62" a="1"/>
  <c r="AA409" i="62" s="1"/>
  <c r="Y409" i="62"/>
  <c r="T409" i="62"/>
  <c r="Q409" i="62"/>
  <c r="X409" i="62"/>
  <c r="Z410" i="62" a="1"/>
  <c r="Z410" i="62" s="1"/>
  <c r="P410" i="62"/>
  <c r="AA410" i="62" a="1"/>
  <c r="AA410" i="62" s="1"/>
  <c r="Y410" i="62"/>
  <c r="T410" i="62"/>
  <c r="Q410" i="62"/>
  <c r="X410" i="62"/>
  <c r="Z411" i="62" a="1"/>
  <c r="Z411" i="62" s="1"/>
  <c r="P411" i="62"/>
  <c r="AA411" i="62" a="1"/>
  <c r="AA411" i="62" s="1"/>
  <c r="Y411" i="62"/>
  <c r="T411" i="62"/>
  <c r="Q411" i="62"/>
  <c r="X411" i="62"/>
  <c r="Z412" i="62" a="1"/>
  <c r="Z412" i="62" s="1"/>
  <c r="P412" i="62"/>
  <c r="AA412" i="62" a="1"/>
  <c r="AA412" i="62" s="1"/>
  <c r="Y412" i="62"/>
  <c r="T412" i="62"/>
  <c r="Q412" i="62"/>
  <c r="X412" i="62"/>
  <c r="Z413" i="62" a="1"/>
  <c r="Z413" i="62" s="1"/>
  <c r="P413" i="62"/>
  <c r="AA413" i="62" a="1"/>
  <c r="AA413" i="62" s="1"/>
  <c r="Y413" i="62"/>
  <c r="T413" i="62"/>
  <c r="Q413" i="62"/>
  <c r="X413" i="62"/>
  <c r="Z414" i="62" a="1"/>
  <c r="Z414" i="62" s="1"/>
  <c r="P414" i="62"/>
  <c r="AA414" i="62" a="1"/>
  <c r="AA414" i="62" s="1"/>
  <c r="Y414" i="62"/>
  <c r="T414" i="62"/>
  <c r="Q414" i="62"/>
  <c r="X414" i="62"/>
  <c r="Z415" i="62" a="1"/>
  <c r="Z415" i="62" s="1"/>
  <c r="P415" i="62"/>
  <c r="AA415" i="62" a="1"/>
  <c r="AA415" i="62" s="1"/>
  <c r="Y415" i="62"/>
  <c r="T415" i="62"/>
  <c r="Q415" i="62"/>
  <c r="X415" i="62"/>
  <c r="Z416" i="62" a="1"/>
  <c r="Z416" i="62" s="1"/>
  <c r="P416" i="62"/>
  <c r="AA416" i="62" a="1"/>
  <c r="AA416" i="62" s="1"/>
  <c r="Y416" i="62"/>
  <c r="T416" i="62"/>
  <c r="Q416" i="62"/>
  <c r="X416" i="62"/>
  <c r="Z417" i="62" a="1"/>
  <c r="Z417" i="62" s="1"/>
  <c r="P417" i="62"/>
  <c r="AA417" i="62" a="1"/>
  <c r="AA417" i="62" s="1"/>
  <c r="Y417" i="62"/>
  <c r="T417" i="62"/>
  <c r="Q417" i="62"/>
  <c r="X417" i="62"/>
  <c r="Z418" i="62" a="1"/>
  <c r="Z418" i="62" s="1"/>
  <c r="P418" i="62"/>
  <c r="AA418" i="62" a="1"/>
  <c r="AA418" i="62" s="1"/>
  <c r="Y418" i="62"/>
  <c r="T418" i="62"/>
  <c r="Q418" i="62"/>
  <c r="X418" i="62"/>
  <c r="Z419" i="62" a="1"/>
  <c r="Z419" i="62" s="1"/>
  <c r="P419" i="62"/>
  <c r="AA419" i="62" a="1"/>
  <c r="AA419" i="62" s="1"/>
  <c r="Y419" i="62"/>
  <c r="T419" i="62"/>
  <c r="Q419" i="62"/>
  <c r="X419" i="62"/>
  <c r="Z420" i="62" a="1"/>
  <c r="Z420" i="62" s="1"/>
  <c r="P420" i="62"/>
  <c r="AA420" i="62" a="1"/>
  <c r="AA420" i="62" s="1"/>
  <c r="Y420" i="62"/>
  <c r="T420" i="62"/>
  <c r="Q420" i="62"/>
  <c r="X420" i="62"/>
  <c r="Z421" i="62" a="1"/>
  <c r="Z421" i="62" s="1"/>
  <c r="P421" i="62"/>
  <c r="AA421" i="62" a="1"/>
  <c r="AA421" i="62" s="1"/>
  <c r="Y421" i="62"/>
  <c r="T421" i="62"/>
  <c r="Q421" i="62"/>
  <c r="X421" i="62"/>
  <c r="Z422" i="62" a="1"/>
  <c r="Z422" i="62" s="1"/>
  <c r="P422" i="62"/>
  <c r="AA422" i="62" a="1"/>
  <c r="AA422" i="62" s="1"/>
  <c r="Y422" i="62"/>
  <c r="T422" i="62"/>
  <c r="Q422" i="62"/>
  <c r="X422" i="62"/>
  <c r="Z423" i="62" a="1"/>
  <c r="Z423" i="62" s="1"/>
  <c r="P423" i="62"/>
  <c r="AA423" i="62" a="1"/>
  <c r="AA423" i="62" s="1"/>
  <c r="Y423" i="62"/>
  <c r="T423" i="62"/>
  <c r="Q423" i="62"/>
  <c r="X423" i="62"/>
  <c r="Z424" i="62" a="1"/>
  <c r="Z424" i="62" s="1"/>
  <c r="P424" i="62"/>
  <c r="AA424" i="62" a="1"/>
  <c r="AA424" i="62" s="1"/>
  <c r="Y424" i="62"/>
  <c r="T424" i="62"/>
  <c r="Q424" i="62"/>
  <c r="X424" i="62"/>
  <c r="Z425" i="62" a="1"/>
  <c r="Z425" i="62" s="1"/>
  <c r="P425" i="62"/>
  <c r="AA425" i="62" a="1"/>
  <c r="AA425" i="62" s="1"/>
  <c r="Y425" i="62"/>
  <c r="T425" i="62"/>
  <c r="Q425" i="62"/>
  <c r="X425" i="62"/>
  <c r="Z426" i="62" a="1"/>
  <c r="Z426" i="62" s="1"/>
  <c r="P426" i="62"/>
  <c r="AA426" i="62" a="1"/>
  <c r="AA426" i="62" s="1"/>
  <c r="Y426" i="62"/>
  <c r="T426" i="62"/>
  <c r="Q426" i="62"/>
  <c r="X426" i="62"/>
  <c r="Z427" i="62" a="1"/>
  <c r="Z427" i="62" s="1"/>
  <c r="P427" i="62"/>
  <c r="AA427" i="62" a="1"/>
  <c r="AA427" i="62" s="1"/>
  <c r="Y427" i="62"/>
  <c r="T427" i="62"/>
  <c r="Q427" i="62"/>
  <c r="X427" i="62"/>
  <c r="Z428" i="62" a="1"/>
  <c r="Z428" i="62" s="1"/>
  <c r="P428" i="62"/>
  <c r="AA428" i="62" a="1"/>
  <c r="AA428" i="62" s="1"/>
  <c r="Y428" i="62"/>
  <c r="T428" i="62"/>
  <c r="Q428" i="62"/>
  <c r="X428" i="62"/>
  <c r="Z429" i="62" a="1"/>
  <c r="Z429" i="62" s="1"/>
  <c r="P429" i="62"/>
  <c r="AA429" i="62" a="1"/>
  <c r="AA429" i="62" s="1"/>
  <c r="Y429" i="62"/>
  <c r="T429" i="62"/>
  <c r="X429" i="62"/>
  <c r="Z430" i="62" a="1"/>
  <c r="Z430" i="62" s="1"/>
  <c r="P430" i="62"/>
  <c r="AA430" i="62" a="1"/>
  <c r="AA430" i="62" s="1"/>
  <c r="Y430" i="62"/>
  <c r="T430" i="62"/>
  <c r="Q430" i="62"/>
  <c r="Z431" i="62" a="1"/>
  <c r="Z431" i="62" s="1"/>
  <c r="P431" i="62"/>
  <c r="AA431" i="62" a="1"/>
  <c r="AA431" i="62" s="1"/>
  <c r="Y431" i="62"/>
  <c r="T431" i="62"/>
  <c r="Q431" i="62"/>
  <c r="Z432" i="62" a="1"/>
  <c r="Z432" i="62" s="1"/>
  <c r="P432" i="62"/>
  <c r="AA432" i="62" a="1"/>
  <c r="AA432" i="62" s="1"/>
  <c r="Y432" i="62"/>
  <c r="T432" i="62"/>
  <c r="Q432" i="62"/>
  <c r="Z433" i="62" a="1"/>
  <c r="Z433" i="62" s="1"/>
  <c r="P433" i="62"/>
  <c r="AA433" i="62" a="1"/>
  <c r="AA433" i="62" s="1"/>
  <c r="Y433" i="62"/>
  <c r="T433" i="62"/>
  <c r="Q433" i="62"/>
  <c r="Z328" i="62" a="1"/>
  <c r="Z328" i="62" s="1"/>
  <c r="P323" i="62"/>
  <c r="T320" i="62"/>
  <c r="X316" i="62"/>
  <c r="Q315" i="62"/>
  <c r="Y314" i="62"/>
  <c r="Z312" i="62" a="1"/>
  <c r="Z312" i="62" s="1"/>
  <c r="X309" i="62"/>
  <c r="P307" i="62"/>
  <c r="X306" i="62"/>
  <c r="T304" i="62"/>
  <c r="X302" i="62"/>
  <c r="Q299" i="62"/>
  <c r="Y298" i="62"/>
  <c r="AA297" i="62" a="1"/>
  <c r="AA297" i="62" s="1"/>
  <c r="Z296" i="62" a="1"/>
  <c r="Z296" i="62" s="1"/>
  <c r="Q294" i="62"/>
  <c r="Y293" i="62"/>
  <c r="P291" i="62"/>
  <c r="Z291" i="62" a="1"/>
  <c r="Z291" i="62" s="1"/>
  <c r="X288" i="62"/>
  <c r="T288" i="62"/>
  <c r="P286" i="62"/>
  <c r="X284" i="62"/>
  <c r="Q283" i="62"/>
  <c r="T283" i="62"/>
  <c r="Y282" i="62"/>
  <c r="AA281" i="62" a="1"/>
  <c r="AA281" i="62" s="1"/>
  <c r="Z280" i="62" a="1"/>
  <c r="Z280" i="62" s="1"/>
  <c r="X278" i="62"/>
  <c r="Q278" i="62"/>
  <c r="Y277" i="62"/>
  <c r="P275" i="62"/>
  <c r="Z275" i="62" a="1"/>
  <c r="Z275" i="62" s="1"/>
  <c r="X274" i="62"/>
  <c r="T272" i="62"/>
  <c r="X271" i="62"/>
  <c r="P270" i="62"/>
  <c r="Q267" i="62"/>
  <c r="T267" i="62"/>
  <c r="Y266" i="62"/>
  <c r="AA265" i="62" a="1"/>
  <c r="AA265" i="62" s="1"/>
  <c r="Z264" i="62" a="1"/>
  <c r="Z264" i="62" s="1"/>
  <c r="X262" i="62"/>
  <c r="Q262" i="62"/>
  <c r="Y261" i="62"/>
  <c r="P259" i="62"/>
  <c r="Z259" i="62" a="1"/>
  <c r="Z259" i="62" s="1"/>
  <c r="X258" i="62"/>
  <c r="T256" i="62"/>
  <c r="X254" i="62"/>
  <c r="P254" i="62"/>
  <c r="X251" i="62"/>
  <c r="Q251" i="62"/>
  <c r="T251" i="62"/>
  <c r="Y250" i="62"/>
  <c r="AA249" i="62" a="1"/>
  <c r="AA249" i="62" s="1"/>
  <c r="Z248" i="62" a="1"/>
  <c r="Z248" i="62" s="1"/>
  <c r="X246" i="62"/>
  <c r="Q246" i="62"/>
  <c r="Y245" i="62"/>
  <c r="X244" i="62"/>
  <c r="P243" i="62"/>
  <c r="Z243" i="62" a="1"/>
  <c r="Z243" i="62" s="1"/>
  <c r="T240" i="62"/>
  <c r="X238" i="62"/>
  <c r="P238" i="62"/>
  <c r="X235" i="62"/>
  <c r="Q235" i="62"/>
  <c r="T235" i="62"/>
  <c r="Y234" i="62"/>
  <c r="AA233" i="62" a="1"/>
  <c r="AA233" i="62" s="1"/>
  <c r="Z232" i="62" a="1"/>
  <c r="Z232" i="62" s="1"/>
  <c r="Q230" i="62"/>
  <c r="X229" i="62"/>
  <c r="Y229" i="62"/>
  <c r="X227" i="62"/>
  <c r="P227" i="62"/>
  <c r="Z227" i="62" a="1"/>
  <c r="Z227" i="62" s="1"/>
  <c r="X225" i="62"/>
  <c r="T224" i="62"/>
  <c r="P222" i="62"/>
  <c r="Q219" i="62"/>
  <c r="T219" i="62"/>
  <c r="Y218" i="62"/>
  <c r="AA217" i="62" a="1"/>
  <c r="AA217" i="62" s="1"/>
  <c r="Z216" i="62" a="1"/>
  <c r="Z216" i="62" s="1"/>
  <c r="X214" i="62"/>
  <c r="Q214" i="62"/>
  <c r="Y213" i="62"/>
  <c r="X212" i="62"/>
  <c r="P211" i="62"/>
  <c r="Z211" i="62" a="1"/>
  <c r="Z211" i="62" s="1"/>
  <c r="T208" i="62"/>
  <c r="P206" i="62"/>
  <c r="X203" i="62"/>
  <c r="Q203" i="62"/>
  <c r="T203" i="62"/>
  <c r="Y202" i="62"/>
  <c r="AA201" i="62" a="1"/>
  <c r="AA201" i="62" s="1"/>
  <c r="Z200" i="62" a="1"/>
  <c r="Z200" i="62" s="1"/>
  <c r="Z201" i="62" a="1"/>
  <c r="Z201" i="62" s="1"/>
  <c r="P201" i="62"/>
  <c r="Y201" i="62"/>
  <c r="T201" i="62"/>
  <c r="Q201" i="62"/>
  <c r="Z202" i="62" a="1"/>
  <c r="Z202" i="62" s="1"/>
  <c r="P202" i="62"/>
  <c r="AA202" i="62" a="1"/>
  <c r="AA202" i="62" s="1"/>
  <c r="T202" i="62"/>
  <c r="Q202" i="62"/>
  <c r="Z203" i="62" a="1"/>
  <c r="Z203" i="62" s="1"/>
  <c r="P203" i="62"/>
  <c r="AA203" i="62" a="1"/>
  <c r="AA203" i="62" s="1"/>
  <c r="Y203" i="62"/>
  <c r="Z204" i="62" a="1"/>
  <c r="Z204" i="62" s="1"/>
  <c r="P204" i="62"/>
  <c r="AA204" i="62" a="1"/>
  <c r="AA204" i="62" s="1"/>
  <c r="Y204" i="62"/>
  <c r="T204" i="62"/>
  <c r="Q204" i="62"/>
  <c r="Z205" i="62" a="1"/>
  <c r="Z205" i="62" s="1"/>
  <c r="P205" i="62"/>
  <c r="AA205" i="62" a="1"/>
  <c r="AA205" i="62" s="1"/>
  <c r="Y205" i="62"/>
  <c r="T205" i="62"/>
  <c r="Q205" i="62"/>
  <c r="Z206" i="62" a="1"/>
  <c r="Z206" i="62" s="1"/>
  <c r="AA206" i="62" a="1"/>
  <c r="AA206" i="62" s="1"/>
  <c r="Y206" i="62"/>
  <c r="T206" i="62"/>
  <c r="Q206" i="62"/>
  <c r="X206" i="62"/>
  <c r="Z207" i="62" a="1"/>
  <c r="Z207" i="62" s="1"/>
  <c r="P207" i="62"/>
  <c r="AA207" i="62" a="1"/>
  <c r="AA207" i="62" s="1"/>
  <c r="Y207" i="62"/>
  <c r="T207" i="62"/>
  <c r="Q207" i="62"/>
  <c r="Z208" i="62" a="1"/>
  <c r="Z208" i="62" s="1"/>
  <c r="P208" i="62"/>
  <c r="AA208" i="62" a="1"/>
  <c r="AA208" i="62" s="1"/>
  <c r="Y208" i="62"/>
  <c r="Q208" i="62"/>
  <c r="Z209" i="62" a="1"/>
  <c r="Z209" i="62" s="1"/>
  <c r="P209" i="62"/>
  <c r="AA209" i="62" a="1"/>
  <c r="AA209" i="62" s="1"/>
  <c r="Y209" i="62"/>
  <c r="T209" i="62"/>
  <c r="Q209" i="62"/>
  <c r="Z210" i="62" a="1"/>
  <c r="Z210" i="62" s="1"/>
  <c r="P210" i="62"/>
  <c r="AA210" i="62" a="1"/>
  <c r="AA210" i="62" s="1"/>
  <c r="Y210" i="62"/>
  <c r="T210" i="62"/>
  <c r="Q210" i="62"/>
  <c r="AA211" i="62" a="1"/>
  <c r="AA211" i="62" s="1"/>
  <c r="Y211" i="62"/>
  <c r="T211" i="62"/>
  <c r="Q211" i="62"/>
  <c r="Z212" i="62" a="1"/>
  <c r="Z212" i="62" s="1"/>
  <c r="P212" i="62"/>
  <c r="AA212" i="62" a="1"/>
  <c r="AA212" i="62" s="1"/>
  <c r="Y212" i="62"/>
  <c r="T212" i="62"/>
  <c r="Q212" i="62"/>
  <c r="Z213" i="62" a="1"/>
  <c r="Z213" i="62" s="1"/>
  <c r="P213" i="62"/>
  <c r="AA213" i="62" a="1"/>
  <c r="AA213" i="62" s="1"/>
  <c r="T213" i="62"/>
  <c r="Q213" i="62"/>
  <c r="Z214" i="62" a="1"/>
  <c r="Z214" i="62" s="1"/>
  <c r="P214" i="62"/>
  <c r="AA214" i="62" a="1"/>
  <c r="AA214" i="62" s="1"/>
  <c r="Y214" i="62"/>
  <c r="T214" i="62"/>
  <c r="Z215" i="62" a="1"/>
  <c r="Z215" i="62" s="1"/>
  <c r="P215" i="62"/>
  <c r="AA215" i="62" a="1"/>
  <c r="AA215" i="62" s="1"/>
  <c r="Y215" i="62"/>
  <c r="T215" i="62"/>
  <c r="Q215" i="62"/>
  <c r="P216" i="62"/>
  <c r="AA216" i="62" a="1"/>
  <c r="AA216" i="62" s="1"/>
  <c r="Y216" i="62"/>
  <c r="T216" i="62"/>
  <c r="Q216" i="62"/>
  <c r="Z217" i="62" a="1"/>
  <c r="Z217" i="62" s="1"/>
  <c r="P217" i="62"/>
  <c r="Y217" i="62"/>
  <c r="T217" i="62"/>
  <c r="Q217" i="62"/>
  <c r="X217" i="62"/>
  <c r="Z218" i="62" a="1"/>
  <c r="Z218" i="62" s="1"/>
  <c r="P218" i="62"/>
  <c r="AA218" i="62" a="1"/>
  <c r="AA218" i="62" s="1"/>
  <c r="T218" i="62"/>
  <c r="Q218" i="62"/>
  <c r="Z219" i="62" a="1"/>
  <c r="Z219" i="62" s="1"/>
  <c r="P219" i="62"/>
  <c r="AA219" i="62" a="1"/>
  <c r="AA219" i="62" s="1"/>
  <c r="Y219" i="62"/>
  <c r="Z220" i="62" a="1"/>
  <c r="Z220" i="62" s="1"/>
  <c r="P220" i="62"/>
  <c r="AA220" i="62" a="1"/>
  <c r="AA220" i="62" s="1"/>
  <c r="Y220" i="62"/>
  <c r="T220" i="62"/>
  <c r="Q220" i="62"/>
  <c r="Z221" i="62" a="1"/>
  <c r="Z221" i="62" s="1"/>
  <c r="P221" i="62"/>
  <c r="AA221" i="62" a="1"/>
  <c r="AA221" i="62" s="1"/>
  <c r="Y221" i="62"/>
  <c r="T221" i="62"/>
  <c r="Q221" i="62"/>
  <c r="Z222" i="62" a="1"/>
  <c r="Z222" i="62" s="1"/>
  <c r="AA222" i="62" a="1"/>
  <c r="AA222" i="62" s="1"/>
  <c r="Y222" i="62"/>
  <c r="T222" i="62"/>
  <c r="Q222" i="62"/>
  <c r="Z223" i="62" a="1"/>
  <c r="Z223" i="62" s="1"/>
  <c r="P223" i="62"/>
  <c r="AA223" i="62" a="1"/>
  <c r="AA223" i="62" s="1"/>
  <c r="Y223" i="62"/>
  <c r="T223" i="62"/>
  <c r="Q223" i="62"/>
  <c r="Z224" i="62" a="1"/>
  <c r="Z224" i="62" s="1"/>
  <c r="P224" i="62"/>
  <c r="AA224" i="62" a="1"/>
  <c r="AA224" i="62" s="1"/>
  <c r="Y224" i="62"/>
  <c r="Q224" i="62"/>
  <c r="Z225" i="62" a="1"/>
  <c r="Z225" i="62" s="1"/>
  <c r="P225" i="62"/>
  <c r="AA225" i="62" a="1"/>
  <c r="AA225" i="62" s="1"/>
  <c r="Y225" i="62"/>
  <c r="T225" i="62"/>
  <c r="Q225" i="62"/>
  <c r="Z226" i="62" a="1"/>
  <c r="Z226" i="62" s="1"/>
  <c r="P226" i="62"/>
  <c r="AA226" i="62" a="1"/>
  <c r="AA226" i="62" s="1"/>
  <c r="Y226" i="62"/>
  <c r="T226" i="62"/>
  <c r="Q226" i="62"/>
  <c r="AA227" i="62" a="1"/>
  <c r="AA227" i="62" s="1"/>
  <c r="Y227" i="62"/>
  <c r="T227" i="62"/>
  <c r="Q227" i="62"/>
  <c r="Z228" i="62" a="1"/>
  <c r="Z228" i="62" s="1"/>
  <c r="P228" i="62"/>
  <c r="AA228" i="62" a="1"/>
  <c r="AA228" i="62" s="1"/>
  <c r="Y228" i="62"/>
  <c r="T228" i="62"/>
  <c r="Q228" i="62"/>
  <c r="Z229" i="62" a="1"/>
  <c r="Z229" i="62" s="1"/>
  <c r="P229" i="62"/>
  <c r="AA229" i="62" a="1"/>
  <c r="AA229" i="62" s="1"/>
  <c r="T229" i="62"/>
  <c r="Q229" i="62"/>
  <c r="Z230" i="62" a="1"/>
  <c r="Z230" i="62" s="1"/>
  <c r="P230" i="62"/>
  <c r="AA230" i="62" a="1"/>
  <c r="AA230" i="62" s="1"/>
  <c r="Y230" i="62"/>
  <c r="T230" i="62"/>
  <c r="Z231" i="62" a="1"/>
  <c r="Z231" i="62" s="1"/>
  <c r="P231" i="62"/>
  <c r="AA231" i="62" a="1"/>
  <c r="AA231" i="62" s="1"/>
  <c r="Y231" i="62"/>
  <c r="T231" i="62"/>
  <c r="Q231" i="62"/>
  <c r="P232" i="62"/>
  <c r="AA232" i="62" a="1"/>
  <c r="AA232" i="62" s="1"/>
  <c r="Y232" i="62"/>
  <c r="T232" i="62"/>
  <c r="Q232" i="62"/>
  <c r="X232" i="62"/>
  <c r="Z233" i="62" a="1"/>
  <c r="Z233" i="62" s="1"/>
  <c r="P233" i="62"/>
  <c r="Y233" i="62"/>
  <c r="T233" i="62"/>
  <c r="Q233" i="62"/>
  <c r="Z234" i="62" a="1"/>
  <c r="Z234" i="62" s="1"/>
  <c r="P234" i="62"/>
  <c r="AA234" i="62" a="1"/>
  <c r="AA234" i="62" s="1"/>
  <c r="T234" i="62"/>
  <c r="Q234" i="62"/>
  <c r="X234" i="62"/>
  <c r="Z235" i="62" a="1"/>
  <c r="Z235" i="62" s="1"/>
  <c r="P235" i="62"/>
  <c r="AA235" i="62" a="1"/>
  <c r="AA235" i="62" s="1"/>
  <c r="Y235" i="62"/>
  <c r="Z236" i="62" a="1"/>
  <c r="Z236" i="62" s="1"/>
  <c r="P236" i="62"/>
  <c r="AA236" i="62" a="1"/>
  <c r="AA236" i="62" s="1"/>
  <c r="Y236" i="62"/>
  <c r="T236" i="62"/>
  <c r="Q236" i="62"/>
  <c r="Z237" i="62" a="1"/>
  <c r="Z237" i="62" s="1"/>
  <c r="P237" i="62"/>
  <c r="AA237" i="62" a="1"/>
  <c r="AA237" i="62" s="1"/>
  <c r="Y237" i="62"/>
  <c r="T237" i="62"/>
  <c r="Q237" i="62"/>
  <c r="Z238" i="62" a="1"/>
  <c r="Z238" i="62" s="1"/>
  <c r="AA238" i="62" a="1"/>
  <c r="AA238" i="62" s="1"/>
  <c r="Y238" i="62"/>
  <c r="T238" i="62"/>
  <c r="Q238" i="62"/>
  <c r="Z239" i="62" a="1"/>
  <c r="Z239" i="62" s="1"/>
  <c r="P239" i="62"/>
  <c r="AA239" i="62" a="1"/>
  <c r="AA239" i="62" s="1"/>
  <c r="Y239" i="62"/>
  <c r="T239" i="62"/>
  <c r="Q239" i="62"/>
  <c r="Z240" i="62" a="1"/>
  <c r="Z240" i="62" s="1"/>
  <c r="P240" i="62"/>
  <c r="AA240" i="62" a="1"/>
  <c r="AA240" i="62" s="1"/>
  <c r="Y240" i="62"/>
  <c r="Q240" i="62"/>
  <c r="X240" i="62"/>
  <c r="Z241" i="62" a="1"/>
  <c r="Z241" i="62" s="1"/>
  <c r="P241" i="62"/>
  <c r="AA241" i="62" a="1"/>
  <c r="AA241" i="62" s="1"/>
  <c r="Y241" i="62"/>
  <c r="T241" i="62"/>
  <c r="Q241" i="62"/>
  <c r="Z242" i="62" a="1"/>
  <c r="Z242" i="62" s="1"/>
  <c r="P242" i="62"/>
  <c r="AA242" i="62" a="1"/>
  <c r="AA242" i="62" s="1"/>
  <c r="Y242" i="62"/>
  <c r="T242" i="62"/>
  <c r="Q242" i="62"/>
  <c r="AA243" i="62" a="1"/>
  <c r="AA243" i="62" s="1"/>
  <c r="Y243" i="62"/>
  <c r="T243" i="62"/>
  <c r="Q243" i="62"/>
  <c r="Z244" i="62" a="1"/>
  <c r="Z244" i="62" s="1"/>
  <c r="P244" i="62"/>
  <c r="AA244" i="62" a="1"/>
  <c r="AA244" i="62" s="1"/>
  <c r="Y244" i="62"/>
  <c r="T244" i="62"/>
  <c r="Q244" i="62"/>
  <c r="Z245" i="62" a="1"/>
  <c r="Z245" i="62" s="1"/>
  <c r="P245" i="62"/>
  <c r="AA245" i="62" a="1"/>
  <c r="AA245" i="62" s="1"/>
  <c r="T245" i="62"/>
  <c r="Q245" i="62"/>
  <c r="Z246" i="62" a="1"/>
  <c r="Z246" i="62" s="1"/>
  <c r="P246" i="62"/>
  <c r="AA246" i="62" a="1"/>
  <c r="AA246" i="62" s="1"/>
  <c r="Y246" i="62"/>
  <c r="T246" i="62"/>
  <c r="Z247" i="62" a="1"/>
  <c r="Z247" i="62" s="1"/>
  <c r="P247" i="62"/>
  <c r="AA247" i="62" a="1"/>
  <c r="AA247" i="62" s="1"/>
  <c r="Y247" i="62"/>
  <c r="T247" i="62"/>
  <c r="Q247" i="62"/>
  <c r="P248" i="62"/>
  <c r="AA248" i="62" a="1"/>
  <c r="AA248" i="62" s="1"/>
  <c r="Y248" i="62"/>
  <c r="T248" i="62"/>
  <c r="Q248" i="62"/>
  <c r="Z249" i="62" a="1"/>
  <c r="Z249" i="62" s="1"/>
  <c r="P249" i="62"/>
  <c r="Y249" i="62"/>
  <c r="T249" i="62"/>
  <c r="Q249" i="62"/>
  <c r="Z250" i="62" a="1"/>
  <c r="Z250" i="62" s="1"/>
  <c r="P250" i="62"/>
  <c r="AA250" i="62" a="1"/>
  <c r="AA250" i="62" s="1"/>
  <c r="T250" i="62"/>
  <c r="Q250" i="62"/>
  <c r="Z251" i="62" a="1"/>
  <c r="Z251" i="62" s="1"/>
  <c r="P251" i="62"/>
  <c r="AA251" i="62" a="1"/>
  <c r="AA251" i="62" s="1"/>
  <c r="Y251" i="62"/>
  <c r="Z252" i="62" a="1"/>
  <c r="Z252" i="62" s="1"/>
  <c r="P252" i="62"/>
  <c r="AA252" i="62" a="1"/>
  <c r="AA252" i="62" s="1"/>
  <c r="Y252" i="62"/>
  <c r="T252" i="62"/>
  <c r="Q252" i="62"/>
  <c r="Z253" i="62" a="1"/>
  <c r="Z253" i="62" s="1"/>
  <c r="P253" i="62"/>
  <c r="AA253" i="62" a="1"/>
  <c r="AA253" i="62" s="1"/>
  <c r="Y253" i="62"/>
  <c r="T253" i="62"/>
  <c r="Q253" i="62"/>
  <c r="Z254" i="62" a="1"/>
  <c r="Z254" i="62" s="1"/>
  <c r="AA254" i="62" a="1"/>
  <c r="AA254" i="62" s="1"/>
  <c r="Y254" i="62"/>
  <c r="T254" i="62"/>
  <c r="Q254" i="62"/>
  <c r="Z255" i="62" a="1"/>
  <c r="Z255" i="62" s="1"/>
  <c r="P255" i="62"/>
  <c r="AA255" i="62" a="1"/>
  <c r="AA255" i="62" s="1"/>
  <c r="Y255" i="62"/>
  <c r="T255" i="62"/>
  <c r="Q255" i="62"/>
  <c r="Z256" i="62" a="1"/>
  <c r="Z256" i="62" s="1"/>
  <c r="P256" i="62"/>
  <c r="AA256" i="62" a="1"/>
  <c r="AA256" i="62" s="1"/>
  <c r="Y256" i="62"/>
  <c r="Q256" i="62"/>
  <c r="Z257" i="62" a="1"/>
  <c r="Z257" i="62" s="1"/>
  <c r="P257" i="62"/>
  <c r="AA257" i="62" a="1"/>
  <c r="AA257" i="62" s="1"/>
  <c r="Y257" i="62"/>
  <c r="T257" i="62"/>
  <c r="Q257" i="62"/>
  <c r="Z258" i="62" a="1"/>
  <c r="Z258" i="62" s="1"/>
  <c r="P258" i="62"/>
  <c r="AA258" i="62" a="1"/>
  <c r="AA258" i="62" s="1"/>
  <c r="Y258" i="62"/>
  <c r="T258" i="62"/>
  <c r="Q258" i="62"/>
  <c r="AA259" i="62" a="1"/>
  <c r="AA259" i="62" s="1"/>
  <c r="Y259" i="62"/>
  <c r="T259" i="62"/>
  <c r="Q259" i="62"/>
  <c r="Z260" i="62" a="1"/>
  <c r="Z260" i="62" s="1"/>
  <c r="P260" i="62"/>
  <c r="AA260" i="62" a="1"/>
  <c r="AA260" i="62" s="1"/>
  <c r="Y260" i="62"/>
  <c r="T260" i="62"/>
  <c r="Q260" i="62"/>
  <c r="Z261" i="62" a="1"/>
  <c r="Z261" i="62" s="1"/>
  <c r="P261" i="62"/>
  <c r="AA261" i="62" a="1"/>
  <c r="AA261" i="62" s="1"/>
  <c r="T261" i="62"/>
  <c r="Q261" i="62"/>
  <c r="Z262" i="62" a="1"/>
  <c r="Z262" i="62" s="1"/>
  <c r="P262" i="62"/>
  <c r="AA262" i="62" a="1"/>
  <c r="AA262" i="62" s="1"/>
  <c r="Y262" i="62"/>
  <c r="T262" i="62"/>
  <c r="Z263" i="62" a="1"/>
  <c r="Z263" i="62" s="1"/>
  <c r="P263" i="62"/>
  <c r="AA263" i="62" a="1"/>
  <c r="AA263" i="62" s="1"/>
  <c r="Y263" i="62"/>
  <c r="T263" i="62"/>
  <c r="Q263" i="62"/>
  <c r="P264" i="62"/>
  <c r="AA264" i="62" a="1"/>
  <c r="AA264" i="62" s="1"/>
  <c r="Y264" i="62"/>
  <c r="T264" i="62"/>
  <c r="Q264" i="62"/>
  <c r="Z265" i="62" a="1"/>
  <c r="Z265" i="62" s="1"/>
  <c r="P265" i="62"/>
  <c r="Y265" i="62"/>
  <c r="T265" i="62"/>
  <c r="Q265" i="62"/>
  <c r="Z266" i="62" a="1"/>
  <c r="Z266" i="62" s="1"/>
  <c r="P266" i="62"/>
  <c r="AA266" i="62" a="1"/>
  <c r="AA266" i="62" s="1"/>
  <c r="T266" i="62"/>
  <c r="Q266" i="62"/>
  <c r="Z267" i="62" a="1"/>
  <c r="Z267" i="62" s="1"/>
  <c r="P267" i="62"/>
  <c r="AA267" i="62" a="1"/>
  <c r="AA267" i="62" s="1"/>
  <c r="Y267" i="62"/>
  <c r="X267" i="62"/>
  <c r="Z268" i="62" a="1"/>
  <c r="Z268" i="62" s="1"/>
  <c r="P268" i="62"/>
  <c r="AA268" i="62" a="1"/>
  <c r="AA268" i="62" s="1"/>
  <c r="Y268" i="62"/>
  <c r="T268" i="62"/>
  <c r="Q268" i="62"/>
  <c r="Z269" i="62" a="1"/>
  <c r="Z269" i="62" s="1"/>
  <c r="P269" i="62"/>
  <c r="AA269" i="62" a="1"/>
  <c r="AA269" i="62" s="1"/>
  <c r="Y269" i="62"/>
  <c r="T269" i="62"/>
  <c r="Q269" i="62"/>
  <c r="Z270" i="62" a="1"/>
  <c r="Z270" i="62" s="1"/>
  <c r="AA270" i="62" a="1"/>
  <c r="AA270" i="62" s="1"/>
  <c r="Y270" i="62"/>
  <c r="T270" i="62"/>
  <c r="Q270" i="62"/>
  <c r="X270" i="62"/>
  <c r="Z271" i="62" a="1"/>
  <c r="Z271" i="62" s="1"/>
  <c r="P271" i="62"/>
  <c r="AA271" i="62" a="1"/>
  <c r="AA271" i="62" s="1"/>
  <c r="Y271" i="62"/>
  <c r="T271" i="62"/>
  <c r="Q271" i="62"/>
  <c r="Z272" i="62" a="1"/>
  <c r="Z272" i="62" s="1"/>
  <c r="P272" i="62"/>
  <c r="AA272" i="62" a="1"/>
  <c r="AA272" i="62" s="1"/>
  <c r="Y272" i="62"/>
  <c r="Q272" i="62"/>
  <c r="Z273" i="62" a="1"/>
  <c r="Z273" i="62" s="1"/>
  <c r="P273" i="62"/>
  <c r="AA273" i="62" a="1"/>
  <c r="AA273" i="62" s="1"/>
  <c r="Y273" i="62"/>
  <c r="T273" i="62"/>
  <c r="Q273" i="62"/>
  <c r="Z274" i="62" a="1"/>
  <c r="Z274" i="62" s="1"/>
  <c r="P274" i="62"/>
  <c r="AA274" i="62" a="1"/>
  <c r="AA274" i="62" s="1"/>
  <c r="Y274" i="62"/>
  <c r="T274" i="62"/>
  <c r="Q274" i="62"/>
  <c r="AA275" i="62" a="1"/>
  <c r="AA275" i="62" s="1"/>
  <c r="Y275" i="62"/>
  <c r="T275" i="62"/>
  <c r="Q275" i="62"/>
  <c r="Z276" i="62" a="1"/>
  <c r="Z276" i="62" s="1"/>
  <c r="P276" i="62"/>
  <c r="AA276" i="62" a="1"/>
  <c r="AA276" i="62" s="1"/>
  <c r="Y276" i="62"/>
  <c r="T276" i="62"/>
  <c r="Q276" i="62"/>
  <c r="Z277" i="62" a="1"/>
  <c r="Z277" i="62" s="1"/>
  <c r="P277" i="62"/>
  <c r="AA277" i="62" a="1"/>
  <c r="AA277" i="62" s="1"/>
  <c r="T277" i="62"/>
  <c r="Q277" i="62"/>
  <c r="Z278" i="62" a="1"/>
  <c r="Z278" i="62" s="1"/>
  <c r="P278" i="62"/>
  <c r="AA278" i="62" a="1"/>
  <c r="AA278" i="62" s="1"/>
  <c r="Y278" i="62"/>
  <c r="T278" i="62"/>
  <c r="Z279" i="62" a="1"/>
  <c r="Z279" i="62" s="1"/>
  <c r="P279" i="62"/>
  <c r="AA279" i="62" a="1"/>
  <c r="AA279" i="62" s="1"/>
  <c r="Y279" i="62"/>
  <c r="T279" i="62"/>
  <c r="Q279" i="62"/>
  <c r="P280" i="62"/>
  <c r="AA280" i="62" a="1"/>
  <c r="AA280" i="62" s="1"/>
  <c r="Y280" i="62"/>
  <c r="T280" i="62"/>
  <c r="Q280" i="62"/>
  <c r="X280" i="62"/>
  <c r="Z281" i="62" a="1"/>
  <c r="Z281" i="62" s="1"/>
  <c r="P281" i="62"/>
  <c r="Y281" i="62"/>
  <c r="T281" i="62"/>
  <c r="Q281" i="62"/>
  <c r="Z282" i="62" a="1"/>
  <c r="Z282" i="62" s="1"/>
  <c r="P282" i="62"/>
  <c r="AA282" i="62" a="1"/>
  <c r="AA282" i="62" s="1"/>
  <c r="T282" i="62"/>
  <c r="Q282" i="62"/>
  <c r="Z283" i="62" a="1"/>
  <c r="Z283" i="62" s="1"/>
  <c r="P283" i="62"/>
  <c r="AA283" i="62" a="1"/>
  <c r="AA283" i="62" s="1"/>
  <c r="Y283" i="62"/>
  <c r="Z284" i="62" a="1"/>
  <c r="Z284" i="62" s="1"/>
  <c r="P284" i="62"/>
  <c r="AA284" i="62" a="1"/>
  <c r="AA284" i="62" s="1"/>
  <c r="Y284" i="62"/>
  <c r="T284" i="62"/>
  <c r="Q284" i="62"/>
  <c r="Z285" i="62" a="1"/>
  <c r="Z285" i="62" s="1"/>
  <c r="P285" i="62"/>
  <c r="AA285" i="62" a="1"/>
  <c r="AA285" i="62" s="1"/>
  <c r="Y285" i="62"/>
  <c r="T285" i="62"/>
  <c r="Q285" i="62"/>
  <c r="X285" i="62"/>
  <c r="Z286" i="62" a="1"/>
  <c r="Z286" i="62" s="1"/>
  <c r="AA286" i="62" a="1"/>
  <c r="AA286" i="62" s="1"/>
  <c r="Y286" i="62"/>
  <c r="T286" i="62"/>
  <c r="Q286" i="62"/>
  <c r="Z287" i="62" a="1"/>
  <c r="Z287" i="62" s="1"/>
  <c r="P287" i="62"/>
  <c r="AA287" i="62" a="1"/>
  <c r="AA287" i="62" s="1"/>
  <c r="Y287" i="62"/>
  <c r="T287" i="62"/>
  <c r="Q287" i="62"/>
  <c r="Z288" i="62" a="1"/>
  <c r="Z288" i="62" s="1"/>
  <c r="P288" i="62"/>
  <c r="AA288" i="62" a="1"/>
  <c r="AA288" i="62" s="1"/>
  <c r="Y288" i="62"/>
  <c r="Q288" i="62"/>
  <c r="Z289" i="62" a="1"/>
  <c r="Z289" i="62" s="1"/>
  <c r="P289" i="62"/>
  <c r="AA289" i="62" a="1"/>
  <c r="AA289" i="62" s="1"/>
  <c r="Y289" i="62"/>
  <c r="T289" i="62"/>
  <c r="Q289" i="62"/>
  <c r="Z290" i="62" a="1"/>
  <c r="Z290" i="62" s="1"/>
  <c r="P290" i="62"/>
  <c r="AA290" i="62" a="1"/>
  <c r="AA290" i="62" s="1"/>
  <c r="Y290" i="62"/>
  <c r="T290" i="62"/>
  <c r="Q290" i="62"/>
  <c r="AA291" i="62" a="1"/>
  <c r="AA291" i="62" s="1"/>
  <c r="Y291" i="62"/>
  <c r="T291" i="62"/>
  <c r="Q291" i="62"/>
  <c r="Z292" i="62" a="1"/>
  <c r="Z292" i="62" s="1"/>
  <c r="P292" i="62"/>
  <c r="AA292" i="62" a="1"/>
  <c r="AA292" i="62" s="1"/>
  <c r="Y292" i="62"/>
  <c r="T292" i="62"/>
  <c r="Q292" i="62"/>
  <c r="Z293" i="62" a="1"/>
  <c r="Z293" i="62" s="1"/>
  <c r="P293" i="62"/>
  <c r="AA293" i="62" a="1"/>
  <c r="AA293" i="62" s="1"/>
  <c r="T293" i="62"/>
  <c r="Q293" i="62"/>
  <c r="Z294" i="62" a="1"/>
  <c r="Z294" i="62" s="1"/>
  <c r="P294" i="62"/>
  <c r="AA294" i="62" a="1"/>
  <c r="AA294" i="62" s="1"/>
  <c r="Y294" i="62"/>
  <c r="T294" i="62"/>
  <c r="Z295" i="62" a="1"/>
  <c r="Z295" i="62" s="1"/>
  <c r="P295" i="62"/>
  <c r="AA295" i="62" a="1"/>
  <c r="AA295" i="62" s="1"/>
  <c r="Y295" i="62"/>
  <c r="T295" i="62"/>
  <c r="Q295" i="62"/>
  <c r="P296" i="62"/>
  <c r="AA296" i="62" a="1"/>
  <c r="AA296" i="62" s="1"/>
  <c r="Y296" i="62"/>
  <c r="T296" i="62"/>
  <c r="Q296" i="62"/>
  <c r="Z297" i="62" a="1"/>
  <c r="Z297" i="62" s="1"/>
  <c r="P297" i="62"/>
  <c r="Y297" i="62"/>
  <c r="T297" i="62"/>
  <c r="Q297" i="62"/>
  <c r="Z298" i="62" a="1"/>
  <c r="Z298" i="62" s="1"/>
  <c r="P298" i="62"/>
  <c r="AA298" i="62" a="1"/>
  <c r="AA298" i="62" s="1"/>
  <c r="T298" i="62"/>
  <c r="Q298" i="62"/>
  <c r="Z299" i="62" a="1"/>
  <c r="Z299" i="62" s="1"/>
  <c r="P299" i="62"/>
  <c r="AA299" i="62" a="1"/>
  <c r="AA299" i="62" s="1"/>
  <c r="Y299" i="62"/>
  <c r="T299" i="62"/>
  <c r="X299" i="62"/>
  <c r="Z300" i="62" a="1"/>
  <c r="Z300" i="62" s="1"/>
  <c r="P300" i="62"/>
  <c r="AA300" i="62" a="1"/>
  <c r="AA300" i="62" s="1"/>
  <c r="Y300" i="62"/>
  <c r="T300" i="62"/>
  <c r="Q300" i="62"/>
  <c r="Z301" i="62" a="1"/>
  <c r="Z301" i="62" s="1"/>
  <c r="P301" i="62"/>
  <c r="AA301" i="62" a="1"/>
  <c r="AA301" i="62" s="1"/>
  <c r="Y301" i="62"/>
  <c r="T301" i="62"/>
  <c r="Q301" i="62"/>
  <c r="Z302" i="62" a="1"/>
  <c r="Z302" i="62" s="1"/>
  <c r="P302" i="62"/>
  <c r="AA302" i="62" a="1"/>
  <c r="AA302" i="62" s="1"/>
  <c r="Y302" i="62"/>
  <c r="T302" i="62"/>
  <c r="Q302" i="62"/>
  <c r="Z303" i="62" a="1"/>
  <c r="Z303" i="62" s="1"/>
  <c r="P303" i="62"/>
  <c r="AA303" i="62" a="1"/>
  <c r="AA303" i="62" s="1"/>
  <c r="Y303" i="62"/>
  <c r="T303" i="62"/>
  <c r="Q303" i="62"/>
  <c r="X303" i="62"/>
  <c r="Z304" i="62" a="1"/>
  <c r="Z304" i="62" s="1"/>
  <c r="P304" i="62"/>
  <c r="AA304" i="62" a="1"/>
  <c r="AA304" i="62" s="1"/>
  <c r="Y304" i="62"/>
  <c r="Q304" i="62"/>
  <c r="Z305" i="62" a="1"/>
  <c r="Z305" i="62" s="1"/>
  <c r="P305" i="62"/>
  <c r="AA305" i="62" a="1"/>
  <c r="AA305" i="62" s="1"/>
  <c r="Y305" i="62"/>
  <c r="T305" i="62"/>
  <c r="Q305" i="62"/>
  <c r="Z306" i="62" a="1"/>
  <c r="Z306" i="62" s="1"/>
  <c r="P306" i="62"/>
  <c r="AA306" i="62" a="1"/>
  <c r="AA306" i="62" s="1"/>
  <c r="Y306" i="62"/>
  <c r="T306" i="62"/>
  <c r="Q306" i="62"/>
  <c r="Z307" i="62" a="1"/>
  <c r="Z307" i="62" s="1"/>
  <c r="AA307" i="62" a="1"/>
  <c r="AA307" i="62" s="1"/>
  <c r="Y307" i="62"/>
  <c r="T307" i="62"/>
  <c r="Q307" i="62"/>
  <c r="X307" i="62"/>
  <c r="Z308" i="62" a="1"/>
  <c r="Z308" i="62" s="1"/>
  <c r="P308" i="62"/>
  <c r="AA308" i="62" a="1"/>
  <c r="AA308" i="62" s="1"/>
  <c r="Y308" i="62"/>
  <c r="T308" i="62"/>
  <c r="Q308" i="62"/>
  <c r="Z309" i="62" a="1"/>
  <c r="Z309" i="62" s="1"/>
  <c r="P309" i="62"/>
  <c r="AA309" i="62" a="1"/>
  <c r="AA309" i="62" s="1"/>
  <c r="Y309" i="62"/>
  <c r="T309" i="62"/>
  <c r="Q309" i="62"/>
  <c r="Z310" i="62" a="1"/>
  <c r="Z310" i="62" s="1"/>
  <c r="P310" i="62"/>
  <c r="AA310" i="62" a="1"/>
  <c r="AA310" i="62" s="1"/>
  <c r="Y310" i="62"/>
  <c r="T310" i="62"/>
  <c r="Q310" i="62"/>
  <c r="Z311" i="62" a="1"/>
  <c r="Z311" i="62" s="1"/>
  <c r="P311" i="62"/>
  <c r="AA311" i="62" a="1"/>
  <c r="AA311" i="62" s="1"/>
  <c r="Y311" i="62"/>
  <c r="T311" i="62"/>
  <c r="Q311" i="62"/>
  <c r="X311" i="62"/>
  <c r="P312" i="62"/>
  <c r="AA312" i="62" a="1"/>
  <c r="AA312" i="62" s="1"/>
  <c r="Y312" i="62"/>
  <c r="T312" i="62"/>
  <c r="Q312" i="62"/>
  <c r="Z313" i="62" a="1"/>
  <c r="Z313" i="62" s="1"/>
  <c r="P313" i="62"/>
  <c r="AA313" i="62" a="1"/>
  <c r="AA313" i="62" s="1"/>
  <c r="Y313" i="62"/>
  <c r="T313" i="62"/>
  <c r="Q313" i="62"/>
  <c r="Z314" i="62" a="1"/>
  <c r="Z314" i="62" s="1"/>
  <c r="P314" i="62"/>
  <c r="AA314" i="62" a="1"/>
  <c r="AA314" i="62" s="1"/>
  <c r="T314" i="62"/>
  <c r="Q314" i="62"/>
  <c r="Z315" i="62" a="1"/>
  <c r="Z315" i="62" s="1"/>
  <c r="P315" i="62"/>
  <c r="AA315" i="62" a="1"/>
  <c r="AA315" i="62" s="1"/>
  <c r="Y315" i="62"/>
  <c r="T315" i="62"/>
  <c r="Z316" i="62" a="1"/>
  <c r="Z316" i="62" s="1"/>
  <c r="P316" i="62"/>
  <c r="AA316" i="62" a="1"/>
  <c r="AA316" i="62" s="1"/>
  <c r="Y316" i="62"/>
  <c r="T316" i="62"/>
  <c r="Q316" i="62"/>
  <c r="Z317" i="62" a="1"/>
  <c r="Z317" i="62" s="1"/>
  <c r="P317" i="62"/>
  <c r="AA317" i="62" a="1"/>
  <c r="AA317" i="62" s="1"/>
  <c r="Y317" i="62"/>
  <c r="T317" i="62"/>
  <c r="Q317" i="62"/>
  <c r="Z318" i="62" a="1"/>
  <c r="Z318" i="62" s="1"/>
  <c r="P318" i="62"/>
  <c r="AA318" i="62" a="1"/>
  <c r="AA318" i="62" s="1"/>
  <c r="Y318" i="62"/>
  <c r="T318" i="62"/>
  <c r="Q318" i="62"/>
  <c r="Z319" i="62" a="1"/>
  <c r="Z319" i="62" s="1"/>
  <c r="P319" i="62"/>
  <c r="AA319" i="62" a="1"/>
  <c r="AA319" i="62" s="1"/>
  <c r="Y319" i="62"/>
  <c r="T319" i="62"/>
  <c r="Q319" i="62"/>
  <c r="Z320" i="62" a="1"/>
  <c r="Z320" i="62" s="1"/>
  <c r="P320" i="62"/>
  <c r="AA320" i="62" a="1"/>
  <c r="AA320" i="62" s="1"/>
  <c r="Y320" i="62"/>
  <c r="Q320" i="62"/>
  <c r="X320" i="62"/>
  <c r="Z321" i="62" a="1"/>
  <c r="Z321" i="62" s="1"/>
  <c r="P321" i="62"/>
  <c r="AA321" i="62" a="1"/>
  <c r="AA321" i="62" s="1"/>
  <c r="Y321" i="62"/>
  <c r="T321" i="62"/>
  <c r="Q321" i="62"/>
  <c r="X321" i="62"/>
  <c r="Z322" i="62" a="1"/>
  <c r="Z322" i="62" s="1"/>
  <c r="P322" i="62"/>
  <c r="AA322" i="62" a="1"/>
  <c r="AA322" i="62" s="1"/>
  <c r="Y322" i="62"/>
  <c r="T322" i="62"/>
  <c r="Q322" i="62"/>
  <c r="Z323" i="62" a="1"/>
  <c r="Z323" i="62" s="1"/>
  <c r="AA323" i="62" a="1"/>
  <c r="AA323" i="62" s="1"/>
  <c r="Y323" i="62"/>
  <c r="T323" i="62"/>
  <c r="Q323" i="62"/>
  <c r="Z324" i="62" a="1"/>
  <c r="Z324" i="62" s="1"/>
  <c r="P324" i="62"/>
  <c r="AA324" i="62" a="1"/>
  <c r="AA324" i="62" s="1"/>
  <c r="Y324" i="62"/>
  <c r="T324" i="62"/>
  <c r="Q324" i="62"/>
  <c r="Z325" i="62" a="1"/>
  <c r="Z325" i="62" s="1"/>
  <c r="P325" i="62"/>
  <c r="AA325" i="62" a="1"/>
  <c r="AA325" i="62" s="1"/>
  <c r="Y325" i="62"/>
  <c r="T325" i="62"/>
  <c r="Q325" i="62"/>
  <c r="Z326" i="62" a="1"/>
  <c r="Z326" i="62" s="1"/>
  <c r="P326" i="62"/>
  <c r="AA326" i="62" a="1"/>
  <c r="AA326" i="62" s="1"/>
  <c r="Y326" i="62"/>
  <c r="T326" i="62"/>
  <c r="Q326" i="62"/>
  <c r="Z327" i="62" a="1"/>
  <c r="Z327" i="62" s="1"/>
  <c r="P327" i="62"/>
  <c r="AA327" i="62" a="1"/>
  <c r="AA327" i="62" s="1"/>
  <c r="Y327" i="62"/>
  <c r="T327" i="62"/>
  <c r="Q327" i="62"/>
  <c r="X327" i="62"/>
  <c r="P328" i="62"/>
  <c r="AA328" i="62" a="1"/>
  <c r="AA328" i="62" s="1"/>
  <c r="Y328" i="62"/>
  <c r="T328" i="62"/>
  <c r="Q328" i="62"/>
  <c r="P200" i="62"/>
  <c r="AA200" i="62" a="1"/>
  <c r="AA200" i="62" s="1"/>
  <c r="Y200" i="62"/>
  <c r="T200" i="62"/>
  <c r="Q200" i="62"/>
  <c r="Z172" i="62" a="1"/>
  <c r="Z172" i="62" s="1"/>
  <c r="P172" i="62"/>
  <c r="AA172" i="62" a="1"/>
  <c r="AA172" i="62" s="1"/>
  <c r="Y172" i="62"/>
  <c r="T172" i="62"/>
  <c r="Q172" i="62"/>
  <c r="X172" i="62"/>
  <c r="Z173" i="62" a="1"/>
  <c r="Z173" i="62" s="1"/>
  <c r="P173" i="62"/>
  <c r="AA173" i="62" a="1"/>
  <c r="AA173" i="62" s="1"/>
  <c r="Y173" i="62"/>
  <c r="T173" i="62"/>
  <c r="Q173" i="62"/>
  <c r="Z174" i="62" a="1"/>
  <c r="Z174" i="62" s="1"/>
  <c r="P174" i="62"/>
  <c r="AA174" i="62" a="1"/>
  <c r="AA174" i="62" s="1"/>
  <c r="Y174" i="62"/>
  <c r="T174" i="62"/>
  <c r="Q174" i="62"/>
  <c r="Z175" i="62" a="1"/>
  <c r="Z175" i="62" s="1"/>
  <c r="P175" i="62"/>
  <c r="AA175" i="62" a="1"/>
  <c r="AA175" i="62" s="1"/>
  <c r="Y175" i="62"/>
  <c r="T175" i="62"/>
  <c r="Q175" i="62"/>
  <c r="Z176" i="62" a="1"/>
  <c r="Z176" i="62" s="1"/>
  <c r="P176" i="62"/>
  <c r="AA176" i="62" a="1"/>
  <c r="AA176" i="62" s="1"/>
  <c r="Y176" i="62"/>
  <c r="T176" i="62"/>
  <c r="Q176" i="62"/>
  <c r="X176" i="62"/>
  <c r="Z177" i="62" a="1"/>
  <c r="Z177" i="62" s="1"/>
  <c r="P177" i="62"/>
  <c r="AA177" i="62" a="1"/>
  <c r="AA177" i="62" s="1"/>
  <c r="Y177" i="62"/>
  <c r="T177" i="62"/>
  <c r="Q177" i="62"/>
  <c r="Z178" i="62" a="1"/>
  <c r="Z178" i="62" s="1"/>
  <c r="P178" i="62"/>
  <c r="AA178" i="62" a="1"/>
  <c r="AA178" i="62" s="1"/>
  <c r="Y178" i="62"/>
  <c r="T178" i="62"/>
  <c r="Q178" i="62"/>
  <c r="Z179" i="62" a="1"/>
  <c r="Z179" i="62" s="1"/>
  <c r="P179" i="62"/>
  <c r="AA179" i="62" a="1"/>
  <c r="AA179" i="62" s="1"/>
  <c r="Y179" i="62"/>
  <c r="T179" i="62"/>
  <c r="Q179" i="62"/>
  <c r="Z180" i="62" a="1"/>
  <c r="Z180" i="62" s="1"/>
  <c r="P180" i="62"/>
  <c r="AA180" i="62" a="1"/>
  <c r="AA180" i="62" s="1"/>
  <c r="Y180" i="62"/>
  <c r="T180" i="62"/>
  <c r="Q180" i="62"/>
  <c r="X180" i="62"/>
  <c r="Z181" i="62" a="1"/>
  <c r="Z181" i="62" s="1"/>
  <c r="P181" i="62"/>
  <c r="AA181" i="62" a="1"/>
  <c r="AA181" i="62" s="1"/>
  <c r="Y181" i="62"/>
  <c r="T181" i="62"/>
  <c r="Q181" i="62"/>
  <c r="Z182" i="62" a="1"/>
  <c r="Z182" i="62" s="1"/>
  <c r="P182" i="62"/>
  <c r="AA182" i="62" a="1"/>
  <c r="AA182" i="62" s="1"/>
  <c r="Y182" i="62"/>
  <c r="T182" i="62"/>
  <c r="Q182" i="62"/>
  <c r="Z183" i="62" a="1"/>
  <c r="Z183" i="62" s="1"/>
  <c r="P183" i="62"/>
  <c r="AA183" i="62" a="1"/>
  <c r="AA183" i="62" s="1"/>
  <c r="Y183" i="62"/>
  <c r="T183" i="62"/>
  <c r="Q183" i="62"/>
  <c r="Z184" i="62" a="1"/>
  <c r="Z184" i="62" s="1"/>
  <c r="P184" i="62"/>
  <c r="AA184" i="62" a="1"/>
  <c r="AA184" i="62" s="1"/>
  <c r="Y184" i="62"/>
  <c r="T184" i="62"/>
  <c r="Q184" i="62"/>
  <c r="X184" i="62"/>
  <c r="Z185" i="62" a="1"/>
  <c r="Z185" i="62" s="1"/>
  <c r="P185" i="62"/>
  <c r="AA185" i="62" a="1"/>
  <c r="AA185" i="62" s="1"/>
  <c r="Y185" i="62"/>
  <c r="T185" i="62"/>
  <c r="Q185" i="62"/>
  <c r="Z186" i="62" a="1"/>
  <c r="Z186" i="62" s="1"/>
  <c r="P186" i="62"/>
  <c r="AA186" i="62" a="1"/>
  <c r="AA186" i="62" s="1"/>
  <c r="Y186" i="62"/>
  <c r="T186" i="62"/>
  <c r="Q186" i="62"/>
  <c r="Z187" i="62" a="1"/>
  <c r="Z187" i="62" s="1"/>
  <c r="P187" i="62"/>
  <c r="AA187" i="62" a="1"/>
  <c r="AA187" i="62" s="1"/>
  <c r="Y187" i="62"/>
  <c r="T187" i="62"/>
  <c r="Q187" i="62"/>
  <c r="X187" i="62"/>
  <c r="Z188" i="62" a="1"/>
  <c r="Z188" i="62" s="1"/>
  <c r="P188" i="62"/>
  <c r="AA188" i="62" a="1"/>
  <c r="AA188" i="62" s="1"/>
  <c r="Y188" i="62"/>
  <c r="T188" i="62"/>
  <c r="Q188" i="62"/>
  <c r="X188" i="62"/>
  <c r="Z189" i="62" a="1"/>
  <c r="Z189" i="62" s="1"/>
  <c r="P189" i="62"/>
  <c r="AA189" i="62" a="1"/>
  <c r="AA189" i="62" s="1"/>
  <c r="Y189" i="62"/>
  <c r="T189" i="62"/>
  <c r="Q189" i="62"/>
  <c r="Z190" i="62" a="1"/>
  <c r="Z190" i="62" s="1"/>
  <c r="P190" i="62"/>
  <c r="AA190" i="62" a="1"/>
  <c r="AA190" i="62" s="1"/>
  <c r="Y190" i="62"/>
  <c r="T190" i="62"/>
  <c r="Q190" i="62"/>
  <c r="Z191" i="62" a="1"/>
  <c r="Z191" i="62" s="1"/>
  <c r="P191" i="62"/>
  <c r="AA191" i="62" a="1"/>
  <c r="AA191" i="62" s="1"/>
  <c r="Y191" i="62"/>
  <c r="T191" i="62"/>
  <c r="Q191" i="62"/>
  <c r="X191" i="62"/>
  <c r="Z192" i="62" a="1"/>
  <c r="Z192" i="62" s="1"/>
  <c r="P192" i="62"/>
  <c r="AA192" i="62" a="1"/>
  <c r="AA192" i="62" s="1"/>
  <c r="Y192" i="62"/>
  <c r="T192" i="62"/>
  <c r="Q192" i="62"/>
  <c r="X192" i="62"/>
  <c r="Z193" i="62" a="1"/>
  <c r="Z193" i="62" s="1"/>
  <c r="P193" i="62"/>
  <c r="AA193" i="62" a="1"/>
  <c r="AA193" i="62" s="1"/>
  <c r="Y193" i="62"/>
  <c r="T193" i="62"/>
  <c r="Q193" i="62"/>
  <c r="Z194" i="62" a="1"/>
  <c r="Z194" i="62" s="1"/>
  <c r="P194" i="62"/>
  <c r="AA194" i="62" a="1"/>
  <c r="AA194" i="62" s="1"/>
  <c r="Y194" i="62"/>
  <c r="T194" i="62"/>
  <c r="Q194" i="62"/>
  <c r="Z195" i="62" a="1"/>
  <c r="Z195" i="62" s="1"/>
  <c r="P195" i="62"/>
  <c r="AA195" i="62" a="1"/>
  <c r="AA195" i="62" s="1"/>
  <c r="Y195" i="62"/>
  <c r="T195" i="62"/>
  <c r="Q195" i="62"/>
  <c r="X195" i="62"/>
  <c r="Z196" i="62" a="1"/>
  <c r="Z196" i="62" s="1"/>
  <c r="P196" i="62"/>
  <c r="AA196" i="62" a="1"/>
  <c r="AA196" i="62" s="1"/>
  <c r="Y196" i="62"/>
  <c r="T196" i="62"/>
  <c r="Q196" i="62"/>
  <c r="X196" i="62"/>
  <c r="Z197" i="62" a="1"/>
  <c r="Z197" i="62" s="1"/>
  <c r="P197" i="62"/>
  <c r="AA197" i="62" a="1"/>
  <c r="AA197" i="62" s="1"/>
  <c r="Y197" i="62"/>
  <c r="T197" i="62"/>
  <c r="Q197" i="62"/>
  <c r="X197" i="62"/>
  <c r="Z198" i="62" a="1"/>
  <c r="Z198" i="62" s="1"/>
  <c r="P198" i="62"/>
  <c r="AA198" i="62" a="1"/>
  <c r="AA198" i="62" s="1"/>
  <c r="Y198" i="62"/>
  <c r="T198" i="62"/>
  <c r="Q198" i="62"/>
  <c r="Z199" i="62" a="1"/>
  <c r="Z199" i="62" s="1"/>
  <c r="P199" i="62"/>
  <c r="AA199" i="62" a="1"/>
  <c r="AA199" i="62" s="1"/>
  <c r="Y199" i="62"/>
  <c r="T199" i="62"/>
  <c r="Q199" i="62"/>
  <c r="X199" i="62"/>
  <c r="Z171" i="62" a="1"/>
  <c r="Z171" i="62" s="1"/>
  <c r="P171" i="62"/>
  <c r="AA171" i="62" a="1"/>
  <c r="AA171" i="62" s="1"/>
  <c r="Y171" i="62"/>
  <c r="T171" i="62"/>
  <c r="Q171" i="62"/>
  <c r="X171" i="62"/>
  <c r="Z170" i="62" a="1"/>
  <c r="Z170" i="62" s="1"/>
  <c r="P170" i="62"/>
  <c r="AA170" i="62" a="1"/>
  <c r="AA170" i="62" s="1"/>
  <c r="Y170" i="62"/>
  <c r="T170" i="62"/>
  <c r="Q170" i="62"/>
  <c r="X170" i="62"/>
  <c r="Z133" i="62" a="1"/>
  <c r="Z133" i="62" s="1"/>
  <c r="P133" i="62"/>
  <c r="AA133" i="62" a="1"/>
  <c r="AA133" i="62" s="1"/>
  <c r="Y133" i="62"/>
  <c r="T133" i="62"/>
  <c r="Q133" i="62"/>
  <c r="Z134" i="62" a="1"/>
  <c r="Z134" i="62" s="1"/>
  <c r="P134" i="62"/>
  <c r="AA134" i="62" a="1"/>
  <c r="AA134" i="62" s="1"/>
  <c r="Y134" i="62"/>
  <c r="T134" i="62"/>
  <c r="Q134" i="62"/>
  <c r="X134" i="62"/>
  <c r="Z135" i="62" a="1"/>
  <c r="Z135" i="62" s="1"/>
  <c r="P135" i="62"/>
  <c r="AA135" i="62" a="1"/>
  <c r="AA135" i="62" s="1"/>
  <c r="Y135" i="62"/>
  <c r="T135" i="62"/>
  <c r="Q135" i="62"/>
  <c r="X135" i="62"/>
  <c r="Z136" i="62" a="1"/>
  <c r="Z136" i="62" s="1"/>
  <c r="P136" i="62"/>
  <c r="AA136" i="62" a="1"/>
  <c r="AA136" i="62" s="1"/>
  <c r="Y136" i="62"/>
  <c r="T136" i="62"/>
  <c r="Q136" i="62"/>
  <c r="X136" i="62"/>
  <c r="Z137" i="62" a="1"/>
  <c r="Z137" i="62" s="1"/>
  <c r="P137" i="62"/>
  <c r="AA137" i="62" a="1"/>
  <c r="AA137" i="62" s="1"/>
  <c r="Y137" i="62"/>
  <c r="T137" i="62"/>
  <c r="Q137" i="62"/>
  <c r="Z138" i="62" a="1"/>
  <c r="Z138" i="62" s="1"/>
  <c r="P138" i="62"/>
  <c r="AA138" i="62" a="1"/>
  <c r="AA138" i="62" s="1"/>
  <c r="Y138" i="62"/>
  <c r="T138" i="62"/>
  <c r="Q138" i="62"/>
  <c r="X138" i="62"/>
  <c r="Z139" i="62" a="1"/>
  <c r="Z139" i="62" s="1"/>
  <c r="P139" i="62"/>
  <c r="AA139" i="62" a="1"/>
  <c r="AA139" i="62" s="1"/>
  <c r="Y139" i="62"/>
  <c r="T139" i="62"/>
  <c r="Q139" i="62"/>
  <c r="X139" i="62"/>
  <c r="Z140" i="62" a="1"/>
  <c r="Z140" i="62" s="1"/>
  <c r="P140" i="62"/>
  <c r="AA140" i="62" a="1"/>
  <c r="AA140" i="62" s="1"/>
  <c r="Y140" i="62"/>
  <c r="T140" i="62"/>
  <c r="Q140" i="62"/>
  <c r="X140" i="62"/>
  <c r="Z141" i="62" a="1"/>
  <c r="Z141" i="62" s="1"/>
  <c r="P141" i="62"/>
  <c r="AA141" i="62" a="1"/>
  <c r="AA141" i="62" s="1"/>
  <c r="Y141" i="62"/>
  <c r="T141" i="62"/>
  <c r="Q141" i="62"/>
  <c r="X141" i="62"/>
  <c r="Z142" i="62" a="1"/>
  <c r="Z142" i="62" s="1"/>
  <c r="P142" i="62"/>
  <c r="AA142" i="62" a="1"/>
  <c r="AA142" i="62" s="1"/>
  <c r="Y142" i="62"/>
  <c r="T142" i="62"/>
  <c r="Q142" i="62"/>
  <c r="X142" i="62"/>
  <c r="Z143" i="62" a="1"/>
  <c r="Z143" i="62" s="1"/>
  <c r="P143" i="62"/>
  <c r="AA143" i="62" a="1"/>
  <c r="AA143" i="62" s="1"/>
  <c r="Y143" i="62"/>
  <c r="T143" i="62"/>
  <c r="Q143" i="62"/>
  <c r="X143" i="62"/>
  <c r="Z144" i="62" a="1"/>
  <c r="Z144" i="62" s="1"/>
  <c r="P144" i="62"/>
  <c r="AA144" i="62" a="1"/>
  <c r="AA144" i="62" s="1"/>
  <c r="Y144" i="62"/>
  <c r="T144" i="62"/>
  <c r="Q144" i="62"/>
  <c r="X144" i="62"/>
  <c r="Z145" i="62" a="1"/>
  <c r="Z145" i="62" s="1"/>
  <c r="P145" i="62"/>
  <c r="AA145" i="62" a="1"/>
  <c r="AA145" i="62" s="1"/>
  <c r="Y145" i="62"/>
  <c r="T145" i="62"/>
  <c r="Q145" i="62"/>
  <c r="X145" i="62"/>
  <c r="Z146" i="62" a="1"/>
  <c r="Z146" i="62" s="1"/>
  <c r="P146" i="62"/>
  <c r="AA146" i="62" a="1"/>
  <c r="AA146" i="62" s="1"/>
  <c r="Y146" i="62"/>
  <c r="T146" i="62"/>
  <c r="Q146" i="62"/>
  <c r="X146" i="62"/>
  <c r="Z147" i="62" a="1"/>
  <c r="Z147" i="62" s="1"/>
  <c r="P147" i="62"/>
  <c r="AA147" i="62" a="1"/>
  <c r="AA147" i="62" s="1"/>
  <c r="Y147" i="62"/>
  <c r="T147" i="62"/>
  <c r="Q147" i="62"/>
  <c r="X147" i="62"/>
  <c r="Z148" i="62" a="1"/>
  <c r="Z148" i="62" s="1"/>
  <c r="P148" i="62"/>
  <c r="AA148" i="62" a="1"/>
  <c r="AA148" i="62" s="1"/>
  <c r="Y148" i="62"/>
  <c r="T148" i="62"/>
  <c r="Q148" i="62"/>
  <c r="X148" i="62"/>
  <c r="Z149" i="62" a="1"/>
  <c r="Z149" i="62" s="1"/>
  <c r="P149" i="62"/>
  <c r="AA149" i="62" a="1"/>
  <c r="AA149" i="62" s="1"/>
  <c r="Y149" i="62"/>
  <c r="T149" i="62"/>
  <c r="Q149" i="62"/>
  <c r="X149" i="62"/>
  <c r="Z150" i="62" a="1"/>
  <c r="Z150" i="62" s="1"/>
  <c r="P150" i="62"/>
  <c r="AA150" i="62" a="1"/>
  <c r="AA150" i="62" s="1"/>
  <c r="Y150" i="62"/>
  <c r="T150" i="62"/>
  <c r="Q150" i="62"/>
  <c r="X150" i="62"/>
  <c r="Z151" i="62" a="1"/>
  <c r="Z151" i="62" s="1"/>
  <c r="P151" i="62"/>
  <c r="AA151" i="62" a="1"/>
  <c r="AA151" i="62" s="1"/>
  <c r="Y151" i="62"/>
  <c r="T151" i="62"/>
  <c r="Q151" i="62"/>
  <c r="X151" i="62"/>
  <c r="Z152" i="62" a="1"/>
  <c r="Z152" i="62" s="1"/>
  <c r="P152" i="62"/>
  <c r="AA152" i="62" a="1"/>
  <c r="AA152" i="62" s="1"/>
  <c r="Y152" i="62"/>
  <c r="T152" i="62"/>
  <c r="Q152" i="62"/>
  <c r="X152" i="62"/>
  <c r="Z153" i="62" a="1"/>
  <c r="Z153" i="62" s="1"/>
  <c r="P153" i="62"/>
  <c r="AA153" i="62" a="1"/>
  <c r="AA153" i="62" s="1"/>
  <c r="Y153" i="62"/>
  <c r="T153" i="62"/>
  <c r="Q153" i="62"/>
  <c r="X153" i="62"/>
  <c r="Z154" i="62" a="1"/>
  <c r="Z154" i="62" s="1"/>
  <c r="P154" i="62"/>
  <c r="AA154" i="62" a="1"/>
  <c r="AA154" i="62" s="1"/>
  <c r="Y154" i="62"/>
  <c r="T154" i="62"/>
  <c r="Q154" i="62"/>
  <c r="X154" i="62"/>
  <c r="Z155" i="62" a="1"/>
  <c r="Z155" i="62" s="1"/>
  <c r="P155" i="62"/>
  <c r="AA155" i="62" a="1"/>
  <c r="AA155" i="62" s="1"/>
  <c r="Y155" i="62"/>
  <c r="T155" i="62"/>
  <c r="Q155" i="62"/>
  <c r="X155" i="62"/>
  <c r="Z156" i="62" a="1"/>
  <c r="Z156" i="62" s="1"/>
  <c r="P156" i="62"/>
  <c r="AA156" i="62" a="1"/>
  <c r="AA156" i="62" s="1"/>
  <c r="Y156" i="62"/>
  <c r="T156" i="62"/>
  <c r="Q156" i="62"/>
  <c r="X156" i="62"/>
  <c r="Z157" i="62" a="1"/>
  <c r="Z157" i="62" s="1"/>
  <c r="P157" i="62"/>
  <c r="AA157" i="62" a="1"/>
  <c r="AA157" i="62" s="1"/>
  <c r="Y157" i="62"/>
  <c r="T157" i="62"/>
  <c r="Q157" i="62"/>
  <c r="X157" i="62"/>
  <c r="Z158" i="62" a="1"/>
  <c r="Z158" i="62" s="1"/>
  <c r="P158" i="62"/>
  <c r="AA158" i="62" a="1"/>
  <c r="AA158" i="62" s="1"/>
  <c r="Y158" i="62"/>
  <c r="T158" i="62"/>
  <c r="Q158" i="62"/>
  <c r="X158" i="62"/>
  <c r="Z159" i="62" a="1"/>
  <c r="Z159" i="62" s="1"/>
  <c r="P159" i="62"/>
  <c r="AA159" i="62" a="1"/>
  <c r="AA159" i="62" s="1"/>
  <c r="Y159" i="62"/>
  <c r="T159" i="62"/>
  <c r="Q159" i="62"/>
  <c r="X159" i="62"/>
  <c r="Z160" i="62" a="1"/>
  <c r="Z160" i="62" s="1"/>
  <c r="P160" i="62"/>
  <c r="AA160" i="62" a="1"/>
  <c r="AA160" i="62" s="1"/>
  <c r="Y160" i="62"/>
  <c r="T160" i="62"/>
  <c r="Q160" i="62"/>
  <c r="X160" i="62"/>
  <c r="Z161" i="62" a="1"/>
  <c r="Z161" i="62" s="1"/>
  <c r="P161" i="62"/>
  <c r="AA161" i="62" a="1"/>
  <c r="AA161" i="62" s="1"/>
  <c r="Y161" i="62"/>
  <c r="T161" i="62"/>
  <c r="Q161" i="62"/>
  <c r="X161" i="62"/>
  <c r="Z162" i="62" a="1"/>
  <c r="Z162" i="62" s="1"/>
  <c r="P162" i="62"/>
  <c r="AA162" i="62" a="1"/>
  <c r="AA162" i="62" s="1"/>
  <c r="Y162" i="62"/>
  <c r="T162" i="62"/>
  <c r="Q162" i="62"/>
  <c r="X162" i="62"/>
  <c r="Z163" i="62" a="1"/>
  <c r="Z163" i="62" s="1"/>
  <c r="P163" i="62"/>
  <c r="AA163" i="62" a="1"/>
  <c r="AA163" i="62" s="1"/>
  <c r="Y163" i="62"/>
  <c r="T163" i="62"/>
  <c r="Q163" i="62"/>
  <c r="X163" i="62"/>
  <c r="Z164" i="62" a="1"/>
  <c r="Z164" i="62" s="1"/>
  <c r="P164" i="62"/>
  <c r="AA164" i="62" a="1"/>
  <c r="AA164" i="62" s="1"/>
  <c r="Y164" i="62"/>
  <c r="T164" i="62"/>
  <c r="Q164" i="62"/>
  <c r="X164" i="62"/>
  <c r="Z165" i="62" a="1"/>
  <c r="Z165" i="62" s="1"/>
  <c r="P165" i="62"/>
  <c r="AA165" i="62" a="1"/>
  <c r="AA165" i="62" s="1"/>
  <c r="Y165" i="62"/>
  <c r="T165" i="62"/>
  <c r="Q165" i="62"/>
  <c r="X165" i="62"/>
  <c r="Z166" i="62" a="1"/>
  <c r="Z166" i="62" s="1"/>
  <c r="P166" i="62"/>
  <c r="AA166" i="62" a="1"/>
  <c r="AA166" i="62" s="1"/>
  <c r="Y166" i="62"/>
  <c r="T166" i="62"/>
  <c r="Q166" i="62"/>
  <c r="X166" i="62"/>
  <c r="Z167" i="62" a="1"/>
  <c r="Z167" i="62" s="1"/>
  <c r="P167" i="62"/>
  <c r="AA167" i="62" a="1"/>
  <c r="AA167" i="62" s="1"/>
  <c r="Y167" i="62"/>
  <c r="T167" i="62"/>
  <c r="Q167" i="62"/>
  <c r="X167" i="62"/>
  <c r="Z168" i="62" a="1"/>
  <c r="Z168" i="62" s="1"/>
  <c r="P168" i="62"/>
  <c r="AA168" i="62" a="1"/>
  <c r="AA168" i="62" s="1"/>
  <c r="Y168" i="62"/>
  <c r="T168" i="62"/>
  <c r="Q168" i="62"/>
  <c r="X168" i="62"/>
  <c r="Z169" i="62" a="1"/>
  <c r="Z169" i="62" s="1"/>
  <c r="P169" i="62"/>
  <c r="AA169" i="62" a="1"/>
  <c r="AA169" i="62" s="1"/>
  <c r="Y169" i="62"/>
  <c r="T169" i="62"/>
  <c r="Q169" i="62"/>
  <c r="X169" i="62"/>
  <c r="Z132" i="62" a="1"/>
  <c r="Z132" i="62" s="1"/>
  <c r="P132" i="62"/>
  <c r="AA132" i="62" a="1"/>
  <c r="AA132" i="62" s="1"/>
  <c r="Y132" i="62"/>
  <c r="T132" i="62"/>
  <c r="Q132" i="62"/>
  <c r="Z3" i="62" a="1"/>
  <c r="Z3" i="62" s="1"/>
  <c r="P3" i="62"/>
  <c r="AA3" i="62" a="1"/>
  <c r="AA3" i="62" s="1"/>
  <c r="Y3" i="62"/>
  <c r="T3" i="62"/>
  <c r="X3" i="62"/>
  <c r="Z4" i="62" a="1"/>
  <c r="Z4" i="62" s="1"/>
  <c r="P4" i="62"/>
  <c r="AA4" i="62" a="1"/>
  <c r="AA4" i="62" s="1"/>
  <c r="Y4" i="62"/>
  <c r="T4" i="62"/>
  <c r="X4" i="62"/>
  <c r="Z5" i="62" a="1"/>
  <c r="Z5" i="62" s="1"/>
  <c r="P5" i="62"/>
  <c r="AA5" i="62" a="1"/>
  <c r="AA5" i="62" s="1"/>
  <c r="Y5" i="62"/>
  <c r="T5" i="62"/>
  <c r="X5" i="62"/>
  <c r="Z6" i="62" a="1"/>
  <c r="Z6" i="62" s="1"/>
  <c r="P6" i="62"/>
  <c r="AA6" i="62" a="1"/>
  <c r="AA6" i="62" s="1"/>
  <c r="Y6" i="62"/>
  <c r="T6" i="62"/>
  <c r="X6" i="62"/>
  <c r="Z7" i="62" a="1"/>
  <c r="Z7" i="62" s="1"/>
  <c r="P7" i="62"/>
  <c r="AA7" i="62" a="1"/>
  <c r="AA7" i="62" s="1"/>
  <c r="Y7" i="62"/>
  <c r="T7" i="62"/>
  <c r="X7" i="62"/>
  <c r="Z8" i="62" a="1"/>
  <c r="Z8" i="62" s="1"/>
  <c r="P8" i="62"/>
  <c r="AA8" i="62" a="1"/>
  <c r="AA8" i="62" s="1"/>
  <c r="Y8" i="62"/>
  <c r="T8" i="62"/>
  <c r="X8" i="62"/>
  <c r="Z9" i="62" a="1"/>
  <c r="Z9" i="62" s="1"/>
  <c r="P9" i="62"/>
  <c r="AA9" i="62" a="1"/>
  <c r="AA9" i="62" s="1"/>
  <c r="Y9" i="62"/>
  <c r="T9" i="62"/>
  <c r="X9" i="62"/>
  <c r="Z10" i="62" a="1"/>
  <c r="Z10" i="62" s="1"/>
  <c r="P10" i="62"/>
  <c r="AA10" i="62" a="1"/>
  <c r="AA10" i="62" s="1"/>
  <c r="Y10" i="62"/>
  <c r="T10" i="62"/>
  <c r="X10" i="62"/>
  <c r="Z11" i="62" a="1"/>
  <c r="Z11" i="62" s="1"/>
  <c r="P11" i="62"/>
  <c r="AA11" i="62" a="1"/>
  <c r="AA11" i="62" s="1"/>
  <c r="Y11" i="62"/>
  <c r="T11" i="62"/>
  <c r="X11" i="62"/>
  <c r="Z12" i="62" a="1"/>
  <c r="Z12" i="62" s="1"/>
  <c r="P12" i="62"/>
  <c r="AA12" i="62" a="1"/>
  <c r="AA12" i="62" s="1"/>
  <c r="Y12" i="62"/>
  <c r="T12" i="62"/>
  <c r="X12" i="62"/>
  <c r="Z13" i="62" a="1"/>
  <c r="Z13" i="62" s="1"/>
  <c r="P13" i="62"/>
  <c r="AA13" i="62" a="1"/>
  <c r="AA13" i="62" s="1"/>
  <c r="Y13" i="62"/>
  <c r="T13" i="62"/>
  <c r="X13" i="62"/>
  <c r="Z14" i="62" a="1"/>
  <c r="Z14" i="62" s="1"/>
  <c r="P14" i="62"/>
  <c r="AA14" i="62" a="1"/>
  <c r="AA14" i="62" s="1"/>
  <c r="Y14" i="62"/>
  <c r="T14" i="62"/>
  <c r="X14" i="62"/>
  <c r="Z15" i="62" a="1"/>
  <c r="Z15" i="62" s="1"/>
  <c r="P15" i="62"/>
  <c r="AA15" i="62" a="1"/>
  <c r="AA15" i="62" s="1"/>
  <c r="Y15" i="62"/>
  <c r="T15" i="62"/>
  <c r="X15" i="62"/>
  <c r="Z16" i="62" a="1"/>
  <c r="Z16" i="62" s="1"/>
  <c r="P16" i="62"/>
  <c r="AA16" i="62" a="1"/>
  <c r="AA16" i="62" s="1"/>
  <c r="Y16" i="62"/>
  <c r="T16" i="62"/>
  <c r="X16" i="62"/>
  <c r="Z17" i="62" a="1"/>
  <c r="Z17" i="62" s="1"/>
  <c r="P17" i="62"/>
  <c r="AA17" i="62" a="1"/>
  <c r="AA17" i="62" s="1"/>
  <c r="Y17" i="62"/>
  <c r="T17" i="62"/>
  <c r="X17" i="62"/>
  <c r="Z18" i="62" a="1"/>
  <c r="Z18" i="62" s="1"/>
  <c r="P18" i="62"/>
  <c r="AA18" i="62" a="1"/>
  <c r="AA18" i="62" s="1"/>
  <c r="Y18" i="62"/>
  <c r="T18" i="62"/>
  <c r="X18" i="62"/>
  <c r="Z19" i="62" a="1"/>
  <c r="Z19" i="62" s="1"/>
  <c r="P19" i="62"/>
  <c r="AA19" i="62" a="1"/>
  <c r="AA19" i="62" s="1"/>
  <c r="Y19" i="62"/>
  <c r="T19" i="62"/>
  <c r="X19" i="62"/>
  <c r="Z20" i="62" a="1"/>
  <c r="Z20" i="62" s="1"/>
  <c r="P20" i="62"/>
  <c r="AA20" i="62" a="1"/>
  <c r="AA20" i="62" s="1"/>
  <c r="Y20" i="62"/>
  <c r="T20" i="62"/>
  <c r="X20" i="62"/>
  <c r="Z21" i="62" a="1"/>
  <c r="Z21" i="62" s="1"/>
  <c r="P21" i="62"/>
  <c r="AA21" i="62" a="1"/>
  <c r="AA21" i="62" s="1"/>
  <c r="Y21" i="62"/>
  <c r="T21" i="62"/>
  <c r="X21" i="62"/>
  <c r="Z22" i="62" a="1"/>
  <c r="Z22" i="62" s="1"/>
  <c r="P22" i="62"/>
  <c r="AA22" i="62" a="1"/>
  <c r="AA22" i="62" s="1"/>
  <c r="Y22" i="62"/>
  <c r="T22" i="62"/>
  <c r="X22" i="62"/>
  <c r="Z23" i="62" a="1"/>
  <c r="Z23" i="62" s="1"/>
  <c r="P23" i="62"/>
  <c r="AA23" i="62" a="1"/>
  <c r="AA23" i="62" s="1"/>
  <c r="Y23" i="62"/>
  <c r="T23" i="62"/>
  <c r="X23" i="62"/>
  <c r="Z24" i="62" a="1"/>
  <c r="Z24" i="62" s="1"/>
  <c r="P24" i="62"/>
  <c r="AA24" i="62" a="1"/>
  <c r="AA24" i="62" s="1"/>
  <c r="Y24" i="62"/>
  <c r="T24" i="62"/>
  <c r="X24" i="62"/>
  <c r="Z25" i="62" a="1"/>
  <c r="Z25" i="62" s="1"/>
  <c r="P25" i="62"/>
  <c r="AA25" i="62" a="1"/>
  <c r="AA25" i="62" s="1"/>
  <c r="Y25" i="62"/>
  <c r="T25" i="62"/>
  <c r="X25" i="62"/>
  <c r="Z26" i="62" a="1"/>
  <c r="Z26" i="62" s="1"/>
  <c r="P26" i="62"/>
  <c r="AA26" i="62" a="1"/>
  <c r="AA26" i="62" s="1"/>
  <c r="Y26" i="62"/>
  <c r="T26" i="62"/>
  <c r="X26" i="62"/>
  <c r="Z27" i="62" a="1"/>
  <c r="Z27" i="62" s="1"/>
  <c r="P27" i="62"/>
  <c r="AA27" i="62" a="1"/>
  <c r="AA27" i="62" s="1"/>
  <c r="Y27" i="62"/>
  <c r="T27" i="62"/>
  <c r="X27" i="62"/>
  <c r="Z28" i="62" a="1"/>
  <c r="Z28" i="62" s="1"/>
  <c r="P28" i="62"/>
  <c r="AA28" i="62" a="1"/>
  <c r="AA28" i="62" s="1"/>
  <c r="Y28" i="62"/>
  <c r="T28" i="62"/>
  <c r="X28" i="62"/>
  <c r="Z29" i="62" a="1"/>
  <c r="Z29" i="62" s="1"/>
  <c r="P29" i="62"/>
  <c r="AA29" i="62" a="1"/>
  <c r="AA29" i="62" s="1"/>
  <c r="Y29" i="62"/>
  <c r="T29" i="62"/>
  <c r="X29" i="62"/>
  <c r="Z30" i="62" a="1"/>
  <c r="Z30" i="62" s="1"/>
  <c r="P30" i="62"/>
  <c r="AA30" i="62" a="1"/>
  <c r="AA30" i="62" s="1"/>
  <c r="Y30" i="62"/>
  <c r="T30" i="62"/>
  <c r="X30" i="62"/>
  <c r="Z31" i="62" a="1"/>
  <c r="Z31" i="62" s="1"/>
  <c r="P31" i="62"/>
  <c r="AA31" i="62" a="1"/>
  <c r="AA31" i="62" s="1"/>
  <c r="Y31" i="62"/>
  <c r="T31" i="62"/>
  <c r="X31" i="62"/>
  <c r="Z32" i="62" a="1"/>
  <c r="Z32" i="62" s="1"/>
  <c r="P32" i="62"/>
  <c r="AA32" i="62" a="1"/>
  <c r="AA32" i="62" s="1"/>
  <c r="Y32" i="62"/>
  <c r="T32" i="62"/>
  <c r="X32" i="62"/>
  <c r="Z33" i="62" a="1"/>
  <c r="Z33" i="62" s="1"/>
  <c r="P33" i="62"/>
  <c r="AA33" i="62" a="1"/>
  <c r="AA33" i="62" s="1"/>
  <c r="Y33" i="62"/>
  <c r="T33" i="62"/>
  <c r="X33" i="62"/>
  <c r="Z34" i="62" a="1"/>
  <c r="Z34" i="62" s="1"/>
  <c r="P34" i="62"/>
  <c r="AA34" i="62" a="1"/>
  <c r="AA34" i="62" s="1"/>
  <c r="Y34" i="62"/>
  <c r="T34" i="62"/>
  <c r="X34" i="62"/>
  <c r="Z35" i="62" a="1"/>
  <c r="Z35" i="62" s="1"/>
  <c r="P35" i="62"/>
  <c r="AA35" i="62" a="1"/>
  <c r="AA35" i="62" s="1"/>
  <c r="Y35" i="62"/>
  <c r="T35" i="62"/>
  <c r="X35" i="62"/>
  <c r="Z36" i="62" a="1"/>
  <c r="Z36" i="62" s="1"/>
  <c r="P36" i="62"/>
  <c r="AA36" i="62" a="1"/>
  <c r="AA36" i="62" s="1"/>
  <c r="Y36" i="62"/>
  <c r="T36" i="62"/>
  <c r="X36" i="62"/>
  <c r="Z37" i="62" a="1"/>
  <c r="Z37" i="62" s="1"/>
  <c r="P37" i="62"/>
  <c r="AA37" i="62" a="1"/>
  <c r="AA37" i="62" s="1"/>
  <c r="Y37" i="62"/>
  <c r="T37" i="62"/>
  <c r="X37" i="62"/>
  <c r="Z38" i="62" a="1"/>
  <c r="Z38" i="62" s="1"/>
  <c r="P38" i="62"/>
  <c r="AA38" i="62" a="1"/>
  <c r="AA38" i="62" s="1"/>
  <c r="Y38" i="62"/>
  <c r="T38" i="62"/>
  <c r="X38" i="62"/>
  <c r="Z39" i="62" a="1"/>
  <c r="Z39" i="62" s="1"/>
  <c r="P39" i="62"/>
  <c r="AA39" i="62" a="1"/>
  <c r="AA39" i="62" s="1"/>
  <c r="Y39" i="62"/>
  <c r="T39" i="62"/>
  <c r="X39" i="62"/>
  <c r="Z40" i="62" a="1"/>
  <c r="Z40" i="62" s="1"/>
  <c r="P40" i="62"/>
  <c r="AA40" i="62" a="1"/>
  <c r="AA40" i="62" s="1"/>
  <c r="Y40" i="62"/>
  <c r="T40" i="62"/>
  <c r="X40" i="62"/>
  <c r="Z41" i="62" a="1"/>
  <c r="Z41" i="62" s="1"/>
  <c r="P41" i="62"/>
  <c r="AA41" i="62" a="1"/>
  <c r="AA41" i="62" s="1"/>
  <c r="Y41" i="62"/>
  <c r="T41" i="62"/>
  <c r="X41" i="62"/>
  <c r="Z42" i="62" a="1"/>
  <c r="Z42" i="62" s="1"/>
  <c r="P42" i="62"/>
  <c r="AA42" i="62" a="1"/>
  <c r="AA42" i="62" s="1"/>
  <c r="Y42" i="62"/>
  <c r="T42" i="62"/>
  <c r="X42" i="62"/>
  <c r="Z43" i="62" a="1"/>
  <c r="Z43" i="62" s="1"/>
  <c r="P43" i="62"/>
  <c r="AA43" i="62" a="1"/>
  <c r="AA43" i="62" s="1"/>
  <c r="Y43" i="62"/>
  <c r="T43" i="62"/>
  <c r="X43" i="62"/>
  <c r="Z44" i="62" a="1"/>
  <c r="Z44" i="62" s="1"/>
  <c r="P44" i="62"/>
  <c r="AA44" i="62" a="1"/>
  <c r="AA44" i="62" s="1"/>
  <c r="Y44" i="62"/>
  <c r="T44" i="62"/>
  <c r="X44" i="62"/>
  <c r="Z45" i="62" a="1"/>
  <c r="Z45" i="62" s="1"/>
  <c r="P45" i="62"/>
  <c r="AA45" i="62" a="1"/>
  <c r="AA45" i="62" s="1"/>
  <c r="Y45" i="62"/>
  <c r="T45" i="62"/>
  <c r="X45" i="62"/>
  <c r="Z46" i="62" a="1"/>
  <c r="Z46" i="62" s="1"/>
  <c r="P46" i="62"/>
  <c r="AA46" i="62" a="1"/>
  <c r="AA46" i="62" s="1"/>
  <c r="Y46" i="62"/>
  <c r="T46" i="62"/>
  <c r="X46" i="62"/>
  <c r="Z47" i="62" a="1"/>
  <c r="Z47" i="62" s="1"/>
  <c r="P47" i="62"/>
  <c r="AA47" i="62" a="1"/>
  <c r="AA47" i="62" s="1"/>
  <c r="Y47" i="62"/>
  <c r="T47" i="62"/>
  <c r="X47" i="62"/>
  <c r="Z48" i="62" a="1"/>
  <c r="Z48" i="62" s="1"/>
  <c r="P48" i="62"/>
  <c r="AA48" i="62" a="1"/>
  <c r="AA48" i="62" s="1"/>
  <c r="Y48" i="62"/>
  <c r="T48" i="62"/>
  <c r="X48" i="62"/>
  <c r="Z49" i="62" a="1"/>
  <c r="Z49" i="62" s="1"/>
  <c r="P49" i="62"/>
  <c r="AA49" i="62" a="1"/>
  <c r="AA49" i="62" s="1"/>
  <c r="Y49" i="62"/>
  <c r="T49" i="62"/>
  <c r="X49" i="62"/>
  <c r="Z50" i="62" a="1"/>
  <c r="Z50" i="62" s="1"/>
  <c r="P50" i="62"/>
  <c r="AA50" i="62" a="1"/>
  <c r="AA50" i="62" s="1"/>
  <c r="Y50" i="62"/>
  <c r="T50" i="62"/>
  <c r="X50" i="62"/>
  <c r="Z51" i="62" a="1"/>
  <c r="Z51" i="62" s="1"/>
  <c r="P51" i="62"/>
  <c r="AA51" i="62" a="1"/>
  <c r="AA51" i="62" s="1"/>
  <c r="Y51" i="62"/>
  <c r="T51" i="62"/>
  <c r="X51" i="62"/>
  <c r="Z52" i="62" a="1"/>
  <c r="Z52" i="62" s="1"/>
  <c r="P52" i="62"/>
  <c r="AA52" i="62" a="1"/>
  <c r="AA52" i="62" s="1"/>
  <c r="Y52" i="62"/>
  <c r="T52" i="62"/>
  <c r="Q52" i="62"/>
  <c r="X52" i="62"/>
  <c r="Z53" i="62" a="1"/>
  <c r="Z53" i="62" s="1"/>
  <c r="P53" i="62"/>
  <c r="AA53" i="62" a="1"/>
  <c r="AA53" i="62" s="1"/>
  <c r="Y53" i="62"/>
  <c r="T53" i="62"/>
  <c r="Q53" i="62"/>
  <c r="X53" i="62"/>
  <c r="Z54" i="62" a="1"/>
  <c r="Z54" i="62" s="1"/>
  <c r="P54" i="62"/>
  <c r="AA54" i="62" a="1"/>
  <c r="AA54" i="62" s="1"/>
  <c r="Y54" i="62"/>
  <c r="T54" i="62"/>
  <c r="Q54" i="62"/>
  <c r="X54" i="62"/>
  <c r="Z55" i="62" a="1"/>
  <c r="Z55" i="62" s="1"/>
  <c r="P55" i="62"/>
  <c r="AA55" i="62" a="1"/>
  <c r="AA55" i="62" s="1"/>
  <c r="Y55" i="62"/>
  <c r="T55" i="62"/>
  <c r="Q55" i="62"/>
  <c r="Z56" i="62" a="1"/>
  <c r="Z56" i="62" s="1"/>
  <c r="P56" i="62"/>
  <c r="AA56" i="62" a="1"/>
  <c r="AA56" i="62" s="1"/>
  <c r="Y56" i="62"/>
  <c r="T56" i="62"/>
  <c r="Q56" i="62"/>
  <c r="X56" i="62"/>
  <c r="Z57" i="62" a="1"/>
  <c r="Z57" i="62" s="1"/>
  <c r="P57" i="62"/>
  <c r="AA57" i="62" a="1"/>
  <c r="AA57" i="62" s="1"/>
  <c r="Y57" i="62"/>
  <c r="T57" i="62"/>
  <c r="Q57" i="62"/>
  <c r="X57" i="62"/>
  <c r="Z58" i="62" a="1"/>
  <c r="Z58" i="62" s="1"/>
  <c r="P58" i="62"/>
  <c r="AA58" i="62" a="1"/>
  <c r="AA58" i="62" s="1"/>
  <c r="Y58" i="62"/>
  <c r="T58" i="62"/>
  <c r="Q58" i="62"/>
  <c r="X58" i="62"/>
  <c r="Z59" i="62" a="1"/>
  <c r="Z59" i="62" s="1"/>
  <c r="P59" i="62"/>
  <c r="AA59" i="62" a="1"/>
  <c r="AA59" i="62" s="1"/>
  <c r="Y59" i="62"/>
  <c r="T59" i="62"/>
  <c r="Q59" i="62"/>
  <c r="Z60" i="62" a="1"/>
  <c r="Z60" i="62" s="1"/>
  <c r="P60" i="62"/>
  <c r="AA60" i="62" a="1"/>
  <c r="AA60" i="62" s="1"/>
  <c r="Y60" i="62"/>
  <c r="T60" i="62"/>
  <c r="Q60" i="62"/>
  <c r="X60" i="62"/>
  <c r="Z61" i="62" a="1"/>
  <c r="Z61" i="62" s="1"/>
  <c r="P61" i="62"/>
  <c r="AA61" i="62" a="1"/>
  <c r="AA61" i="62" s="1"/>
  <c r="Y61" i="62"/>
  <c r="T61" i="62"/>
  <c r="Q61" i="62"/>
  <c r="X61" i="62"/>
  <c r="Z62" i="62" a="1"/>
  <c r="Z62" i="62" s="1"/>
  <c r="P62" i="62"/>
  <c r="AA62" i="62" a="1"/>
  <c r="AA62" i="62" s="1"/>
  <c r="Y62" i="62"/>
  <c r="T62" i="62"/>
  <c r="Q62" i="62"/>
  <c r="X62" i="62"/>
  <c r="Z63" i="62" a="1"/>
  <c r="Z63" i="62" s="1"/>
  <c r="P63" i="62"/>
  <c r="AA63" i="62" a="1"/>
  <c r="AA63" i="62" s="1"/>
  <c r="Y63" i="62"/>
  <c r="T63" i="62"/>
  <c r="Q63" i="62"/>
  <c r="Z64" i="62" a="1"/>
  <c r="Z64" i="62" s="1"/>
  <c r="P64" i="62"/>
  <c r="AA64" i="62" a="1"/>
  <c r="AA64" i="62" s="1"/>
  <c r="Y64" i="62"/>
  <c r="T64" i="62"/>
  <c r="Q64" i="62"/>
  <c r="X64" i="62"/>
  <c r="Z65" i="62" a="1"/>
  <c r="Z65" i="62" s="1"/>
  <c r="P65" i="62"/>
  <c r="AA65" i="62" a="1"/>
  <c r="AA65" i="62" s="1"/>
  <c r="Y65" i="62"/>
  <c r="T65" i="62"/>
  <c r="Q65" i="62"/>
  <c r="X65" i="62"/>
  <c r="Z66" i="62" a="1"/>
  <c r="Z66" i="62" s="1"/>
  <c r="P66" i="62"/>
  <c r="AA66" i="62" a="1"/>
  <c r="AA66" i="62" s="1"/>
  <c r="Y66" i="62"/>
  <c r="T66" i="62"/>
  <c r="Q66" i="62"/>
  <c r="Z67" i="62" a="1"/>
  <c r="Z67" i="62" s="1"/>
  <c r="P67" i="62"/>
  <c r="AA67" i="62" a="1"/>
  <c r="AA67" i="62" s="1"/>
  <c r="Y67" i="62"/>
  <c r="T67" i="62"/>
  <c r="Q67" i="62"/>
  <c r="Z68" i="62" a="1"/>
  <c r="Z68" i="62" s="1"/>
  <c r="P68" i="62"/>
  <c r="AA68" i="62" a="1"/>
  <c r="AA68" i="62" s="1"/>
  <c r="Y68" i="62"/>
  <c r="T68" i="62"/>
  <c r="Q68" i="62"/>
  <c r="X68" i="62"/>
  <c r="Z69" i="62" a="1"/>
  <c r="Z69" i="62" s="1"/>
  <c r="P69" i="62"/>
  <c r="AA69" i="62" a="1"/>
  <c r="AA69" i="62" s="1"/>
  <c r="Y69" i="62"/>
  <c r="T69" i="62"/>
  <c r="Q69" i="62"/>
  <c r="X69" i="62"/>
  <c r="Z70" i="62" a="1"/>
  <c r="Z70" i="62" s="1"/>
  <c r="P70" i="62"/>
  <c r="AA70" i="62" a="1"/>
  <c r="AA70" i="62" s="1"/>
  <c r="Y70" i="62"/>
  <c r="T70" i="62"/>
  <c r="Q70" i="62"/>
  <c r="X70" i="62"/>
  <c r="Z71" i="62" a="1"/>
  <c r="Z71" i="62" s="1"/>
  <c r="P71" i="62"/>
  <c r="AA71" i="62" a="1"/>
  <c r="AA71" i="62" s="1"/>
  <c r="Y71" i="62"/>
  <c r="T71" i="62"/>
  <c r="Z72" i="62" a="1"/>
  <c r="Z72" i="62" s="1"/>
  <c r="P72" i="62"/>
  <c r="AA72" i="62" a="1"/>
  <c r="AA72" i="62" s="1"/>
  <c r="Y72" i="62"/>
  <c r="T72" i="62"/>
  <c r="Q72" i="62"/>
  <c r="X72" i="62"/>
  <c r="Z73" i="62" a="1"/>
  <c r="Z73" i="62" s="1"/>
  <c r="P73" i="62"/>
  <c r="AA73" i="62" a="1"/>
  <c r="AA73" i="62" s="1"/>
  <c r="Y73" i="62"/>
  <c r="T73" i="62"/>
  <c r="Q73" i="62"/>
  <c r="X73" i="62"/>
  <c r="Z74" i="62" a="1"/>
  <c r="Z74" i="62" s="1"/>
  <c r="P74" i="62"/>
  <c r="AA74" i="62" a="1"/>
  <c r="AA74" i="62" s="1"/>
  <c r="Y74" i="62"/>
  <c r="T74" i="62"/>
  <c r="Q74" i="62"/>
  <c r="Z75" i="62" a="1"/>
  <c r="Z75" i="62" s="1"/>
  <c r="P75" i="62"/>
  <c r="AA75" i="62" a="1"/>
  <c r="AA75" i="62" s="1"/>
  <c r="Y75" i="62"/>
  <c r="T75" i="62"/>
  <c r="Q75" i="62"/>
  <c r="Z76" i="62" a="1"/>
  <c r="Z76" i="62" s="1"/>
  <c r="P76" i="62"/>
  <c r="AA76" i="62" a="1"/>
  <c r="AA76" i="62" s="1"/>
  <c r="Y76" i="62"/>
  <c r="T76" i="62"/>
  <c r="Q76" i="62"/>
  <c r="X76" i="62"/>
  <c r="Z77" i="62" a="1"/>
  <c r="Z77" i="62" s="1"/>
  <c r="P77" i="62"/>
  <c r="AA77" i="62" a="1"/>
  <c r="AA77" i="62" s="1"/>
  <c r="Y77" i="62"/>
  <c r="T77" i="62"/>
  <c r="Q77" i="62"/>
  <c r="X77" i="62"/>
  <c r="Z78" i="62" a="1"/>
  <c r="Z78" i="62" s="1"/>
  <c r="P78" i="62"/>
  <c r="AA78" i="62" a="1"/>
  <c r="AA78" i="62" s="1"/>
  <c r="Y78" i="62"/>
  <c r="T78" i="62"/>
  <c r="Q78" i="62"/>
  <c r="Z79" i="62" a="1"/>
  <c r="Z79" i="62" s="1"/>
  <c r="P79" i="62"/>
  <c r="AA79" i="62" a="1"/>
  <c r="AA79" i="62" s="1"/>
  <c r="Y79" i="62"/>
  <c r="T79" i="62"/>
  <c r="Q79" i="62"/>
  <c r="Z80" i="62" a="1"/>
  <c r="Z80" i="62" s="1"/>
  <c r="P80" i="62"/>
  <c r="AA80" i="62" a="1"/>
  <c r="AA80" i="62" s="1"/>
  <c r="Y80" i="62"/>
  <c r="T80" i="62"/>
  <c r="Q80" i="62"/>
  <c r="X80" i="62"/>
  <c r="Z81" i="62" a="1"/>
  <c r="Z81" i="62" s="1"/>
  <c r="P81" i="62"/>
  <c r="AA81" i="62" a="1"/>
  <c r="AA81" i="62" s="1"/>
  <c r="Y81" i="62"/>
  <c r="T81" i="62"/>
  <c r="Q81" i="62"/>
  <c r="X81" i="62"/>
  <c r="Z82" i="62" a="1"/>
  <c r="Z82" i="62" s="1"/>
  <c r="P82" i="62"/>
  <c r="AA82" i="62" a="1"/>
  <c r="AA82" i="62" s="1"/>
  <c r="Y82" i="62"/>
  <c r="T82" i="62"/>
  <c r="Q82" i="62"/>
  <c r="Z83" i="62" a="1"/>
  <c r="Z83" i="62" s="1"/>
  <c r="P83" i="62"/>
  <c r="AA83" i="62" a="1"/>
  <c r="AA83" i="62" s="1"/>
  <c r="Y83" i="62"/>
  <c r="T83" i="62"/>
  <c r="Q83" i="62"/>
  <c r="Z84" i="62" a="1"/>
  <c r="Z84" i="62" s="1"/>
  <c r="P84" i="62"/>
  <c r="AA84" i="62" a="1"/>
  <c r="AA84" i="62" s="1"/>
  <c r="Y84" i="62"/>
  <c r="T84" i="62"/>
  <c r="Q84" i="62"/>
  <c r="X84" i="62"/>
  <c r="Z85" i="62" a="1"/>
  <c r="Z85" i="62" s="1"/>
  <c r="P85" i="62"/>
  <c r="AA85" i="62" a="1"/>
  <c r="AA85" i="62" s="1"/>
  <c r="Y85" i="62"/>
  <c r="T85" i="62"/>
  <c r="Q85" i="62"/>
  <c r="Z86" i="62" a="1"/>
  <c r="Z86" i="62" s="1"/>
  <c r="P86" i="62"/>
  <c r="AA86" i="62" a="1"/>
  <c r="AA86" i="62" s="1"/>
  <c r="Y86" i="62"/>
  <c r="T86" i="62"/>
  <c r="Q86" i="62"/>
  <c r="Z87" i="62" a="1"/>
  <c r="Z87" i="62" s="1"/>
  <c r="P87" i="62"/>
  <c r="AA87" i="62" a="1"/>
  <c r="AA87" i="62" s="1"/>
  <c r="Y87" i="62"/>
  <c r="T87" i="62"/>
  <c r="Q87" i="62"/>
  <c r="Z88" i="62" a="1"/>
  <c r="Z88" i="62" s="1"/>
  <c r="P88" i="62"/>
  <c r="AA88" i="62" a="1"/>
  <c r="AA88" i="62" s="1"/>
  <c r="Y88" i="62"/>
  <c r="T88" i="62"/>
  <c r="Q88" i="62"/>
  <c r="X88" i="62"/>
  <c r="Z89" i="62" a="1"/>
  <c r="Z89" i="62" s="1"/>
  <c r="P89" i="62"/>
  <c r="AA89" i="62" a="1"/>
  <c r="AA89" i="62" s="1"/>
  <c r="Y89" i="62"/>
  <c r="T89" i="62"/>
  <c r="Q89" i="62"/>
  <c r="X89" i="62"/>
  <c r="Z90" i="62" a="1"/>
  <c r="Z90" i="62" s="1"/>
  <c r="P90" i="62"/>
  <c r="AA90" i="62" a="1"/>
  <c r="AA90" i="62" s="1"/>
  <c r="Y90" i="62"/>
  <c r="T90" i="62"/>
  <c r="Q90" i="62"/>
  <c r="Z91" i="62" a="1"/>
  <c r="Z91" i="62" s="1"/>
  <c r="P91" i="62"/>
  <c r="AA91" i="62" a="1"/>
  <c r="AA91" i="62" s="1"/>
  <c r="Y91" i="62"/>
  <c r="T91" i="62"/>
  <c r="Q91" i="62"/>
  <c r="Z92" i="62" a="1"/>
  <c r="Z92" i="62" s="1"/>
  <c r="P92" i="62"/>
  <c r="AA92" i="62" a="1"/>
  <c r="AA92" i="62" s="1"/>
  <c r="Y92" i="62"/>
  <c r="T92" i="62"/>
  <c r="Q92" i="62"/>
  <c r="X92" i="62"/>
  <c r="Z93" i="62" a="1"/>
  <c r="Z93" i="62" s="1"/>
  <c r="P93" i="62"/>
  <c r="AA93" i="62" a="1"/>
  <c r="AA93" i="62" s="1"/>
  <c r="Y93" i="62"/>
  <c r="T93" i="62"/>
  <c r="Q93" i="62"/>
  <c r="X93" i="62"/>
  <c r="Z94" i="62" a="1"/>
  <c r="Z94" i="62" s="1"/>
  <c r="P94" i="62"/>
  <c r="AA94" i="62" a="1"/>
  <c r="AA94" i="62" s="1"/>
  <c r="Y94" i="62"/>
  <c r="T94" i="62"/>
  <c r="Q94" i="62"/>
  <c r="Z95" i="62" a="1"/>
  <c r="Z95" i="62" s="1"/>
  <c r="P95" i="62"/>
  <c r="AA95" i="62" a="1"/>
  <c r="AA95" i="62" s="1"/>
  <c r="Y95" i="62"/>
  <c r="T95" i="62"/>
  <c r="Q95" i="62"/>
  <c r="Z96" i="62" a="1"/>
  <c r="Z96" i="62" s="1"/>
  <c r="P96" i="62"/>
  <c r="AA96" i="62" a="1"/>
  <c r="AA96" i="62" s="1"/>
  <c r="Y96" i="62"/>
  <c r="T96" i="62"/>
  <c r="Q96" i="62"/>
  <c r="X96" i="62"/>
  <c r="Z97" i="62" a="1"/>
  <c r="Z97" i="62" s="1"/>
  <c r="P97" i="62"/>
  <c r="AA97" i="62" a="1"/>
  <c r="AA97" i="62" s="1"/>
  <c r="Y97" i="62"/>
  <c r="T97" i="62"/>
  <c r="Q97" i="62"/>
  <c r="X97" i="62"/>
  <c r="Z98" i="62" a="1"/>
  <c r="Z98" i="62" s="1"/>
  <c r="P98" i="62"/>
  <c r="AA98" i="62" a="1"/>
  <c r="AA98" i="62" s="1"/>
  <c r="Y98" i="62"/>
  <c r="T98" i="62"/>
  <c r="Q98" i="62"/>
  <c r="Z99" i="62" a="1"/>
  <c r="Z99" i="62" s="1"/>
  <c r="P99" i="62"/>
  <c r="AA99" i="62" a="1"/>
  <c r="AA99" i="62" s="1"/>
  <c r="Y99" i="62"/>
  <c r="T99" i="62"/>
  <c r="Q99" i="62"/>
  <c r="Z100" i="62" a="1"/>
  <c r="Z100" i="62" s="1"/>
  <c r="P100" i="62"/>
  <c r="AA100" i="62" a="1"/>
  <c r="AA100" i="62" s="1"/>
  <c r="Y100" i="62"/>
  <c r="T100" i="62"/>
  <c r="Q100" i="62"/>
  <c r="X100" i="62"/>
  <c r="Z101" i="62" a="1"/>
  <c r="Z101" i="62" s="1"/>
  <c r="P101" i="62"/>
  <c r="AA101" i="62" a="1"/>
  <c r="AA101" i="62" s="1"/>
  <c r="Y101" i="62"/>
  <c r="T101" i="62"/>
  <c r="Q101" i="62"/>
  <c r="Z102" i="62" a="1"/>
  <c r="Z102" i="62" s="1"/>
  <c r="P102" i="62"/>
  <c r="AA102" i="62" a="1"/>
  <c r="AA102" i="62" s="1"/>
  <c r="Y102" i="62"/>
  <c r="T102" i="62"/>
  <c r="Q102" i="62"/>
  <c r="Z103" i="62" a="1"/>
  <c r="Z103" i="62" s="1"/>
  <c r="P103" i="62"/>
  <c r="AA103" i="62" a="1"/>
  <c r="AA103" i="62" s="1"/>
  <c r="Y103" i="62"/>
  <c r="T103" i="62"/>
  <c r="Q103" i="62"/>
  <c r="Z104" i="62" a="1"/>
  <c r="Z104" i="62" s="1"/>
  <c r="P104" i="62"/>
  <c r="AA104" i="62" a="1"/>
  <c r="AA104" i="62" s="1"/>
  <c r="Y104" i="62"/>
  <c r="T104" i="62"/>
  <c r="Q104" i="62"/>
  <c r="X104" i="62"/>
  <c r="Z105" i="62" a="1"/>
  <c r="Z105" i="62" s="1"/>
  <c r="P105" i="62"/>
  <c r="AA105" i="62" a="1"/>
  <c r="AA105" i="62" s="1"/>
  <c r="Y105" i="62"/>
  <c r="T105" i="62"/>
  <c r="Q105" i="62"/>
  <c r="X105" i="62"/>
  <c r="Z106" i="62" a="1"/>
  <c r="Z106" i="62" s="1"/>
  <c r="P106" i="62"/>
  <c r="AA106" i="62" a="1"/>
  <c r="AA106" i="62" s="1"/>
  <c r="Y106" i="62"/>
  <c r="T106" i="62"/>
  <c r="Q106" i="62"/>
  <c r="Z107" i="62" a="1"/>
  <c r="Z107" i="62" s="1"/>
  <c r="P107" i="62"/>
  <c r="AA107" i="62" a="1"/>
  <c r="AA107" i="62" s="1"/>
  <c r="Y107" i="62"/>
  <c r="T107" i="62"/>
  <c r="Q107" i="62"/>
  <c r="Z108" i="62" a="1"/>
  <c r="Z108" i="62" s="1"/>
  <c r="P108" i="62"/>
  <c r="AA108" i="62" a="1"/>
  <c r="AA108" i="62" s="1"/>
  <c r="Y108" i="62"/>
  <c r="T108" i="62"/>
  <c r="Q108" i="62"/>
  <c r="X108" i="62"/>
  <c r="Z109" i="62" a="1"/>
  <c r="Z109" i="62" s="1"/>
  <c r="P109" i="62"/>
  <c r="AA109" i="62" a="1"/>
  <c r="AA109" i="62" s="1"/>
  <c r="Y109" i="62"/>
  <c r="T109" i="62"/>
  <c r="Q109" i="62"/>
  <c r="X109" i="62"/>
  <c r="Z110" i="62" a="1"/>
  <c r="Z110" i="62" s="1"/>
  <c r="P110" i="62"/>
  <c r="AA110" i="62" a="1"/>
  <c r="AA110" i="62" s="1"/>
  <c r="Y110" i="62"/>
  <c r="T110" i="62"/>
  <c r="Q110" i="62"/>
  <c r="Z111" i="62" a="1"/>
  <c r="Z111" i="62" s="1"/>
  <c r="P111" i="62"/>
  <c r="AA111" i="62" a="1"/>
  <c r="AA111" i="62" s="1"/>
  <c r="Y111" i="62"/>
  <c r="T111" i="62"/>
  <c r="Q111" i="62"/>
  <c r="Z112" i="62" a="1"/>
  <c r="Z112" i="62" s="1"/>
  <c r="P112" i="62"/>
  <c r="AA112" i="62" a="1"/>
  <c r="AA112" i="62" s="1"/>
  <c r="Y112" i="62"/>
  <c r="T112" i="62"/>
  <c r="Q112" i="62"/>
  <c r="X112" i="62"/>
  <c r="Z113" i="62" a="1"/>
  <c r="Z113" i="62" s="1"/>
  <c r="P113" i="62"/>
  <c r="AA113" i="62" a="1"/>
  <c r="AA113" i="62" s="1"/>
  <c r="Y113" i="62"/>
  <c r="T113" i="62"/>
  <c r="Q113" i="62"/>
  <c r="X113" i="62"/>
  <c r="Z114" i="62" a="1"/>
  <c r="Z114" i="62" s="1"/>
  <c r="P114" i="62"/>
  <c r="AA114" i="62" a="1"/>
  <c r="AA114" i="62" s="1"/>
  <c r="Y114" i="62"/>
  <c r="T114" i="62"/>
  <c r="Q114" i="62"/>
  <c r="Z115" i="62" a="1"/>
  <c r="Z115" i="62" s="1"/>
  <c r="P115" i="62"/>
  <c r="AA115" i="62" a="1"/>
  <c r="AA115" i="62" s="1"/>
  <c r="Y115" i="62"/>
  <c r="T115" i="62"/>
  <c r="Q115" i="62"/>
  <c r="Z116" i="62" a="1"/>
  <c r="Z116" i="62" s="1"/>
  <c r="P116" i="62"/>
  <c r="AA116" i="62" a="1"/>
  <c r="AA116" i="62" s="1"/>
  <c r="Y116" i="62"/>
  <c r="T116" i="62"/>
  <c r="Q116" i="62"/>
  <c r="X116" i="62"/>
  <c r="Z117" i="62" a="1"/>
  <c r="Z117" i="62" s="1"/>
  <c r="P117" i="62"/>
  <c r="AA117" i="62" a="1"/>
  <c r="AA117" i="62" s="1"/>
  <c r="Y117" i="62"/>
  <c r="T117" i="62"/>
  <c r="Q117" i="62"/>
  <c r="Z118" i="62" a="1"/>
  <c r="Z118" i="62" s="1"/>
  <c r="P118" i="62"/>
  <c r="AA118" i="62" a="1"/>
  <c r="AA118" i="62" s="1"/>
  <c r="Y118" i="62"/>
  <c r="T118" i="62"/>
  <c r="Q118" i="62"/>
  <c r="Z119" i="62" a="1"/>
  <c r="Z119" i="62" s="1"/>
  <c r="P119" i="62"/>
  <c r="AA119" i="62" a="1"/>
  <c r="AA119" i="62" s="1"/>
  <c r="Y119" i="62"/>
  <c r="T119" i="62"/>
  <c r="Q119" i="62"/>
  <c r="Z120" i="62" a="1"/>
  <c r="Z120" i="62" s="1"/>
  <c r="P120" i="62"/>
  <c r="AA120" i="62" a="1"/>
  <c r="AA120" i="62" s="1"/>
  <c r="Y120" i="62"/>
  <c r="T120" i="62"/>
  <c r="Q120" i="62"/>
  <c r="X120" i="62"/>
  <c r="Z121" i="62" a="1"/>
  <c r="Z121" i="62" s="1"/>
  <c r="P121" i="62"/>
  <c r="AA121" i="62" a="1"/>
  <c r="AA121" i="62" s="1"/>
  <c r="Y121" i="62"/>
  <c r="T121" i="62"/>
  <c r="Q121" i="62"/>
  <c r="X121" i="62"/>
  <c r="Z122" i="62" a="1"/>
  <c r="Z122" i="62" s="1"/>
  <c r="P122" i="62"/>
  <c r="AA122" i="62" a="1"/>
  <c r="AA122" i="62" s="1"/>
  <c r="Y122" i="62"/>
  <c r="T122" i="62"/>
  <c r="Q122" i="62"/>
  <c r="Z123" i="62" a="1"/>
  <c r="Z123" i="62" s="1"/>
  <c r="P123" i="62"/>
  <c r="AA123" i="62" a="1"/>
  <c r="AA123" i="62" s="1"/>
  <c r="Y123" i="62"/>
  <c r="T123" i="62"/>
  <c r="Q123" i="62"/>
  <c r="Z124" i="62" a="1"/>
  <c r="Z124" i="62" s="1"/>
  <c r="P124" i="62"/>
  <c r="AA124" i="62" a="1"/>
  <c r="AA124" i="62" s="1"/>
  <c r="Y124" i="62"/>
  <c r="T124" i="62"/>
  <c r="Q124" i="62"/>
  <c r="X124" i="62"/>
  <c r="Z125" i="62" a="1"/>
  <c r="Z125" i="62" s="1"/>
  <c r="P125" i="62"/>
  <c r="AA125" i="62" a="1"/>
  <c r="AA125" i="62" s="1"/>
  <c r="Y125" i="62"/>
  <c r="T125" i="62"/>
  <c r="Q125" i="62"/>
  <c r="X125" i="62"/>
  <c r="Z126" i="62" a="1"/>
  <c r="Z126" i="62" s="1"/>
  <c r="P126" i="62"/>
  <c r="AA126" i="62" a="1"/>
  <c r="AA126" i="62" s="1"/>
  <c r="Y126" i="62"/>
  <c r="T126" i="62"/>
  <c r="Q126" i="62"/>
  <c r="Z127" i="62" a="1"/>
  <c r="Z127" i="62" s="1"/>
  <c r="P127" i="62"/>
  <c r="AA127" i="62" a="1"/>
  <c r="AA127" i="62" s="1"/>
  <c r="Y127" i="62"/>
  <c r="T127" i="62"/>
  <c r="Q127" i="62"/>
  <c r="Z128" i="62" a="1"/>
  <c r="Z128" i="62" s="1"/>
  <c r="P128" i="62"/>
  <c r="AA128" i="62" a="1"/>
  <c r="AA128" i="62" s="1"/>
  <c r="Y128" i="62"/>
  <c r="T128" i="62"/>
  <c r="Q128" i="62"/>
  <c r="X128" i="62"/>
  <c r="Z129" i="62" a="1"/>
  <c r="Z129" i="62" s="1"/>
  <c r="P129" i="62"/>
  <c r="AA129" i="62" a="1"/>
  <c r="AA129" i="62" s="1"/>
  <c r="Y129" i="62"/>
  <c r="T129" i="62"/>
  <c r="Q129" i="62"/>
  <c r="X129" i="62"/>
  <c r="Z130" i="62" a="1"/>
  <c r="Z130" i="62" s="1"/>
  <c r="P130" i="62"/>
  <c r="AA130" i="62" a="1"/>
  <c r="AA130" i="62" s="1"/>
  <c r="Y130" i="62"/>
  <c r="T130" i="62"/>
  <c r="Q130" i="62"/>
  <c r="Z131" i="62" a="1"/>
  <c r="Z131" i="62" s="1"/>
  <c r="P131" i="62"/>
  <c r="AA131" i="62" a="1"/>
  <c r="AA131" i="62" s="1"/>
  <c r="Y131" i="62"/>
  <c r="T131" i="62"/>
  <c r="Q131" i="62"/>
  <c r="Z2" i="62" a="1"/>
  <c r="Z2" i="62" s="1"/>
  <c r="AA2" i="62" a="1"/>
  <c r="AA2" i="62" s="1"/>
  <c r="T2" i="62"/>
  <c r="Q2" i="62"/>
  <c r="X2" i="62"/>
  <c r="X183" i="62" l="1"/>
  <c r="X137" i="62"/>
  <c r="X216" i="62"/>
  <c r="X447" i="62"/>
  <c r="X443" i="62"/>
  <c r="X439" i="62"/>
  <c r="X435" i="62"/>
  <c r="X133" i="62"/>
  <c r="X198" i="62"/>
  <c r="X194" i="62"/>
  <c r="X190" i="62"/>
  <c r="X186" i="62"/>
  <c r="X433" i="62"/>
  <c r="X179" i="62"/>
  <c r="X175" i="62"/>
  <c r="X200" i="62"/>
  <c r="X304" i="62"/>
  <c r="X295" i="62"/>
  <c r="X85" i="62"/>
  <c r="X66" i="62"/>
  <c r="X323" i="62"/>
  <c r="Q71" i="62"/>
  <c r="X110" i="62"/>
  <c r="X78" i="62"/>
  <c r="X231" i="62"/>
  <c r="X239" i="62"/>
  <c r="X255" i="62"/>
  <c r="X273" i="62"/>
  <c r="X315" i="62"/>
  <c r="X434" i="62"/>
  <c r="X117" i="62"/>
  <c r="X101" i="62"/>
  <c r="X132" i="62"/>
  <c r="X301" i="62"/>
  <c r="X82" i="62"/>
  <c r="R2" i="62"/>
  <c r="X118" i="62"/>
  <c r="X102" i="62"/>
  <c r="X86" i="62"/>
  <c r="X122" i="62"/>
  <c r="X106" i="62"/>
  <c r="X90" i="62"/>
  <c r="X74" i="62"/>
  <c r="X465" i="62"/>
  <c r="X461" i="62"/>
  <c r="X457" i="62"/>
  <c r="X453" i="62"/>
  <c r="X449" i="62"/>
  <c r="X182" i="62"/>
  <c r="X205" i="62"/>
  <c r="X430" i="62"/>
  <c r="X127" i="62"/>
  <c r="X111" i="62"/>
  <c r="X431" i="62"/>
  <c r="X201" i="62"/>
  <c r="X432" i="62"/>
  <c r="R343" i="62"/>
  <c r="V83" i="62"/>
  <c r="W83" i="62"/>
  <c r="O79" i="62"/>
  <c r="R159" i="62"/>
  <c r="R143" i="62"/>
  <c r="R192" i="62"/>
  <c r="X178" i="62"/>
  <c r="R176" i="62"/>
  <c r="X174" i="62"/>
  <c r="R172" i="62"/>
  <c r="O320" i="62"/>
  <c r="R305" i="62"/>
  <c r="V299" i="62"/>
  <c r="W299" i="62"/>
  <c r="V296" i="62"/>
  <c r="W296" i="62"/>
  <c r="X286" i="62"/>
  <c r="R282" i="62"/>
  <c r="O279" i="62"/>
  <c r="X272" i="62"/>
  <c r="R268" i="62"/>
  <c r="V263" i="62"/>
  <c r="W263" i="62"/>
  <c r="R257" i="62"/>
  <c r="X253" i="62"/>
  <c r="V252" i="62"/>
  <c r="W252" i="62"/>
  <c r="W247" i="62"/>
  <c r="V247" i="62"/>
  <c r="R244" i="62"/>
  <c r="X237" i="62"/>
  <c r="W236" i="62"/>
  <c r="V236" i="62"/>
  <c r="O230" i="62"/>
  <c r="O222" i="62"/>
  <c r="R214" i="62"/>
  <c r="X204" i="62"/>
  <c r="V239" i="62"/>
  <c r="W239" i="62"/>
  <c r="X247" i="62"/>
  <c r="V255" i="62"/>
  <c r="W255" i="62"/>
  <c r="X263" i="62"/>
  <c r="X289" i="62"/>
  <c r="X314" i="62"/>
  <c r="V67" i="62"/>
  <c r="W67" i="62"/>
  <c r="O63" i="62"/>
  <c r="R57" i="62"/>
  <c r="R167" i="62"/>
  <c r="R151" i="62"/>
  <c r="R135" i="62"/>
  <c r="V128" i="62"/>
  <c r="W128" i="62"/>
  <c r="X126" i="62"/>
  <c r="O124" i="62"/>
  <c r="V112" i="62"/>
  <c r="W112" i="62"/>
  <c r="O108" i="62"/>
  <c r="V96" i="62"/>
  <c r="W96" i="62"/>
  <c r="X94" i="62"/>
  <c r="O92" i="62"/>
  <c r="R86" i="62"/>
  <c r="V80" i="62"/>
  <c r="W80" i="62"/>
  <c r="O76" i="62"/>
  <c r="V64" i="62"/>
  <c r="W64" i="62"/>
  <c r="O60" i="62"/>
  <c r="R54" i="62"/>
  <c r="W46" i="62"/>
  <c r="V46" i="62"/>
  <c r="V38" i="62"/>
  <c r="W38" i="62"/>
  <c r="V30" i="62"/>
  <c r="W30" i="62"/>
  <c r="V22" i="62"/>
  <c r="W22" i="62"/>
  <c r="V14" i="62"/>
  <c r="W14" i="62"/>
  <c r="V6" i="62"/>
  <c r="W6" i="62"/>
  <c r="R327" i="62"/>
  <c r="R324" i="62"/>
  <c r="V321" i="62"/>
  <c r="W321" i="62"/>
  <c r="O317" i="62"/>
  <c r="V315" i="62"/>
  <c r="W315" i="62"/>
  <c r="X313" i="62"/>
  <c r="O311" i="62"/>
  <c r="O308" i="62"/>
  <c r="R302" i="62"/>
  <c r="R293" i="62"/>
  <c r="O290" i="62"/>
  <c r="V288" i="62"/>
  <c r="W288" i="62"/>
  <c r="V285" i="62"/>
  <c r="W285" i="62"/>
  <c r="V277" i="62"/>
  <c r="W277" i="62"/>
  <c r="R274" i="62"/>
  <c r="O271" i="62"/>
  <c r="X264" i="62"/>
  <c r="R260" i="62"/>
  <c r="X248" i="62"/>
  <c r="O241" i="62"/>
  <c r="O233" i="62"/>
  <c r="X218" i="62"/>
  <c r="V217" i="62"/>
  <c r="W217" i="62"/>
  <c r="W209" i="62"/>
  <c r="V209" i="62"/>
  <c r="O203" i="62"/>
  <c r="X213" i="62"/>
  <c r="X222" i="62"/>
  <c r="X230" i="62"/>
  <c r="X281" i="62"/>
  <c r="X290" i="62"/>
  <c r="X300" i="62"/>
  <c r="V428" i="62"/>
  <c r="W428" i="62"/>
  <c r="O427" i="62"/>
  <c r="V424" i="62"/>
  <c r="W424" i="62"/>
  <c r="O423" i="62"/>
  <c r="W420" i="62"/>
  <c r="V420" i="62"/>
  <c r="O419" i="62"/>
  <c r="V416" i="62"/>
  <c r="W416" i="62"/>
  <c r="O415" i="62"/>
  <c r="W412" i="62"/>
  <c r="V412" i="62"/>
  <c r="O411" i="62"/>
  <c r="V408" i="62"/>
  <c r="W408" i="62"/>
  <c r="O407" i="62"/>
  <c r="V404" i="62"/>
  <c r="W404" i="62"/>
  <c r="O403" i="62"/>
  <c r="W400" i="62"/>
  <c r="V400" i="62"/>
  <c r="O399" i="62"/>
  <c r="V396" i="62"/>
  <c r="W396" i="62"/>
  <c r="O395" i="62"/>
  <c r="V392" i="62"/>
  <c r="W392" i="62"/>
  <c r="O391" i="62"/>
  <c r="W388" i="62"/>
  <c r="V388" i="62"/>
  <c r="O387" i="62"/>
  <c r="V384" i="62"/>
  <c r="W384" i="62"/>
  <c r="O383" i="62"/>
  <c r="V380" i="62"/>
  <c r="W380" i="62"/>
  <c r="O379" i="62"/>
  <c r="V376" i="62"/>
  <c r="W376" i="62"/>
  <c r="O375" i="62"/>
  <c r="V372" i="62"/>
  <c r="W372" i="62"/>
  <c r="O371" i="62"/>
  <c r="V368" i="62"/>
  <c r="W368" i="62"/>
  <c r="O367" i="62"/>
  <c r="V364" i="62"/>
  <c r="W364" i="62"/>
  <c r="O363" i="62"/>
  <c r="V360" i="62"/>
  <c r="W360" i="62"/>
  <c r="O359" i="62"/>
  <c r="V356" i="62"/>
  <c r="W356" i="62"/>
  <c r="O355" i="62"/>
  <c r="V352" i="62"/>
  <c r="W352" i="62"/>
  <c r="O351" i="62"/>
  <c r="V348" i="62"/>
  <c r="W348" i="62"/>
  <c r="O347" i="62"/>
  <c r="W344" i="62"/>
  <c r="V344" i="62"/>
  <c r="O343" i="62"/>
  <c r="V340" i="62"/>
  <c r="W340" i="62"/>
  <c r="O339" i="62"/>
  <c r="V336" i="62"/>
  <c r="W336" i="62"/>
  <c r="O335" i="62"/>
  <c r="V332" i="62"/>
  <c r="W332" i="62"/>
  <c r="O331" i="62"/>
  <c r="V556" i="62"/>
  <c r="W556" i="62"/>
  <c r="O555" i="62"/>
  <c r="V552" i="62"/>
  <c r="W552" i="62"/>
  <c r="O551" i="62"/>
  <c r="V548" i="62"/>
  <c r="W548" i="62"/>
  <c r="O547" i="62"/>
  <c r="W544" i="62"/>
  <c r="V544" i="62"/>
  <c r="O543" i="62"/>
  <c r="V540" i="62"/>
  <c r="W540" i="62"/>
  <c r="O539" i="62"/>
  <c r="V536" i="62"/>
  <c r="W536" i="62"/>
  <c r="O535" i="62"/>
  <c r="V532" i="62"/>
  <c r="W532" i="62"/>
  <c r="O531" i="62"/>
  <c r="W528" i="62"/>
  <c r="V528" i="62"/>
  <c r="O527" i="62"/>
  <c r="V524" i="62"/>
  <c r="W524" i="62"/>
  <c r="O523" i="62"/>
  <c r="V520" i="62"/>
  <c r="W520" i="62"/>
  <c r="O519" i="62"/>
  <c r="V516" i="62"/>
  <c r="W516" i="62"/>
  <c r="O515" i="62"/>
  <c r="V512" i="62"/>
  <c r="W512" i="62"/>
  <c r="O511" i="62"/>
  <c r="V508" i="62"/>
  <c r="W508" i="62"/>
  <c r="O507" i="62"/>
  <c r="V504" i="62"/>
  <c r="W504" i="62"/>
  <c r="O503" i="62"/>
  <c r="W500" i="62"/>
  <c r="V500" i="62"/>
  <c r="O499" i="62"/>
  <c r="V496" i="62"/>
  <c r="W496" i="62"/>
  <c r="O495" i="62"/>
  <c r="V492" i="62"/>
  <c r="W492" i="62"/>
  <c r="O491" i="62"/>
  <c r="V488" i="62"/>
  <c r="W488" i="62"/>
  <c r="O487" i="62"/>
  <c r="V484" i="62"/>
  <c r="W484" i="62"/>
  <c r="O483" i="62"/>
  <c r="V480" i="62"/>
  <c r="W480" i="62"/>
  <c r="O479" i="62"/>
  <c r="V476" i="62"/>
  <c r="W476" i="62"/>
  <c r="O475" i="62"/>
  <c r="W472" i="62"/>
  <c r="V472" i="62"/>
  <c r="O471" i="62"/>
  <c r="V468" i="62"/>
  <c r="W468" i="62"/>
  <c r="O467" i="62"/>
  <c r="W464" i="62"/>
  <c r="V464" i="62"/>
  <c r="O463" i="62"/>
  <c r="V460" i="62"/>
  <c r="W460" i="62"/>
  <c r="O459" i="62"/>
  <c r="V456" i="62"/>
  <c r="W456" i="62"/>
  <c r="O455" i="62"/>
  <c r="W452" i="62"/>
  <c r="V452" i="62"/>
  <c r="O451" i="62"/>
  <c r="V448" i="62"/>
  <c r="W448" i="62"/>
  <c r="O447" i="62"/>
  <c r="W444" i="62"/>
  <c r="V444" i="62"/>
  <c r="O443" i="62"/>
  <c r="V440" i="62"/>
  <c r="W440" i="62"/>
  <c r="O439" i="62"/>
  <c r="V436" i="62"/>
  <c r="W436" i="62"/>
  <c r="O435" i="62"/>
  <c r="V125" i="62"/>
  <c r="W125" i="62"/>
  <c r="X123" i="62"/>
  <c r="O121" i="62"/>
  <c r="W109" i="62"/>
  <c r="V109" i="62"/>
  <c r="X107" i="62"/>
  <c r="O105" i="62"/>
  <c r="V93" i="62"/>
  <c r="W93" i="62"/>
  <c r="X91" i="62"/>
  <c r="O89" i="62"/>
  <c r="V77" i="62"/>
  <c r="W77" i="62"/>
  <c r="X75" i="62"/>
  <c r="O73" i="62"/>
  <c r="R67" i="62"/>
  <c r="V61" i="62"/>
  <c r="W61" i="62"/>
  <c r="X59" i="62"/>
  <c r="O57" i="62"/>
  <c r="V168" i="62"/>
  <c r="W168" i="62"/>
  <c r="O167" i="62"/>
  <c r="V164" i="62"/>
  <c r="W164" i="62"/>
  <c r="O163" i="62"/>
  <c r="V160" i="62"/>
  <c r="W160" i="62"/>
  <c r="O159" i="62"/>
  <c r="V156" i="62"/>
  <c r="W156" i="62"/>
  <c r="O155" i="62"/>
  <c r="V152" i="62"/>
  <c r="W152" i="62"/>
  <c r="O151" i="62"/>
  <c r="V148" i="62"/>
  <c r="W148" i="62"/>
  <c r="O147" i="62"/>
  <c r="V144" i="62"/>
  <c r="W144" i="62"/>
  <c r="O143" i="62"/>
  <c r="V140" i="62"/>
  <c r="W140" i="62"/>
  <c r="O139" i="62"/>
  <c r="V136" i="62"/>
  <c r="W136" i="62"/>
  <c r="O135" i="62"/>
  <c r="V170" i="62"/>
  <c r="W170" i="62"/>
  <c r="V197" i="62"/>
  <c r="W197" i="62"/>
  <c r="W193" i="62"/>
  <c r="V193" i="62"/>
  <c r="V189" i="62"/>
  <c r="W189" i="62"/>
  <c r="V185" i="62"/>
  <c r="W185" i="62"/>
  <c r="V181" i="62"/>
  <c r="W181" i="62"/>
  <c r="W177" i="62"/>
  <c r="V177" i="62"/>
  <c r="W173" i="62"/>
  <c r="V173" i="62"/>
  <c r="X319" i="62"/>
  <c r="V318" i="62"/>
  <c r="W318" i="62"/>
  <c r="V312" i="62"/>
  <c r="W312" i="62"/>
  <c r="O305" i="62"/>
  <c r="R299" i="62"/>
  <c r="R296" i="62"/>
  <c r="O282" i="62"/>
  <c r="O268" i="62"/>
  <c r="V266" i="62"/>
  <c r="W266" i="62"/>
  <c r="R263" i="62"/>
  <c r="O257" i="62"/>
  <c r="R255" i="62"/>
  <c r="R252" i="62"/>
  <c r="V250" i="62"/>
  <c r="W250" i="62"/>
  <c r="R247" i="62"/>
  <c r="O244" i="62"/>
  <c r="V242" i="62"/>
  <c r="W242" i="62"/>
  <c r="R236" i="62"/>
  <c r="V231" i="62"/>
  <c r="W231" i="62"/>
  <c r="X221" i="62"/>
  <c r="W220" i="62"/>
  <c r="V220" i="62"/>
  <c r="O214" i="62"/>
  <c r="O206" i="62"/>
  <c r="V201" i="62"/>
  <c r="W201" i="62"/>
  <c r="V223" i="62"/>
  <c r="W223" i="62"/>
  <c r="O248" i="62"/>
  <c r="O264" i="62"/>
  <c r="O291" i="62"/>
  <c r="W432" i="62"/>
  <c r="V432" i="62"/>
  <c r="O431" i="62"/>
  <c r="R423" i="62"/>
  <c r="R419" i="62"/>
  <c r="R415" i="62"/>
  <c r="R411" i="62"/>
  <c r="R504" i="62"/>
  <c r="R500" i="62"/>
  <c r="R488" i="62"/>
  <c r="R484" i="62"/>
  <c r="R476" i="62"/>
  <c r="R472" i="62"/>
  <c r="R468" i="62"/>
  <c r="R460" i="62"/>
  <c r="R456" i="62"/>
  <c r="R452" i="62"/>
  <c r="R444" i="62"/>
  <c r="R440" i="62"/>
  <c r="R436" i="62"/>
  <c r="O131" i="62"/>
  <c r="V119" i="62"/>
  <c r="W119" i="62"/>
  <c r="O115" i="62"/>
  <c r="R197" i="62"/>
  <c r="R189" i="62"/>
  <c r="O263" i="62"/>
  <c r="V261" i="62"/>
  <c r="W261" i="62"/>
  <c r="O255" i="62"/>
  <c r="O252" i="62"/>
  <c r="R250" i="62"/>
  <c r="O247" i="62"/>
  <c r="V245" i="62"/>
  <c r="W245" i="62"/>
  <c r="R242" i="62"/>
  <c r="O239" i="62"/>
  <c r="O236" i="62"/>
  <c r="R231" i="62"/>
  <c r="O228" i="62"/>
  <c r="V226" i="62"/>
  <c r="W226" i="62"/>
  <c r="R220" i="62"/>
  <c r="W215" i="62"/>
  <c r="V215" i="62"/>
  <c r="V204" i="62"/>
  <c r="W204" i="62"/>
  <c r="O201" i="62"/>
  <c r="X215" i="62"/>
  <c r="O232" i="62"/>
  <c r="O275" i="62"/>
  <c r="X291" i="62"/>
  <c r="R432" i="62"/>
  <c r="R367" i="62"/>
  <c r="R363" i="62"/>
  <c r="R359" i="62"/>
  <c r="V106" i="62"/>
  <c r="W106" i="62"/>
  <c r="O102" i="62"/>
  <c r="R96" i="62"/>
  <c r="V90" i="62"/>
  <c r="W90" i="62"/>
  <c r="O86" i="62"/>
  <c r="R80" i="62"/>
  <c r="V74" i="62"/>
  <c r="W74" i="62"/>
  <c r="O70" i="62"/>
  <c r="R64" i="62"/>
  <c r="W58" i="62"/>
  <c r="V58" i="62"/>
  <c r="O54" i="62"/>
  <c r="W33" i="62"/>
  <c r="V33" i="62"/>
  <c r="V25" i="62"/>
  <c r="W25" i="62"/>
  <c r="V17" i="62"/>
  <c r="W17" i="62"/>
  <c r="R396" i="62"/>
  <c r="R392" i="62"/>
  <c r="R388" i="62"/>
  <c r="R384" i="62"/>
  <c r="V103" i="62"/>
  <c r="W103" i="62"/>
  <c r="O99" i="62"/>
  <c r="R93" i="62"/>
  <c r="V87" i="62"/>
  <c r="W87" i="62"/>
  <c r="O83" i="62"/>
  <c r="R77" i="62"/>
  <c r="W71" i="62"/>
  <c r="V71" i="62"/>
  <c r="O67" i="62"/>
  <c r="R61" i="62"/>
  <c r="V55" i="62"/>
  <c r="W55" i="62"/>
  <c r="R156" i="62"/>
  <c r="R144" i="62"/>
  <c r="R181" i="62"/>
  <c r="R173" i="62"/>
  <c r="V328" i="62"/>
  <c r="W328" i="62"/>
  <c r="R318" i="62"/>
  <c r="R312" i="62"/>
  <c r="V303" i="62"/>
  <c r="W303" i="62"/>
  <c r="O299" i="62"/>
  <c r="V294" i="62"/>
  <c r="W294" i="62"/>
  <c r="V291" i="62"/>
  <c r="W291" i="62"/>
  <c r="V283" i="62"/>
  <c r="W283" i="62"/>
  <c r="V272" i="62"/>
  <c r="W272" i="62"/>
  <c r="W269" i="62"/>
  <c r="V269" i="62"/>
  <c r="X130" i="62"/>
  <c r="O128" i="62"/>
  <c r="R122" i="62"/>
  <c r="W116" i="62"/>
  <c r="V116" i="62"/>
  <c r="X114" i="62"/>
  <c r="O112" i="62"/>
  <c r="V100" i="62"/>
  <c r="W100" i="62"/>
  <c r="X98" i="62"/>
  <c r="O96" i="62"/>
  <c r="V84" i="62"/>
  <c r="W84" i="62"/>
  <c r="O80" i="62"/>
  <c r="R74" i="62"/>
  <c r="W68" i="62"/>
  <c r="V68" i="62"/>
  <c r="O64" i="62"/>
  <c r="V52" i="62"/>
  <c r="W52" i="62"/>
  <c r="V44" i="62"/>
  <c r="W44" i="62"/>
  <c r="V36" i="62"/>
  <c r="W36" i="62"/>
  <c r="V28" i="62"/>
  <c r="W28" i="62"/>
  <c r="V20" i="62"/>
  <c r="W20" i="62"/>
  <c r="V12" i="62"/>
  <c r="W12" i="62"/>
  <c r="V4" i="62"/>
  <c r="W4" i="62"/>
  <c r="V325" i="62"/>
  <c r="W325" i="62"/>
  <c r="V322" i="62"/>
  <c r="W322" i="62"/>
  <c r="O321" i="62"/>
  <c r="O315" i="62"/>
  <c r="R306" i="62"/>
  <c r="V300" i="62"/>
  <c r="W300" i="62"/>
  <c r="O288" i="62"/>
  <c r="O285" i="62"/>
  <c r="R280" i="62"/>
  <c r="O277" i="62"/>
  <c r="R258" i="62"/>
  <c r="R234" i="62"/>
  <c r="V218" i="62"/>
  <c r="W218" i="62"/>
  <c r="O209" i="62"/>
  <c r="R207" i="62"/>
  <c r="X207" i="62"/>
  <c r="R233" i="62"/>
  <c r="X241" i="62"/>
  <c r="X249" i="62"/>
  <c r="X256" i="62"/>
  <c r="X265" i="62"/>
  <c r="V292" i="62"/>
  <c r="W292" i="62"/>
  <c r="X317" i="62"/>
  <c r="V429" i="62"/>
  <c r="W429" i="62"/>
  <c r="O428" i="62"/>
  <c r="W425" i="62"/>
  <c r="V425" i="62"/>
  <c r="O424" i="62"/>
  <c r="V421" i="62"/>
  <c r="W421" i="62"/>
  <c r="O420" i="62"/>
  <c r="V417" i="62"/>
  <c r="W417" i="62"/>
  <c r="O416" i="62"/>
  <c r="W413" i="62"/>
  <c r="V413" i="62"/>
  <c r="O412" i="62"/>
  <c r="V409" i="62"/>
  <c r="W409" i="62"/>
  <c r="O408" i="62"/>
  <c r="W405" i="62"/>
  <c r="V405" i="62"/>
  <c r="O404" i="62"/>
  <c r="V401" i="62"/>
  <c r="W401" i="62"/>
  <c r="O400" i="62"/>
  <c r="V397" i="62"/>
  <c r="W397" i="62"/>
  <c r="O396" i="62"/>
  <c r="W393" i="62"/>
  <c r="V393" i="62"/>
  <c r="O392" i="62"/>
  <c r="V389" i="62"/>
  <c r="W389" i="62"/>
  <c r="O388" i="62"/>
  <c r="V385" i="62"/>
  <c r="W385" i="62"/>
  <c r="O384" i="62"/>
  <c r="V381" i="62"/>
  <c r="W381" i="62"/>
  <c r="O380" i="62"/>
  <c r="V377" i="62"/>
  <c r="W377" i="62"/>
  <c r="O376" i="62"/>
  <c r="V373" i="62"/>
  <c r="W373" i="62"/>
  <c r="O372" i="62"/>
  <c r="W369" i="62"/>
  <c r="V369" i="62"/>
  <c r="O368" i="62"/>
  <c r="W365" i="62"/>
  <c r="V365" i="62"/>
  <c r="O364" i="62"/>
  <c r="V361" i="62"/>
  <c r="W361" i="62"/>
  <c r="O360" i="62"/>
  <c r="W357" i="62"/>
  <c r="V357" i="62"/>
  <c r="O356" i="62"/>
  <c r="W353" i="62"/>
  <c r="V353" i="62"/>
  <c r="O352" i="62"/>
  <c r="V349" i="62"/>
  <c r="W349" i="62"/>
  <c r="O348" i="62"/>
  <c r="V345" i="62"/>
  <c r="W345" i="62"/>
  <c r="O344" i="62"/>
  <c r="V341" i="62"/>
  <c r="W341" i="62"/>
  <c r="O340" i="62"/>
  <c r="V337" i="62"/>
  <c r="W337" i="62"/>
  <c r="O336" i="62"/>
  <c r="V333" i="62"/>
  <c r="W333" i="62"/>
  <c r="O332" i="62"/>
  <c r="V329" i="62"/>
  <c r="W329" i="62"/>
  <c r="O556" i="62"/>
  <c r="V553" i="62"/>
  <c r="W553" i="62"/>
  <c r="O552" i="62"/>
  <c r="V549" i="62"/>
  <c r="W549" i="62"/>
  <c r="O548" i="62"/>
  <c r="V545" i="62"/>
  <c r="W545" i="62"/>
  <c r="O544" i="62"/>
  <c r="V541" i="62"/>
  <c r="W541" i="62"/>
  <c r="O540" i="62"/>
  <c r="W537" i="62"/>
  <c r="V537" i="62"/>
  <c r="O536" i="62"/>
  <c r="W533" i="62"/>
  <c r="V533" i="62"/>
  <c r="O532" i="62"/>
  <c r="V529" i="62"/>
  <c r="W529" i="62"/>
  <c r="O528" i="62"/>
  <c r="V525" i="62"/>
  <c r="W525" i="62"/>
  <c r="O524" i="62"/>
  <c r="V521" i="62"/>
  <c r="W521" i="62"/>
  <c r="O520" i="62"/>
  <c r="V517" i="62"/>
  <c r="W517" i="62"/>
  <c r="O516" i="62"/>
  <c r="V513" i="62"/>
  <c r="W513" i="62"/>
  <c r="O512" i="62"/>
  <c r="V509" i="62"/>
  <c r="W509" i="62"/>
  <c r="O508" i="62"/>
  <c r="V505" i="62"/>
  <c r="W505" i="62"/>
  <c r="O504" i="62"/>
  <c r="V501" i="62"/>
  <c r="W501" i="62"/>
  <c r="O500" i="62"/>
  <c r="W497" i="62"/>
  <c r="V497" i="62"/>
  <c r="O496" i="62"/>
  <c r="W493" i="62"/>
  <c r="V493" i="62"/>
  <c r="O492" i="62"/>
  <c r="V489" i="62"/>
  <c r="W489" i="62"/>
  <c r="O488" i="62"/>
  <c r="V485" i="62"/>
  <c r="W485" i="62"/>
  <c r="O484" i="62"/>
  <c r="V481" i="62"/>
  <c r="W481" i="62"/>
  <c r="O480" i="62"/>
  <c r="V477" i="62"/>
  <c r="W477" i="62"/>
  <c r="O476" i="62"/>
  <c r="V473" i="62"/>
  <c r="W473" i="62"/>
  <c r="O472" i="62"/>
  <c r="W469" i="62"/>
  <c r="V469" i="62"/>
  <c r="O468" i="62"/>
  <c r="V465" i="62"/>
  <c r="W465" i="62"/>
  <c r="O464" i="62"/>
  <c r="V461" i="62"/>
  <c r="W461" i="62"/>
  <c r="O460" i="62"/>
  <c r="W457" i="62"/>
  <c r="V457" i="62"/>
  <c r="O456" i="62"/>
  <c r="V453" i="62"/>
  <c r="W453" i="62"/>
  <c r="O452" i="62"/>
  <c r="V449" i="62"/>
  <c r="W449" i="62"/>
  <c r="O448" i="62"/>
  <c r="W445" i="62"/>
  <c r="V445" i="62"/>
  <c r="O444" i="62"/>
  <c r="V441" i="62"/>
  <c r="W441" i="62"/>
  <c r="O440" i="62"/>
  <c r="W437" i="62"/>
  <c r="V437" i="62"/>
  <c r="O436" i="62"/>
  <c r="R383" i="62"/>
  <c r="R547" i="62"/>
  <c r="O327" i="62"/>
  <c r="O324" i="62"/>
  <c r="R321" i="62"/>
  <c r="R315" i="62"/>
  <c r="O293" i="62"/>
  <c r="R288" i="62"/>
  <c r="R277" i="62"/>
  <c r="O274" i="62"/>
  <c r="V258" i="62"/>
  <c r="W258" i="62"/>
  <c r="V234" i="62"/>
  <c r="W234" i="62"/>
  <c r="O225" i="62"/>
  <c r="O217" i="62"/>
  <c r="R356" i="62"/>
  <c r="R352" i="62"/>
  <c r="R348" i="62"/>
  <c r="R344" i="62"/>
  <c r="R340" i="62"/>
  <c r="R336" i="62"/>
  <c r="R332" i="62"/>
  <c r="R516" i="62"/>
  <c r="R152" i="62"/>
  <c r="R140" i="62"/>
  <c r="V129" i="62"/>
  <c r="W129" i="62"/>
  <c r="V113" i="62"/>
  <c r="W113" i="62"/>
  <c r="O109" i="62"/>
  <c r="V97" i="62"/>
  <c r="W97" i="62"/>
  <c r="X95" i="62"/>
  <c r="O93" i="62"/>
  <c r="V81" i="62"/>
  <c r="W81" i="62"/>
  <c r="X79" i="62"/>
  <c r="O77" i="62"/>
  <c r="R71" i="62"/>
  <c r="V65" i="62"/>
  <c r="W65" i="62"/>
  <c r="X63" i="62"/>
  <c r="O61" i="62"/>
  <c r="R55" i="62"/>
  <c r="V169" i="62"/>
  <c r="W169" i="62"/>
  <c r="O168" i="62"/>
  <c r="V165" i="62"/>
  <c r="W165" i="62"/>
  <c r="O164" i="62"/>
  <c r="V161" i="62"/>
  <c r="W161" i="62"/>
  <c r="O160" i="62"/>
  <c r="V157" i="62"/>
  <c r="W157" i="62"/>
  <c r="O156" i="62"/>
  <c r="W153" i="62"/>
  <c r="V153" i="62"/>
  <c r="O152" i="62"/>
  <c r="V149" i="62"/>
  <c r="W149" i="62"/>
  <c r="O148" i="62"/>
  <c r="V145" i="62"/>
  <c r="W145" i="62"/>
  <c r="O144" i="62"/>
  <c r="W141" i="62"/>
  <c r="V141" i="62"/>
  <c r="O140" i="62"/>
  <c r="V137" i="62"/>
  <c r="W137" i="62"/>
  <c r="O136" i="62"/>
  <c r="W133" i="62"/>
  <c r="V133" i="62"/>
  <c r="O170" i="62"/>
  <c r="V198" i="62"/>
  <c r="W198" i="62"/>
  <c r="V194" i="62"/>
  <c r="W194" i="62"/>
  <c r="V190" i="62"/>
  <c r="W190" i="62"/>
  <c r="V186" i="62"/>
  <c r="W186" i="62"/>
  <c r="V182" i="62"/>
  <c r="W182" i="62"/>
  <c r="V178" i="62"/>
  <c r="W178" i="62"/>
  <c r="V174" i="62"/>
  <c r="W174" i="62"/>
  <c r="R328" i="62"/>
  <c r="O318" i="62"/>
  <c r="R303" i="62"/>
  <c r="X298" i="62"/>
  <c r="V297" i="62"/>
  <c r="W297" i="62"/>
  <c r="R294" i="62"/>
  <c r="R291" i="62"/>
  <c r="V286" i="62"/>
  <c r="W286" i="62"/>
  <c r="R283" i="62"/>
  <c r="W278" i="62"/>
  <c r="V278" i="62"/>
  <c r="V275" i="62"/>
  <c r="W275" i="62"/>
  <c r="R272" i="62"/>
  <c r="R269" i="62"/>
  <c r="O266" i="62"/>
  <c r="R261" i="62"/>
  <c r="V253" i="62"/>
  <c r="W253" i="62"/>
  <c r="O250" i="62"/>
  <c r="R245" i="62"/>
  <c r="O242" i="62"/>
  <c r="V237" i="62"/>
  <c r="W237" i="62"/>
  <c r="O231" i="62"/>
  <c r="W229" i="62"/>
  <c r="V229" i="62"/>
  <c r="R226" i="62"/>
  <c r="O223" i="62"/>
  <c r="O220" i="62"/>
  <c r="R215" i="62"/>
  <c r="O212" i="62"/>
  <c r="V210" i="62"/>
  <c r="W210" i="62"/>
  <c r="R204" i="62"/>
  <c r="V202" i="62"/>
  <c r="W202" i="62"/>
  <c r="O216" i="62"/>
  <c r="X224" i="62"/>
  <c r="X242" i="62"/>
  <c r="X257" i="62"/>
  <c r="X275" i="62"/>
  <c r="X283" i="62"/>
  <c r="X292" i="62"/>
  <c r="X305" i="62"/>
  <c r="X318" i="62"/>
  <c r="V433" i="62"/>
  <c r="W433" i="62"/>
  <c r="O432" i="62"/>
  <c r="R395" i="62"/>
  <c r="R331" i="62"/>
  <c r="V207" i="62"/>
  <c r="W207" i="62"/>
  <c r="R249" i="62"/>
  <c r="R265" i="62"/>
  <c r="R428" i="62"/>
  <c r="R424" i="62"/>
  <c r="R420" i="62"/>
  <c r="O125" i="62"/>
  <c r="O106" i="62"/>
  <c r="W23" i="62"/>
  <c r="V23" i="62"/>
  <c r="V15" i="62"/>
  <c r="W15" i="62"/>
  <c r="R353" i="62"/>
  <c r="R349" i="62"/>
  <c r="R345" i="62"/>
  <c r="R341" i="62"/>
  <c r="R521" i="62"/>
  <c r="R517" i="62"/>
  <c r="R513" i="62"/>
  <c r="R505" i="62"/>
  <c r="R501" i="62"/>
  <c r="R497" i="62"/>
  <c r="R489" i="62"/>
  <c r="R485" i="62"/>
  <c r="R481" i="62"/>
  <c r="R473" i="62"/>
  <c r="R469" i="62"/>
  <c r="R465" i="62"/>
  <c r="R457" i="62"/>
  <c r="R453" i="62"/>
  <c r="R449" i="62"/>
  <c r="R445" i="62"/>
  <c r="R441" i="62"/>
  <c r="R437" i="62"/>
  <c r="O130" i="62"/>
  <c r="V118" i="62"/>
  <c r="W118" i="62"/>
  <c r="O114" i="62"/>
  <c r="R108" i="62"/>
  <c r="V102" i="62"/>
  <c r="W102" i="62"/>
  <c r="O98" i="62"/>
  <c r="R92" i="62"/>
  <c r="W86" i="62"/>
  <c r="V86" i="62"/>
  <c r="O82" i="62"/>
  <c r="R76" i="62"/>
  <c r="V70" i="62"/>
  <c r="W70" i="62"/>
  <c r="O66" i="62"/>
  <c r="R60" i="62"/>
  <c r="V54" i="62"/>
  <c r="W54" i="62"/>
  <c r="V51" i="62"/>
  <c r="W51" i="62"/>
  <c r="W43" i="62"/>
  <c r="V43" i="62"/>
  <c r="V19" i="62"/>
  <c r="W19" i="62"/>
  <c r="V11" i="62"/>
  <c r="W11" i="62"/>
  <c r="V3" i="62"/>
  <c r="W3" i="62"/>
  <c r="O132" i="62"/>
  <c r="V171" i="62"/>
  <c r="W171" i="62"/>
  <c r="V327" i="62"/>
  <c r="W327" i="62"/>
  <c r="W131" i="62"/>
  <c r="V131" i="62"/>
  <c r="O127" i="62"/>
  <c r="R121" i="62"/>
  <c r="V115" i="62"/>
  <c r="W115" i="62"/>
  <c r="O111" i="62"/>
  <c r="R105" i="62"/>
  <c r="V99" i="62"/>
  <c r="W99" i="62"/>
  <c r="O95" i="62"/>
  <c r="R128" i="62"/>
  <c r="V122" i="62"/>
  <c r="W122" i="62"/>
  <c r="O118" i="62"/>
  <c r="V49" i="62"/>
  <c r="W49" i="62"/>
  <c r="V41" i="62"/>
  <c r="W41" i="62"/>
  <c r="R544" i="62"/>
  <c r="V94" i="62"/>
  <c r="W94" i="62"/>
  <c r="O90" i="62"/>
  <c r="R84" i="62"/>
  <c r="V78" i="62"/>
  <c r="W78" i="62"/>
  <c r="O74" i="62"/>
  <c r="R68" i="62"/>
  <c r="V62" i="62"/>
  <c r="W62" i="62"/>
  <c r="O58" i="62"/>
  <c r="R52" i="62"/>
  <c r="R325" i="62"/>
  <c r="R322" i="62"/>
  <c r="V319" i="62"/>
  <c r="W319" i="62"/>
  <c r="V313" i="62"/>
  <c r="W313" i="62"/>
  <c r="O309" i="62"/>
  <c r="O306" i="62"/>
  <c r="R300" i="62"/>
  <c r="W264" i="62"/>
  <c r="V264" i="62"/>
  <c r="O258" i="62"/>
  <c r="V256" i="62"/>
  <c r="W256" i="62"/>
  <c r="V248" i="62"/>
  <c r="W248" i="62"/>
  <c r="V240" i="62"/>
  <c r="W240" i="62"/>
  <c r="O234" i="62"/>
  <c r="R369" i="62"/>
  <c r="R365" i="62"/>
  <c r="R361" i="62"/>
  <c r="R553" i="62"/>
  <c r="R549" i="62"/>
  <c r="R545" i="62"/>
  <c r="R537" i="62"/>
  <c r="R129" i="62"/>
  <c r="V123" i="62"/>
  <c r="W123" i="62"/>
  <c r="O119" i="62"/>
  <c r="R113" i="62"/>
  <c r="V107" i="62"/>
  <c r="W107" i="62"/>
  <c r="O103" i="62"/>
  <c r="R97" i="62"/>
  <c r="V91" i="62"/>
  <c r="W91" i="62"/>
  <c r="O87" i="62"/>
  <c r="R81" i="62"/>
  <c r="V75" i="62"/>
  <c r="W75" i="62"/>
  <c r="O71" i="62"/>
  <c r="V59" i="62"/>
  <c r="W59" i="62"/>
  <c r="O55" i="62"/>
  <c r="R149" i="62"/>
  <c r="R141" i="62"/>
  <c r="R133" i="62"/>
  <c r="R190" i="62"/>
  <c r="R186" i="62"/>
  <c r="R182" i="62"/>
  <c r="R313" i="62"/>
  <c r="V310" i="62"/>
  <c r="W310" i="62"/>
  <c r="O303" i="62"/>
  <c r="O297" i="62"/>
  <c r="O294" i="62"/>
  <c r="V289" i="62"/>
  <c r="W289" i="62"/>
  <c r="R286" i="62"/>
  <c r="O283" i="62"/>
  <c r="R278" i="62"/>
  <c r="R275" i="62"/>
  <c r="O272" i="62"/>
  <c r="O269" i="62"/>
  <c r="V267" i="62"/>
  <c r="W267" i="62"/>
  <c r="O261" i="62"/>
  <c r="R253" i="62"/>
  <c r="O245" i="62"/>
  <c r="R229" i="62"/>
  <c r="O226" i="62"/>
  <c r="V224" i="62"/>
  <c r="W224" i="62"/>
  <c r="V221" i="62"/>
  <c r="W221" i="62"/>
  <c r="O215" i="62"/>
  <c r="V213" i="62"/>
  <c r="W213" i="62"/>
  <c r="R210" i="62"/>
  <c r="O204" i="62"/>
  <c r="R201" i="62"/>
  <c r="X208" i="62"/>
  <c r="X226" i="62"/>
  <c r="X250" i="62"/>
  <c r="O259" i="62"/>
  <c r="X276" i="62"/>
  <c r="R433" i="62"/>
  <c r="O219" i="62"/>
  <c r="R211" i="62"/>
  <c r="V206" i="62"/>
  <c r="W206" i="62"/>
  <c r="R203" i="62"/>
  <c r="R281" i="62"/>
  <c r="O328" i="62"/>
  <c r="V9" i="62"/>
  <c r="W9" i="62"/>
  <c r="W309" i="62"/>
  <c r="V309" i="62"/>
  <c r="V306" i="62"/>
  <c r="W306" i="62"/>
  <c r="O302" i="62"/>
  <c r="R285" i="62"/>
  <c r="V280" i="62"/>
  <c r="W280" i="62"/>
  <c r="O260" i="62"/>
  <c r="R376" i="62"/>
  <c r="R372" i="62"/>
  <c r="R368" i="62"/>
  <c r="R364" i="62"/>
  <c r="R532" i="62"/>
  <c r="R160" i="62"/>
  <c r="V126" i="62"/>
  <c r="W126" i="62"/>
  <c r="O122" i="62"/>
  <c r="V47" i="62"/>
  <c r="W47" i="62"/>
  <c r="W31" i="62"/>
  <c r="V31" i="62"/>
  <c r="O207" i="62"/>
  <c r="R217" i="62"/>
  <c r="O243" i="62"/>
  <c r="V276" i="62"/>
  <c r="W276" i="62"/>
  <c r="R429" i="62"/>
  <c r="R417" i="62"/>
  <c r="R413" i="62"/>
  <c r="R409" i="62"/>
  <c r="R333" i="62"/>
  <c r="R165" i="62"/>
  <c r="R157" i="62"/>
  <c r="V42" i="62"/>
  <c r="W42" i="62"/>
  <c r="W26" i="62"/>
  <c r="V26" i="62"/>
  <c r="V10" i="62"/>
  <c r="W10" i="62"/>
  <c r="O325" i="62"/>
  <c r="O322" i="62"/>
  <c r="R319" i="62"/>
  <c r="R316" i="62"/>
  <c r="V307" i="62"/>
  <c r="W307" i="62"/>
  <c r="W304" i="62"/>
  <c r="V304" i="62"/>
  <c r="O300" i="62"/>
  <c r="O286" i="62"/>
  <c r="V281" i="62"/>
  <c r="W281" i="62"/>
  <c r="V270" i="62"/>
  <c r="W270" i="62"/>
  <c r="R264" i="62"/>
  <c r="V251" i="62"/>
  <c r="W251" i="62"/>
  <c r="R248" i="62"/>
  <c r="V243" i="62"/>
  <c r="W243" i="62"/>
  <c r="V235" i="62"/>
  <c r="W235" i="62"/>
  <c r="X233" i="62"/>
  <c r="V232" i="62"/>
  <c r="W232" i="62"/>
  <c r="O218" i="62"/>
  <c r="X209" i="62"/>
  <c r="O227" i="62"/>
  <c r="X243" i="62"/>
  <c r="X294" i="62"/>
  <c r="V308" i="62"/>
  <c r="W308" i="62"/>
  <c r="X322" i="62"/>
  <c r="O429" i="62"/>
  <c r="V426" i="62"/>
  <c r="W426" i="62"/>
  <c r="O425" i="62"/>
  <c r="W422" i="62"/>
  <c r="V422" i="62"/>
  <c r="O421" i="62"/>
  <c r="W418" i="62"/>
  <c r="V418" i="62"/>
  <c r="O417" i="62"/>
  <c r="V414" i="62"/>
  <c r="W414" i="62"/>
  <c r="O413" i="62"/>
  <c r="W410" i="62"/>
  <c r="V410" i="62"/>
  <c r="O409" i="62"/>
  <c r="V406" i="62"/>
  <c r="W406" i="62"/>
  <c r="O405" i="62"/>
  <c r="V402" i="62"/>
  <c r="W402" i="62"/>
  <c r="O401" i="62"/>
  <c r="V398" i="62"/>
  <c r="W398" i="62"/>
  <c r="O397" i="62"/>
  <c r="V394" i="62"/>
  <c r="W394" i="62"/>
  <c r="O393" i="62"/>
  <c r="W390" i="62"/>
  <c r="V390" i="62"/>
  <c r="O389" i="62"/>
  <c r="W386" i="62"/>
  <c r="V386" i="62"/>
  <c r="O385" i="62"/>
  <c r="V382" i="62"/>
  <c r="W382" i="62"/>
  <c r="O381" i="62"/>
  <c r="V378" i="62"/>
  <c r="W378" i="62"/>
  <c r="O377" i="62"/>
  <c r="V374" i="62"/>
  <c r="W374" i="62"/>
  <c r="O373" i="62"/>
  <c r="W370" i="62"/>
  <c r="V370" i="62"/>
  <c r="O369" i="62"/>
  <c r="V366" i="62"/>
  <c r="W366" i="62"/>
  <c r="O365" i="62"/>
  <c r="W362" i="62"/>
  <c r="V362" i="62"/>
  <c r="O361" i="62"/>
  <c r="V358" i="62"/>
  <c r="W358" i="62"/>
  <c r="O357" i="62"/>
  <c r="V354" i="62"/>
  <c r="W354" i="62"/>
  <c r="O353" i="62"/>
  <c r="V350" i="62"/>
  <c r="W350" i="62"/>
  <c r="O349" i="62"/>
  <c r="V346" i="62"/>
  <c r="W346" i="62"/>
  <c r="O345" i="62"/>
  <c r="V342" i="62"/>
  <c r="W342" i="62"/>
  <c r="O341" i="62"/>
  <c r="W338" i="62"/>
  <c r="V338" i="62"/>
  <c r="O337" i="62"/>
  <c r="V334" i="62"/>
  <c r="W334" i="62"/>
  <c r="O333" i="62"/>
  <c r="V330" i="62"/>
  <c r="W330" i="62"/>
  <c r="O329" i="62"/>
  <c r="V554" i="62"/>
  <c r="W554" i="62"/>
  <c r="O553" i="62"/>
  <c r="V550" i="62"/>
  <c r="W550" i="62"/>
  <c r="O549" i="62"/>
  <c r="V546" i="62"/>
  <c r="W546" i="62"/>
  <c r="O545" i="62"/>
  <c r="W542" i="62"/>
  <c r="V542" i="62"/>
  <c r="O541" i="62"/>
  <c r="V538" i="62"/>
  <c r="W538" i="62"/>
  <c r="O537" i="62"/>
  <c r="V534" i="62"/>
  <c r="W534" i="62"/>
  <c r="O533" i="62"/>
  <c r="V530" i="62"/>
  <c r="W530" i="62"/>
  <c r="O529" i="62"/>
  <c r="W526" i="62"/>
  <c r="V526" i="62"/>
  <c r="O525" i="62"/>
  <c r="V522" i="62"/>
  <c r="W522" i="62"/>
  <c r="O521" i="62"/>
  <c r="V518" i="62"/>
  <c r="W518" i="62"/>
  <c r="O517" i="62"/>
  <c r="V514" i="62"/>
  <c r="W514" i="62"/>
  <c r="O513" i="62"/>
  <c r="V510" i="62"/>
  <c r="W510" i="62"/>
  <c r="O509" i="62"/>
  <c r="V506" i="62"/>
  <c r="W506" i="62"/>
  <c r="O505" i="62"/>
  <c r="V502" i="62"/>
  <c r="W502" i="62"/>
  <c r="O501" i="62"/>
  <c r="V498" i="62"/>
  <c r="W498" i="62"/>
  <c r="O497" i="62"/>
  <c r="V494" i="62"/>
  <c r="W494" i="62"/>
  <c r="O493" i="62"/>
  <c r="V490" i="62"/>
  <c r="W490" i="62"/>
  <c r="O489" i="62"/>
  <c r="V486" i="62"/>
  <c r="W486" i="62"/>
  <c r="O485" i="62"/>
  <c r="V482" i="62"/>
  <c r="W482" i="62"/>
  <c r="O481" i="62"/>
  <c r="V478" i="62"/>
  <c r="W478" i="62"/>
  <c r="O477" i="62"/>
  <c r="W474" i="62"/>
  <c r="V474" i="62"/>
  <c r="O473" i="62"/>
  <c r="W470" i="62"/>
  <c r="V470" i="62"/>
  <c r="O469" i="62"/>
  <c r="V466" i="62"/>
  <c r="W466" i="62"/>
  <c r="O465" i="62"/>
  <c r="W462" i="62"/>
  <c r="V462" i="62"/>
  <c r="O461" i="62"/>
  <c r="V458" i="62"/>
  <c r="W458" i="62"/>
  <c r="O457" i="62"/>
  <c r="W454" i="62"/>
  <c r="V454" i="62"/>
  <c r="O453" i="62"/>
  <c r="W450" i="62"/>
  <c r="V450" i="62"/>
  <c r="O449" i="62"/>
  <c r="V446" i="62"/>
  <c r="W446" i="62"/>
  <c r="O445" i="62"/>
  <c r="W442" i="62"/>
  <c r="V442" i="62"/>
  <c r="O441" i="62"/>
  <c r="V438" i="62"/>
  <c r="W438" i="62"/>
  <c r="O437" i="62"/>
  <c r="V434" i="62"/>
  <c r="W434" i="62"/>
  <c r="R412" i="62"/>
  <c r="R408" i="62"/>
  <c r="R404" i="62"/>
  <c r="V110" i="62"/>
  <c r="W110" i="62"/>
  <c r="V39" i="62"/>
  <c r="W39" i="62"/>
  <c r="V7" i="62"/>
  <c r="W7" i="62"/>
  <c r="V316" i="62"/>
  <c r="W316" i="62"/>
  <c r="R401" i="62"/>
  <c r="R397" i="62"/>
  <c r="R393" i="62"/>
  <c r="R389" i="62"/>
  <c r="R385" i="62"/>
  <c r="R381" i="62"/>
  <c r="R377" i="62"/>
  <c r="R533" i="62"/>
  <c r="R529" i="62"/>
  <c r="R126" i="62"/>
  <c r="V120" i="62"/>
  <c r="W120" i="62"/>
  <c r="O116" i="62"/>
  <c r="V104" i="62"/>
  <c r="W104" i="62"/>
  <c r="O100" i="62"/>
  <c r="R94" i="62"/>
  <c r="V88" i="62"/>
  <c r="W88" i="62"/>
  <c r="O84" i="62"/>
  <c r="R78" i="62"/>
  <c r="V72" i="62"/>
  <c r="W72" i="62"/>
  <c r="O68" i="62"/>
  <c r="R62" i="62"/>
  <c r="V56" i="62"/>
  <c r="W56" i="62"/>
  <c r="O52" i="62"/>
  <c r="V50" i="62"/>
  <c r="W50" i="62"/>
  <c r="V34" i="62"/>
  <c r="W34" i="62"/>
  <c r="V18" i="62"/>
  <c r="W18" i="62"/>
  <c r="X131" i="62"/>
  <c r="O129" i="62"/>
  <c r="V117" i="62"/>
  <c r="W117" i="62"/>
  <c r="X115" i="62"/>
  <c r="O113" i="62"/>
  <c r="R107" i="62"/>
  <c r="V101" i="62"/>
  <c r="W101" i="62"/>
  <c r="X99" i="62"/>
  <c r="O97" i="62"/>
  <c r="V85" i="62"/>
  <c r="W85" i="62"/>
  <c r="X83" i="62"/>
  <c r="O81" i="62"/>
  <c r="R75" i="62"/>
  <c r="V69" i="62"/>
  <c r="W69" i="62"/>
  <c r="X67" i="62"/>
  <c r="O65" i="62"/>
  <c r="R59" i="62"/>
  <c r="W53" i="62"/>
  <c r="V53" i="62"/>
  <c r="O169" i="62"/>
  <c r="V166" i="62"/>
  <c r="W166" i="62"/>
  <c r="O165" i="62"/>
  <c r="V162" i="62"/>
  <c r="W162" i="62"/>
  <c r="O161" i="62"/>
  <c r="V158" i="62"/>
  <c r="W158" i="62"/>
  <c r="O157" i="62"/>
  <c r="V154" i="62"/>
  <c r="W154" i="62"/>
  <c r="O153" i="62"/>
  <c r="V150" i="62"/>
  <c r="W150" i="62"/>
  <c r="O149" i="62"/>
  <c r="V146" i="62"/>
  <c r="W146" i="62"/>
  <c r="O145" i="62"/>
  <c r="V142" i="62"/>
  <c r="W142" i="62"/>
  <c r="O141" i="62"/>
  <c r="V138" i="62"/>
  <c r="W138" i="62"/>
  <c r="O137" i="62"/>
  <c r="V134" i="62"/>
  <c r="W134" i="62"/>
  <c r="O133" i="62"/>
  <c r="V199" i="62"/>
  <c r="W199" i="62"/>
  <c r="V195" i="62"/>
  <c r="W195" i="62"/>
  <c r="V191" i="62"/>
  <c r="W191" i="62"/>
  <c r="V187" i="62"/>
  <c r="W187" i="62"/>
  <c r="V183" i="62"/>
  <c r="W183" i="62"/>
  <c r="V179" i="62"/>
  <c r="W179" i="62"/>
  <c r="V175" i="62"/>
  <c r="W175" i="62"/>
  <c r="V200" i="62"/>
  <c r="W200" i="62"/>
  <c r="V326" i="62"/>
  <c r="W326" i="62"/>
  <c r="O313" i="62"/>
  <c r="R310" i="62"/>
  <c r="X296" i="62"/>
  <c r="V295" i="62"/>
  <c r="W295" i="62"/>
  <c r="X293" i="62"/>
  <c r="X282" i="62"/>
  <c r="O278" i="62"/>
  <c r="V273" i="62"/>
  <c r="W273" i="62"/>
  <c r="R267" i="62"/>
  <c r="V262" i="62"/>
  <c r="W262" i="62"/>
  <c r="X260" i="62"/>
  <c r="W259" i="62"/>
  <c r="V259" i="62"/>
  <c r="O253" i="62"/>
  <c r="V246" i="62"/>
  <c r="W246" i="62"/>
  <c r="O237" i="62"/>
  <c r="O229" i="62"/>
  <c r="R224" i="62"/>
  <c r="R221" i="62"/>
  <c r="O210" i="62"/>
  <c r="V208" i="62"/>
  <c r="W208" i="62"/>
  <c r="V205" i="62"/>
  <c r="W205" i="62"/>
  <c r="O202" i="62"/>
  <c r="X210" i="62"/>
  <c r="V244" i="62"/>
  <c r="W244" i="62"/>
  <c r="X259" i="62"/>
  <c r="X268" i="62"/>
  <c r="V287" i="62"/>
  <c r="W287" i="62"/>
  <c r="X308" i="62"/>
  <c r="O433" i="62"/>
  <c r="V430" i="62"/>
  <c r="W430" i="62"/>
  <c r="R362" i="62"/>
  <c r="R546" i="62"/>
  <c r="R502" i="62"/>
  <c r="R498" i="62"/>
  <c r="R486" i="62"/>
  <c r="R482" i="62"/>
  <c r="R474" i="62"/>
  <c r="R470" i="62"/>
  <c r="R466" i="62"/>
  <c r="R458" i="62"/>
  <c r="R454" i="62"/>
  <c r="R450" i="62"/>
  <c r="X444" i="62"/>
  <c r="R442" i="62"/>
  <c r="X440" i="62"/>
  <c r="R438" i="62"/>
  <c r="X436" i="62"/>
  <c r="R434" i="62"/>
  <c r="V35" i="62"/>
  <c r="W35" i="62"/>
  <c r="V27" i="62"/>
  <c r="W27" i="62"/>
  <c r="V130" i="62"/>
  <c r="W130" i="62"/>
  <c r="O126" i="62"/>
  <c r="V114" i="62"/>
  <c r="W114" i="62"/>
  <c r="O110" i="62"/>
  <c r="R104" i="62"/>
  <c r="V98" i="62"/>
  <c r="W98" i="62"/>
  <c r="O94" i="62"/>
  <c r="V82" i="62"/>
  <c r="W82" i="62"/>
  <c r="O78" i="62"/>
  <c r="R72" i="62"/>
  <c r="V66" i="62"/>
  <c r="W66" i="62"/>
  <c r="O62" i="62"/>
  <c r="W5" i="62"/>
  <c r="V5" i="62"/>
  <c r="V132" i="62"/>
  <c r="W132" i="62"/>
  <c r="V323" i="62"/>
  <c r="W323" i="62"/>
  <c r="O319" i="62"/>
  <c r="O316" i="62"/>
  <c r="V314" i="62"/>
  <c r="W314" i="62"/>
  <c r="R307" i="62"/>
  <c r="R304" i="62"/>
  <c r="V301" i="62"/>
  <c r="W301" i="62"/>
  <c r="V298" i="62"/>
  <c r="W298" i="62"/>
  <c r="R292" i="62"/>
  <c r="V284" i="62"/>
  <c r="W284" i="62"/>
  <c r="O281" i="62"/>
  <c r="R270" i="62"/>
  <c r="O256" i="62"/>
  <c r="V254" i="62"/>
  <c r="W254" i="62"/>
  <c r="R251" i="62"/>
  <c r="R243" i="62"/>
  <c r="O240" i="62"/>
  <c r="W238" i="62"/>
  <c r="V238" i="62"/>
  <c r="R235" i="62"/>
  <c r="R232" i="62"/>
  <c r="V227" i="62"/>
  <c r="W227" i="62"/>
  <c r="V219" i="62"/>
  <c r="W219" i="62"/>
  <c r="V216" i="62"/>
  <c r="W216" i="62"/>
  <c r="O211" i="62"/>
  <c r="V260" i="62"/>
  <c r="W260" i="62"/>
  <c r="O296" i="62"/>
  <c r="V324" i="62"/>
  <c r="W324" i="62"/>
  <c r="R426" i="62"/>
  <c r="R398" i="62"/>
  <c r="R394" i="62"/>
  <c r="R390" i="62"/>
  <c r="R386" i="62"/>
  <c r="R370" i="62"/>
  <c r="R530" i="62"/>
  <c r="R514" i="62"/>
  <c r="R150" i="62"/>
  <c r="R142" i="62"/>
  <c r="R138" i="62"/>
  <c r="R134" i="62"/>
  <c r="R199" i="62"/>
  <c r="X193" i="62"/>
  <c r="R191" i="62"/>
  <c r="X189" i="62"/>
  <c r="X185" i="62"/>
  <c r="R183" i="62"/>
  <c r="X181" i="62"/>
  <c r="X177" i="62"/>
  <c r="R175" i="62"/>
  <c r="X173" i="62"/>
  <c r="R200" i="62"/>
  <c r="R326" i="62"/>
  <c r="V320" i="62"/>
  <c r="W320" i="62"/>
  <c r="X312" i="62"/>
  <c r="O310" i="62"/>
  <c r="O307" i="62"/>
  <c r="R295" i="62"/>
  <c r="O289" i="62"/>
  <c r="R287" i="62"/>
  <c r="V279" i="62"/>
  <c r="W279" i="62"/>
  <c r="X277" i="62"/>
  <c r="R273" i="62"/>
  <c r="O270" i="62"/>
  <c r="O267" i="62"/>
  <c r="R259" i="62"/>
  <c r="R246" i="62"/>
  <c r="V230" i="62"/>
  <c r="W230" i="62"/>
  <c r="O224" i="62"/>
  <c r="O221" i="62"/>
  <c r="O213" i="62"/>
  <c r="R208" i="62"/>
  <c r="R205" i="62"/>
  <c r="X202" i="62"/>
  <c r="V228" i="62"/>
  <c r="W228" i="62"/>
  <c r="X236" i="62"/>
  <c r="X252" i="62"/>
  <c r="X279" i="62"/>
  <c r="X287" i="62"/>
  <c r="R297" i="62"/>
  <c r="X310" i="62"/>
  <c r="X324" i="62"/>
  <c r="R430" i="62"/>
  <c r="V45" i="62"/>
  <c r="W45" i="62"/>
  <c r="V37" i="62"/>
  <c r="W37" i="62"/>
  <c r="V29" i="62"/>
  <c r="W29" i="62"/>
  <c r="V21" i="62"/>
  <c r="W21" i="62"/>
  <c r="W13" i="62"/>
  <c r="V13" i="62"/>
  <c r="R354" i="62"/>
  <c r="R350" i="62"/>
  <c r="R346" i="62"/>
  <c r="R166" i="62"/>
  <c r="V32" i="62"/>
  <c r="W32" i="62"/>
  <c r="V16" i="62"/>
  <c r="W16" i="62"/>
  <c r="W8" i="62"/>
  <c r="V8" i="62"/>
  <c r="O304" i="62"/>
  <c r="R301" i="62"/>
  <c r="O292" i="62"/>
  <c r="R276" i="62"/>
  <c r="R254" i="62"/>
  <c r="O251" i="62"/>
  <c r="R227" i="62"/>
  <c r="R216" i="62"/>
  <c r="V211" i="62"/>
  <c r="W211" i="62"/>
  <c r="V203" i="62"/>
  <c r="W203" i="62"/>
  <c r="X211" i="62"/>
  <c r="X219" i="62"/>
  <c r="X228" i="62"/>
  <c r="X245" i="62"/>
  <c r="X261" i="62"/>
  <c r="V271" i="62"/>
  <c r="W271" i="62"/>
  <c r="O312" i="62"/>
  <c r="X325" i="62"/>
  <c r="V427" i="62"/>
  <c r="W427" i="62"/>
  <c r="O426" i="62"/>
  <c r="W423" i="62"/>
  <c r="V423" i="62"/>
  <c r="O422" i="62"/>
  <c r="V419" i="62"/>
  <c r="W419" i="62"/>
  <c r="O418" i="62"/>
  <c r="W415" i="62"/>
  <c r="V415" i="62"/>
  <c r="O414" i="62"/>
  <c r="V411" i="62"/>
  <c r="W411" i="62"/>
  <c r="O410" i="62"/>
  <c r="V407" i="62"/>
  <c r="W407" i="62"/>
  <c r="O406" i="62"/>
  <c r="V403" i="62"/>
  <c r="W403" i="62"/>
  <c r="O402" i="62"/>
  <c r="V399" i="62"/>
  <c r="W399" i="62"/>
  <c r="O398" i="62"/>
  <c r="V395" i="62"/>
  <c r="W395" i="62"/>
  <c r="O394" i="62"/>
  <c r="W391" i="62"/>
  <c r="V391" i="62"/>
  <c r="O390" i="62"/>
  <c r="V387" i="62"/>
  <c r="W387" i="62"/>
  <c r="O386" i="62"/>
  <c r="W383" i="62"/>
  <c r="V383" i="62"/>
  <c r="O382" i="62"/>
  <c r="V379" i="62"/>
  <c r="W379" i="62"/>
  <c r="O378" i="62"/>
  <c r="V375" i="62"/>
  <c r="W375" i="62"/>
  <c r="O374" i="62"/>
  <c r="V371" i="62"/>
  <c r="W371" i="62"/>
  <c r="O370" i="62"/>
  <c r="W367" i="62"/>
  <c r="V367" i="62"/>
  <c r="O366" i="62"/>
  <c r="V363" i="62"/>
  <c r="W363" i="62"/>
  <c r="O362" i="62"/>
  <c r="V359" i="62"/>
  <c r="W359" i="62"/>
  <c r="O358" i="62"/>
  <c r="V355" i="62"/>
  <c r="W355" i="62"/>
  <c r="O354" i="62"/>
  <c r="W351" i="62"/>
  <c r="V351" i="62"/>
  <c r="O350" i="62"/>
  <c r="V347" i="62"/>
  <c r="W347" i="62"/>
  <c r="O346" i="62"/>
  <c r="V343" i="62"/>
  <c r="W343" i="62"/>
  <c r="O342" i="62"/>
  <c r="W339" i="62"/>
  <c r="V339" i="62"/>
  <c r="O338" i="62"/>
  <c r="W335" i="62"/>
  <c r="V335" i="62"/>
  <c r="O334" i="62"/>
  <c r="V331" i="62"/>
  <c r="W331" i="62"/>
  <c r="O330" i="62"/>
  <c r="V555" i="62"/>
  <c r="W555" i="62"/>
  <c r="O554" i="62"/>
  <c r="V551" i="62"/>
  <c r="W551" i="62"/>
  <c r="O550" i="62"/>
  <c r="V547" i="62"/>
  <c r="W547" i="62"/>
  <c r="O546" i="62"/>
  <c r="V543" i="62"/>
  <c r="W543" i="62"/>
  <c r="O542" i="62"/>
  <c r="V539" i="62"/>
  <c r="W539" i="62"/>
  <c r="O538" i="62"/>
  <c r="W535" i="62"/>
  <c r="V535" i="62"/>
  <c r="O534" i="62"/>
  <c r="V531" i="62"/>
  <c r="W531" i="62"/>
  <c r="O530" i="62"/>
  <c r="V527" i="62"/>
  <c r="W527" i="62"/>
  <c r="O526" i="62"/>
  <c r="V523" i="62"/>
  <c r="W523" i="62"/>
  <c r="O522" i="62"/>
  <c r="V519" i="62"/>
  <c r="W519" i="62"/>
  <c r="O518" i="62"/>
  <c r="V515" i="62"/>
  <c r="W515" i="62"/>
  <c r="O514" i="62"/>
  <c r="W511" i="62"/>
  <c r="V511" i="62"/>
  <c r="O510" i="62"/>
  <c r="V507" i="62"/>
  <c r="W507" i="62"/>
  <c r="O506" i="62"/>
  <c r="W503" i="62"/>
  <c r="V503" i="62"/>
  <c r="O502" i="62"/>
  <c r="V499" i="62"/>
  <c r="W499" i="62"/>
  <c r="O498" i="62"/>
  <c r="V495" i="62"/>
  <c r="W495" i="62"/>
  <c r="O494" i="62"/>
  <c r="V491" i="62"/>
  <c r="W491" i="62"/>
  <c r="O490" i="62"/>
  <c r="V487" i="62"/>
  <c r="W487" i="62"/>
  <c r="O486" i="62"/>
  <c r="V483" i="62"/>
  <c r="W483" i="62"/>
  <c r="O482" i="62"/>
  <c r="V479" i="62"/>
  <c r="W479" i="62"/>
  <c r="O478" i="62"/>
  <c r="V475" i="62"/>
  <c r="W475" i="62"/>
  <c r="O474" i="62"/>
  <c r="V471" i="62"/>
  <c r="W471" i="62"/>
  <c r="O470" i="62"/>
  <c r="V467" i="62"/>
  <c r="W467" i="62"/>
  <c r="O466" i="62"/>
  <c r="V463" i="62"/>
  <c r="W463" i="62"/>
  <c r="O462" i="62"/>
  <c r="V459" i="62"/>
  <c r="W459" i="62"/>
  <c r="O458" i="62"/>
  <c r="W455" i="62"/>
  <c r="V455" i="62"/>
  <c r="O454" i="62"/>
  <c r="V451" i="62"/>
  <c r="W451" i="62"/>
  <c r="O450" i="62"/>
  <c r="W447" i="62"/>
  <c r="V447" i="62"/>
  <c r="O446" i="62"/>
  <c r="V443" i="62"/>
  <c r="W443" i="62"/>
  <c r="O442" i="62"/>
  <c r="W439" i="62"/>
  <c r="V439" i="62"/>
  <c r="O438" i="62"/>
  <c r="V435" i="62"/>
  <c r="W435" i="62"/>
  <c r="O434" i="62"/>
  <c r="R414" i="62"/>
  <c r="R410" i="62"/>
  <c r="R406" i="62"/>
  <c r="R338" i="62"/>
  <c r="R334" i="62"/>
  <c r="V127" i="62"/>
  <c r="W127" i="62"/>
  <c r="O123" i="62"/>
  <c r="W111" i="62"/>
  <c r="V111" i="62"/>
  <c r="O107" i="62"/>
  <c r="R101" i="62"/>
  <c r="V95" i="62"/>
  <c r="W95" i="62"/>
  <c r="O91" i="62"/>
  <c r="R85" i="62"/>
  <c r="V79" i="62"/>
  <c r="W79" i="62"/>
  <c r="O75" i="62"/>
  <c r="R69" i="62"/>
  <c r="W63" i="62"/>
  <c r="V63" i="62"/>
  <c r="O59" i="62"/>
  <c r="V124" i="62"/>
  <c r="W124" i="62"/>
  <c r="O120" i="62"/>
  <c r="R114" i="62"/>
  <c r="V108" i="62"/>
  <c r="W108" i="62"/>
  <c r="O104" i="62"/>
  <c r="V92" i="62"/>
  <c r="W92" i="62"/>
  <c r="O88" i="62"/>
  <c r="R82" i="62"/>
  <c r="W76" i="62"/>
  <c r="V76" i="62"/>
  <c r="O72" i="62"/>
  <c r="R66" i="62"/>
  <c r="V60" i="62"/>
  <c r="W60" i="62"/>
  <c r="O56" i="62"/>
  <c r="W48" i="62"/>
  <c r="V48" i="62"/>
  <c r="V40" i="62"/>
  <c r="W40" i="62"/>
  <c r="V24" i="62"/>
  <c r="W24" i="62"/>
  <c r="R323" i="62"/>
  <c r="V317" i="62"/>
  <c r="W317" i="62"/>
  <c r="R314" i="62"/>
  <c r="W311" i="62"/>
  <c r="V311" i="62"/>
  <c r="R298" i="62"/>
  <c r="V290" i="62"/>
  <c r="W290" i="62"/>
  <c r="R284" i="62"/>
  <c r="V265" i="62"/>
  <c r="W265" i="62"/>
  <c r="V249" i="62"/>
  <c r="W249" i="62"/>
  <c r="V241" i="62"/>
  <c r="W241" i="62"/>
  <c r="R238" i="62"/>
  <c r="O235" i="62"/>
  <c r="W222" i="62"/>
  <c r="V222" i="62"/>
  <c r="R127" i="62"/>
  <c r="V121" i="62"/>
  <c r="W121" i="62"/>
  <c r="X119" i="62"/>
  <c r="O117" i="62"/>
  <c r="V105" i="62"/>
  <c r="W105" i="62"/>
  <c r="X103" i="62"/>
  <c r="O101" i="62"/>
  <c r="W89" i="62"/>
  <c r="V89" i="62"/>
  <c r="X87" i="62"/>
  <c r="O85" i="62"/>
  <c r="R79" i="62"/>
  <c r="V73" i="62"/>
  <c r="W73" i="62"/>
  <c r="O69" i="62"/>
  <c r="V57" i="62"/>
  <c r="W57" i="62"/>
  <c r="X55" i="62"/>
  <c r="O53" i="62"/>
  <c r="V167" i="62"/>
  <c r="W167" i="62"/>
  <c r="O166" i="62"/>
  <c r="W163" i="62"/>
  <c r="V163" i="62"/>
  <c r="O162" i="62"/>
  <c r="V159" i="62"/>
  <c r="W159" i="62"/>
  <c r="O158" i="62"/>
  <c r="V155" i="62"/>
  <c r="W155" i="62"/>
  <c r="O154" i="62"/>
  <c r="W151" i="62"/>
  <c r="V151" i="62"/>
  <c r="O150" i="62"/>
  <c r="V147" i="62"/>
  <c r="W147" i="62"/>
  <c r="O146" i="62"/>
  <c r="V143" i="62"/>
  <c r="W143" i="62"/>
  <c r="O142" i="62"/>
  <c r="V139" i="62"/>
  <c r="W139" i="62"/>
  <c r="O138" i="62"/>
  <c r="V135" i="62"/>
  <c r="W135" i="62"/>
  <c r="O134" i="62"/>
  <c r="V196" i="62"/>
  <c r="W196" i="62"/>
  <c r="V192" i="62"/>
  <c r="W192" i="62"/>
  <c r="V188" i="62"/>
  <c r="W188" i="62"/>
  <c r="V184" i="62"/>
  <c r="W184" i="62"/>
  <c r="V180" i="62"/>
  <c r="W180" i="62"/>
  <c r="V176" i="62"/>
  <c r="W176" i="62"/>
  <c r="V172" i="62"/>
  <c r="W172" i="62"/>
  <c r="X328" i="62"/>
  <c r="O326" i="62"/>
  <c r="O323" i="62"/>
  <c r="R320" i="62"/>
  <c r="V305" i="62"/>
  <c r="W305" i="62"/>
  <c r="O295" i="62"/>
  <c r="O287" i="62"/>
  <c r="V282" i="62"/>
  <c r="W282" i="62"/>
  <c r="R279" i="62"/>
  <c r="O273" i="62"/>
  <c r="X269" i="62"/>
  <c r="V268" i="62"/>
  <c r="W268" i="62"/>
  <c r="X266" i="62"/>
  <c r="O262" i="62"/>
  <c r="V257" i="62"/>
  <c r="W257" i="62"/>
  <c r="O254" i="62"/>
  <c r="O246" i="62"/>
  <c r="O238" i="62"/>
  <c r="R230" i="62"/>
  <c r="X223" i="62"/>
  <c r="V214" i="62"/>
  <c r="W214" i="62"/>
  <c r="O208" i="62"/>
  <c r="O205" i="62"/>
  <c r="V212" i="62"/>
  <c r="W212" i="62"/>
  <c r="X220" i="62"/>
  <c r="O280" i="62"/>
  <c r="X297" i="62"/>
  <c r="X326" i="62"/>
  <c r="V431" i="62"/>
  <c r="W431" i="62"/>
  <c r="O430" i="62"/>
  <c r="O314" i="62"/>
  <c r="R311" i="62"/>
  <c r="R308" i="62"/>
  <c r="W302" i="62"/>
  <c r="V302" i="62"/>
  <c r="O301" i="62"/>
  <c r="O298" i="62"/>
  <c r="V293" i="62"/>
  <c r="W293" i="62"/>
  <c r="R290" i="62"/>
  <c r="O284" i="62"/>
  <c r="O276" i="62"/>
  <c r="V274" i="62"/>
  <c r="W274" i="62"/>
  <c r="R271" i="62"/>
  <c r="O265" i="62"/>
  <c r="O249" i="62"/>
  <c r="R241" i="62"/>
  <c r="V233" i="62"/>
  <c r="W233" i="62"/>
  <c r="V225" i="62"/>
  <c r="W225" i="62"/>
  <c r="R531" i="62"/>
  <c r="R515" i="62"/>
  <c r="R503" i="62"/>
  <c r="R499" i="62"/>
  <c r="R487" i="62"/>
  <c r="R483" i="62"/>
  <c r="R475" i="62"/>
  <c r="R471" i="62"/>
  <c r="R467" i="62"/>
  <c r="R459" i="62"/>
  <c r="R455" i="62"/>
  <c r="R451" i="62"/>
  <c r="X445" i="62"/>
  <c r="R443" i="62"/>
  <c r="X441" i="62"/>
  <c r="R439" i="62"/>
  <c r="X437" i="62"/>
  <c r="R435" i="62"/>
  <c r="Q429" i="62"/>
  <c r="R21" i="62"/>
  <c r="Q33" i="62"/>
  <c r="O45" i="62"/>
  <c r="S38" i="62"/>
  <c r="O29" i="62"/>
  <c r="S22" i="62"/>
  <c r="S14" i="62"/>
  <c r="O5" i="62"/>
  <c r="S35" i="62"/>
  <c r="O26" i="62"/>
  <c r="R13" i="62"/>
  <c r="Q25" i="62"/>
  <c r="O32" i="62"/>
  <c r="R27" i="62"/>
  <c r="S25" i="62"/>
  <c r="R19" i="62"/>
  <c r="S17" i="62"/>
  <c r="O16" i="62"/>
  <c r="R11" i="62"/>
  <c r="S9" i="62"/>
  <c r="O8" i="62"/>
  <c r="R3" i="62"/>
  <c r="S51" i="62"/>
  <c r="R29" i="62"/>
  <c r="S19" i="62"/>
  <c r="S3" i="62"/>
  <c r="Q44" i="62"/>
  <c r="Q28" i="62"/>
  <c r="R51" i="62"/>
  <c r="S49" i="62"/>
  <c r="O48" i="62"/>
  <c r="R43" i="62"/>
  <c r="S41" i="62"/>
  <c r="O40" i="62"/>
  <c r="S33" i="62"/>
  <c r="O24" i="62"/>
  <c r="Q47" i="62"/>
  <c r="Q39" i="62"/>
  <c r="Q31" i="62"/>
  <c r="Q23" i="62"/>
  <c r="Q15" i="62"/>
  <c r="Q7" i="62"/>
  <c r="S43" i="62"/>
  <c r="O18" i="62"/>
  <c r="S46" i="62"/>
  <c r="S30" i="62"/>
  <c r="O21" i="62"/>
  <c r="O13" i="62"/>
  <c r="S6" i="62"/>
  <c r="R35" i="62"/>
  <c r="O51" i="62"/>
  <c r="R46" i="62"/>
  <c r="S44" i="62"/>
  <c r="O43" i="62"/>
  <c r="R38" i="62"/>
  <c r="S36" i="62"/>
  <c r="O35" i="62"/>
  <c r="R30" i="62"/>
  <c r="S28" i="62"/>
  <c r="O27" i="62"/>
  <c r="R22" i="62"/>
  <c r="S20" i="62"/>
  <c r="O19" i="62"/>
  <c r="R14" i="62"/>
  <c r="S12" i="62"/>
  <c r="O11" i="62"/>
  <c r="R6" i="62"/>
  <c r="S4" i="62"/>
  <c r="O3" i="62"/>
  <c r="O50" i="62"/>
  <c r="O42" i="62"/>
  <c r="S27" i="62"/>
  <c r="O10" i="62"/>
  <c r="Q49" i="62"/>
  <c r="Q9" i="62"/>
  <c r="O37" i="62"/>
  <c r="R16" i="62"/>
  <c r="R8" i="62"/>
  <c r="R5" i="62"/>
  <c r="R48" i="62"/>
  <c r="R40" i="62"/>
  <c r="R32" i="62"/>
  <c r="R24" i="62"/>
  <c r="Q36" i="62"/>
  <c r="Q12" i="62"/>
  <c r="Q4" i="62"/>
  <c r="Q50" i="62"/>
  <c r="Q42" i="62"/>
  <c r="R49" i="62"/>
  <c r="S47" i="62"/>
  <c r="O46" i="62"/>
  <c r="R41" i="62"/>
  <c r="S39" i="62"/>
  <c r="O38" i="62"/>
  <c r="R33" i="62"/>
  <c r="S31" i="62"/>
  <c r="O30" i="62"/>
  <c r="R25" i="62"/>
  <c r="S23" i="62"/>
  <c r="O22" i="62"/>
  <c r="R17" i="62"/>
  <c r="S15" i="62"/>
  <c r="O14" i="62"/>
  <c r="R9" i="62"/>
  <c r="S7" i="62"/>
  <c r="O6" i="62"/>
  <c r="O34" i="62"/>
  <c r="S11" i="62"/>
  <c r="Q34" i="62"/>
  <c r="Q26" i="62"/>
  <c r="Q45" i="62"/>
  <c r="Q37" i="62"/>
  <c r="Q29" i="62"/>
  <c r="Q21" i="62"/>
  <c r="Q13" i="62"/>
  <c r="Q5" i="62"/>
  <c r="Q20" i="62"/>
  <c r="Q18" i="62"/>
  <c r="Q10" i="62"/>
  <c r="S50" i="62"/>
  <c r="O49" i="62"/>
  <c r="R44" i="62"/>
  <c r="S42" i="62"/>
  <c r="O41" i="62"/>
  <c r="R36" i="62"/>
  <c r="S34" i="62"/>
  <c r="O33" i="62"/>
  <c r="R28" i="62"/>
  <c r="S26" i="62"/>
  <c r="O25" i="62"/>
  <c r="R20" i="62"/>
  <c r="S18" i="62"/>
  <c r="O17" i="62"/>
  <c r="R12" i="62"/>
  <c r="S10" i="62"/>
  <c r="O9" i="62"/>
  <c r="R4" i="62"/>
  <c r="Q8" i="62"/>
  <c r="S45" i="62"/>
  <c r="O36" i="62"/>
  <c r="O28" i="62"/>
  <c r="S13" i="62"/>
  <c r="O12" i="62"/>
  <c r="O4" i="62"/>
  <c r="R37" i="62"/>
  <c r="Q41" i="62"/>
  <c r="Q17" i="62"/>
  <c r="Q48" i="62"/>
  <c r="Q24" i="62"/>
  <c r="Q16" i="62"/>
  <c r="R47" i="62"/>
  <c r="O44" i="62"/>
  <c r="R39" i="62"/>
  <c r="S37" i="62"/>
  <c r="S21" i="62"/>
  <c r="S5" i="62"/>
  <c r="Q51" i="62"/>
  <c r="Q43" i="62"/>
  <c r="Q35" i="62"/>
  <c r="Q27" i="62"/>
  <c r="Q19" i="62"/>
  <c r="Q11" i="62"/>
  <c r="Q3" i="62"/>
  <c r="R45" i="62"/>
  <c r="Q40" i="62"/>
  <c r="Q32" i="62"/>
  <c r="R31" i="62"/>
  <c r="S29" i="62"/>
  <c r="R23" i="62"/>
  <c r="O20" i="62"/>
  <c r="R15" i="62"/>
  <c r="R7" i="62"/>
  <c r="R50" i="62"/>
  <c r="S48" i="62"/>
  <c r="O47" i="62"/>
  <c r="R42" i="62"/>
  <c r="S40" i="62"/>
  <c r="O39" i="62"/>
  <c r="R34" i="62"/>
  <c r="S32" i="62"/>
  <c r="O31" i="62"/>
  <c r="R26" i="62"/>
  <c r="S24" i="62"/>
  <c r="O23" i="62"/>
  <c r="R18" i="62"/>
  <c r="S16" i="62"/>
  <c r="O15" i="62"/>
  <c r="R10" i="62"/>
  <c r="S8" i="62"/>
  <c r="O7" i="62"/>
  <c r="Q46" i="62"/>
  <c r="Q38" i="62"/>
  <c r="Q30" i="62"/>
  <c r="Q22" i="62"/>
  <c r="Q14" i="62"/>
  <c r="Q6" i="62"/>
  <c r="S164" i="62"/>
  <c r="S160" i="62"/>
  <c r="S156" i="62"/>
  <c r="S152" i="62"/>
  <c r="S148" i="62"/>
  <c r="S144" i="62"/>
  <c r="S170" i="62"/>
  <c r="S196" i="62"/>
  <c r="S2" i="62"/>
  <c r="Y2" i="62"/>
  <c r="S100" i="62"/>
  <c r="S84" i="62"/>
  <c r="R115" i="62"/>
  <c r="S55" i="62"/>
  <c r="R155" i="62"/>
  <c r="S184" i="62"/>
  <c r="S116" i="62"/>
  <c r="R112" i="62"/>
  <c r="S68" i="62"/>
  <c r="S52" i="62"/>
  <c r="S171" i="62"/>
  <c r="S129" i="62"/>
  <c r="R125" i="62"/>
  <c r="S113" i="62"/>
  <c r="R109" i="62"/>
  <c r="S97" i="62"/>
  <c r="S81" i="62"/>
  <c r="S65" i="62"/>
  <c r="R119" i="62"/>
  <c r="S107" i="62"/>
  <c r="S91" i="62"/>
  <c r="R168" i="62"/>
  <c r="S165" i="62"/>
  <c r="S145" i="62"/>
  <c r="S137" i="62"/>
  <c r="R136" i="62"/>
  <c r="S133" i="62"/>
  <c r="R170" i="62"/>
  <c r="S197" i="62"/>
  <c r="R196" i="62"/>
  <c r="S193" i="62"/>
  <c r="S189" i="62"/>
  <c r="R184" i="62"/>
  <c r="S181" i="62"/>
  <c r="R180" i="62"/>
  <c r="S177" i="62"/>
  <c r="S173" i="62"/>
  <c r="S123" i="62"/>
  <c r="R87" i="62"/>
  <c r="S75" i="62"/>
  <c r="R164" i="62"/>
  <c r="S161" i="62"/>
  <c r="S157" i="62"/>
  <c r="S153" i="62"/>
  <c r="S149" i="62"/>
  <c r="R188" i="62"/>
  <c r="R100" i="62"/>
  <c r="S88" i="62"/>
  <c r="R171" i="62"/>
  <c r="R131" i="62"/>
  <c r="R103" i="62"/>
  <c r="S59" i="62"/>
  <c r="S169" i="62"/>
  <c r="R148" i="62"/>
  <c r="S141" i="62"/>
  <c r="S185" i="62"/>
  <c r="S120" i="62"/>
  <c r="R116" i="62"/>
  <c r="S104" i="62"/>
  <c r="S72" i="62"/>
  <c r="S56" i="62"/>
  <c r="O2" i="62"/>
  <c r="S117" i="62"/>
  <c r="S101" i="62"/>
  <c r="S85" i="62"/>
  <c r="S69" i="62"/>
  <c r="R65" i="62"/>
  <c r="S53" i="62"/>
  <c r="S98" i="62"/>
  <c r="S82" i="62"/>
  <c r="S66" i="62"/>
  <c r="S198" i="62"/>
  <c r="S194" i="62"/>
  <c r="R193" i="62"/>
  <c r="S190" i="62"/>
  <c r="S186" i="62"/>
  <c r="R185" i="62"/>
  <c r="S182" i="62"/>
  <c r="S178" i="62"/>
  <c r="R177" i="62"/>
  <c r="S174" i="62"/>
  <c r="S87" i="62"/>
  <c r="R163" i="62"/>
  <c r="S136" i="62"/>
  <c r="R187" i="62"/>
  <c r="R179" i="62"/>
  <c r="S110" i="62"/>
  <c r="S62" i="62"/>
  <c r="S130" i="62"/>
  <c r="S114" i="62"/>
  <c r="R110" i="62"/>
  <c r="S127" i="62"/>
  <c r="R123" i="62"/>
  <c r="S111" i="62"/>
  <c r="S95" i="62"/>
  <c r="R91" i="62"/>
  <c r="S79" i="62"/>
  <c r="S63" i="62"/>
  <c r="R169" i="62"/>
  <c r="S166" i="62"/>
  <c r="S162" i="62"/>
  <c r="R161" i="62"/>
  <c r="S158" i="62"/>
  <c r="S154" i="62"/>
  <c r="R153" i="62"/>
  <c r="S150" i="62"/>
  <c r="S146" i="62"/>
  <c r="R145" i="62"/>
  <c r="S142" i="62"/>
  <c r="S138" i="62"/>
  <c r="R137" i="62"/>
  <c r="S134" i="62"/>
  <c r="S124" i="62"/>
  <c r="R120" i="62"/>
  <c r="S108" i="62"/>
  <c r="S92" i="62"/>
  <c r="R88" i="62"/>
  <c r="S76" i="62"/>
  <c r="S60" i="62"/>
  <c r="R56" i="62"/>
  <c r="S132" i="62"/>
  <c r="S73" i="62"/>
  <c r="S57" i="62"/>
  <c r="S103" i="62"/>
  <c r="S168" i="62"/>
  <c r="R147" i="62"/>
  <c r="S140" i="62"/>
  <c r="S176" i="62"/>
  <c r="W2" i="62"/>
  <c r="V2" i="62"/>
  <c r="R90" i="62"/>
  <c r="R130" i="62"/>
  <c r="S131" i="62"/>
  <c r="S115" i="62"/>
  <c r="R111" i="62"/>
  <c r="S99" i="62"/>
  <c r="S167" i="62"/>
  <c r="S163" i="62"/>
  <c r="R162" i="62"/>
  <c r="S159" i="62"/>
  <c r="R158" i="62"/>
  <c r="S155" i="62"/>
  <c r="R154" i="62"/>
  <c r="S151" i="62"/>
  <c r="S147" i="62"/>
  <c r="R146" i="62"/>
  <c r="S143" i="62"/>
  <c r="S139" i="62"/>
  <c r="S135" i="62"/>
  <c r="S199" i="62"/>
  <c r="R198" i="62"/>
  <c r="S195" i="62"/>
  <c r="R194" i="62"/>
  <c r="S191" i="62"/>
  <c r="S187" i="62"/>
  <c r="S183" i="62"/>
  <c r="S179" i="62"/>
  <c r="R178" i="62"/>
  <c r="S175" i="62"/>
  <c r="R174" i="62"/>
  <c r="R99" i="62"/>
  <c r="S71" i="62"/>
  <c r="R139" i="62"/>
  <c r="S192" i="62"/>
  <c r="S78" i="62"/>
  <c r="R58" i="62"/>
  <c r="R95" i="62"/>
  <c r="S83" i="62"/>
  <c r="S67" i="62"/>
  <c r="R63" i="62"/>
  <c r="S128" i="62"/>
  <c r="R124" i="62"/>
  <c r="S112" i="62"/>
  <c r="S96" i="62"/>
  <c r="S80" i="62"/>
  <c r="S64" i="62"/>
  <c r="R132" i="62"/>
  <c r="S121" i="62"/>
  <c r="S105" i="62"/>
  <c r="S118" i="62"/>
  <c r="S102" i="62"/>
  <c r="R98" i="62"/>
  <c r="S86" i="62"/>
  <c r="S70" i="62"/>
  <c r="S54" i="62"/>
  <c r="S125" i="62"/>
  <c r="S109" i="62"/>
  <c r="S93" i="62"/>
  <c r="R89" i="62"/>
  <c r="S77" i="62"/>
  <c r="R73" i="62"/>
  <c r="S61" i="62"/>
  <c r="S119" i="62"/>
  <c r="R83" i="62"/>
  <c r="R195" i="62"/>
  <c r="S188" i="62"/>
  <c r="S180" i="62"/>
  <c r="S172" i="62"/>
  <c r="S126" i="62"/>
  <c r="R106" i="62"/>
  <c r="S94" i="62"/>
  <c r="R117" i="62"/>
  <c r="S89" i="62"/>
  <c r="R53" i="62"/>
  <c r="S122" i="62"/>
  <c r="R118" i="62"/>
  <c r="S106" i="62"/>
  <c r="R102" i="62"/>
  <c r="S90" i="62"/>
  <c r="S74" i="62"/>
  <c r="R70" i="62"/>
  <c r="S58" i="62"/>
  <c r="S200" i="62"/>
  <c r="S326" i="62"/>
  <c r="S295" i="62"/>
  <c r="S292" i="62"/>
  <c r="S273" i="62"/>
  <c r="S262" i="62"/>
  <c r="S259" i="62"/>
  <c r="S246" i="62"/>
  <c r="R237" i="62"/>
  <c r="S208" i="62"/>
  <c r="S205" i="62"/>
  <c r="R202" i="62"/>
  <c r="S234" i="62"/>
  <c r="S431" i="62"/>
  <c r="S323" i="62"/>
  <c r="S301" i="62"/>
  <c r="S284" i="62"/>
  <c r="R256" i="62"/>
  <c r="S254" i="62"/>
  <c r="R240" i="62"/>
  <c r="S238" i="62"/>
  <c r="S227" i="62"/>
  <c r="S219" i="62"/>
  <c r="S216" i="62"/>
  <c r="S277" i="62"/>
  <c r="S317" i="62"/>
  <c r="S311" i="62"/>
  <c r="S290" i="62"/>
  <c r="S265" i="62"/>
  <c r="S249" i="62"/>
  <c r="S241" i="62"/>
  <c r="S222" i="62"/>
  <c r="S211" i="62"/>
  <c r="S203" i="62"/>
  <c r="S202" i="62"/>
  <c r="S428" i="62"/>
  <c r="R427" i="62"/>
  <c r="S424" i="62"/>
  <c r="S420" i="62"/>
  <c r="S416" i="62"/>
  <c r="S412" i="62"/>
  <c r="S408" i="62"/>
  <c r="R407" i="62"/>
  <c r="S404" i="62"/>
  <c r="R403" i="62"/>
  <c r="S400" i="62"/>
  <c r="R399" i="62"/>
  <c r="S396" i="62"/>
  <c r="S392" i="62"/>
  <c r="R391" i="62"/>
  <c r="S388" i="62"/>
  <c r="R387" i="62"/>
  <c r="S384" i="62"/>
  <c r="S380" i="62"/>
  <c r="R379" i="62"/>
  <c r="S376" i="62"/>
  <c r="R375" i="62"/>
  <c r="S372" i="62"/>
  <c r="R371" i="62"/>
  <c r="S368" i="62"/>
  <c r="S364" i="62"/>
  <c r="S360" i="62"/>
  <c r="S356" i="62"/>
  <c r="R355" i="62"/>
  <c r="S352" i="62"/>
  <c r="R351" i="62"/>
  <c r="S348" i="62"/>
  <c r="R347" i="62"/>
  <c r="S344" i="62"/>
  <c r="S340" i="62"/>
  <c r="R339" i="62"/>
  <c r="S336" i="62"/>
  <c r="R335" i="62"/>
  <c r="S332" i="62"/>
  <c r="S556" i="62"/>
  <c r="R555" i="62"/>
  <c r="S552" i="62"/>
  <c r="R551" i="62"/>
  <c r="S548" i="62"/>
  <c r="S544" i="62"/>
  <c r="R543" i="62"/>
  <c r="S540" i="62"/>
  <c r="R539" i="62"/>
  <c r="S536" i="62"/>
  <c r="R535" i="62"/>
  <c r="S532" i="62"/>
  <c r="S528" i="62"/>
  <c r="R527" i="62"/>
  <c r="S524" i="62"/>
  <c r="R523" i="62"/>
  <c r="S520" i="62"/>
  <c r="R519" i="62"/>
  <c r="S516" i="62"/>
  <c r="S512" i="62"/>
  <c r="R511" i="62"/>
  <c r="S508" i="62"/>
  <c r="R507" i="62"/>
  <c r="S504" i="62"/>
  <c r="S500" i="62"/>
  <c r="S496" i="62"/>
  <c r="R495" i="62"/>
  <c r="S492" i="62"/>
  <c r="R491" i="62"/>
  <c r="S488" i="62"/>
  <c r="S484" i="62"/>
  <c r="S480" i="62"/>
  <c r="R479" i="62"/>
  <c r="S476" i="62"/>
  <c r="S472" i="62"/>
  <c r="S468" i="62"/>
  <c r="S464" i="62"/>
  <c r="R463" i="62"/>
  <c r="S460" i="62"/>
  <c r="S456" i="62"/>
  <c r="S452" i="62"/>
  <c r="S448" i="62"/>
  <c r="R447" i="62"/>
  <c r="S444" i="62"/>
  <c r="S440" i="62"/>
  <c r="S436" i="62"/>
  <c r="S308" i="62"/>
  <c r="S305" i="62"/>
  <c r="S268" i="62"/>
  <c r="R262" i="62"/>
  <c r="S257" i="62"/>
  <c r="S214" i="62"/>
  <c r="S245" i="62"/>
  <c r="S261" i="62"/>
  <c r="S432" i="62"/>
  <c r="R431" i="62"/>
  <c r="S327" i="62"/>
  <c r="S302" i="62"/>
  <c r="S274" i="62"/>
  <c r="S271" i="62"/>
  <c r="S244" i="62"/>
  <c r="S233" i="62"/>
  <c r="S225" i="62"/>
  <c r="R219" i="62"/>
  <c r="S206" i="62"/>
  <c r="S324" i="62"/>
  <c r="S299" i="62"/>
  <c r="S296" i="62"/>
  <c r="S263" i="62"/>
  <c r="S260" i="62"/>
  <c r="S252" i="62"/>
  <c r="S247" i="62"/>
  <c r="S236" i="62"/>
  <c r="S229" i="62"/>
  <c r="S321" i="62"/>
  <c r="R317" i="62"/>
  <c r="S315" i="62"/>
  <c r="S288" i="62"/>
  <c r="S285" i="62"/>
  <c r="S228" i="62"/>
  <c r="R222" i="62"/>
  <c r="S217" i="62"/>
  <c r="S209" i="62"/>
  <c r="S298" i="62"/>
  <c r="S314" i="62"/>
  <c r="S429" i="62"/>
  <c r="S425" i="62"/>
  <c r="S421" i="62"/>
  <c r="S417" i="62"/>
  <c r="R416" i="62"/>
  <c r="S413" i="62"/>
  <c r="S409" i="62"/>
  <c r="S405" i="62"/>
  <c r="S401" i="62"/>
  <c r="R400" i="62"/>
  <c r="S397" i="62"/>
  <c r="S393" i="62"/>
  <c r="S389" i="62"/>
  <c r="S385" i="62"/>
  <c r="S381" i="62"/>
  <c r="R380" i="62"/>
  <c r="S377" i="62"/>
  <c r="S373" i="62"/>
  <c r="S369" i="62"/>
  <c r="S365" i="62"/>
  <c r="S361" i="62"/>
  <c r="R360" i="62"/>
  <c r="S357" i="62"/>
  <c r="S353" i="62"/>
  <c r="S349" i="62"/>
  <c r="S345" i="62"/>
  <c r="S341" i="62"/>
  <c r="S337" i="62"/>
  <c r="S333" i="62"/>
  <c r="S329" i="62"/>
  <c r="R556" i="62"/>
  <c r="S553" i="62"/>
  <c r="R552" i="62"/>
  <c r="S549" i="62"/>
  <c r="R548" i="62"/>
  <c r="S545" i="62"/>
  <c r="S541" i="62"/>
  <c r="R540" i="62"/>
  <c r="S537" i="62"/>
  <c r="R536" i="62"/>
  <c r="S533" i="62"/>
  <c r="S529" i="62"/>
  <c r="R528" i="62"/>
  <c r="S525" i="62"/>
  <c r="R524" i="62"/>
  <c r="S521" i="62"/>
  <c r="R520" i="62"/>
  <c r="S517" i="62"/>
  <c r="S513" i="62"/>
  <c r="R512" i="62"/>
  <c r="S509" i="62"/>
  <c r="R508" i="62"/>
  <c r="S505" i="62"/>
  <c r="S501" i="62"/>
  <c r="S497" i="62"/>
  <c r="R496" i="62"/>
  <c r="S493" i="62"/>
  <c r="R492" i="62"/>
  <c r="S489" i="62"/>
  <c r="S485" i="62"/>
  <c r="S481" i="62"/>
  <c r="R480" i="62"/>
  <c r="S477" i="62"/>
  <c r="S473" i="62"/>
  <c r="S469" i="62"/>
  <c r="S465" i="62"/>
  <c r="R464" i="62"/>
  <c r="S461" i="62"/>
  <c r="S457" i="62"/>
  <c r="S453" i="62"/>
  <c r="S449" i="62"/>
  <c r="R448" i="62"/>
  <c r="S445" i="62"/>
  <c r="S441" i="62"/>
  <c r="S437" i="62"/>
  <c r="S320" i="62"/>
  <c r="S287" i="62"/>
  <c r="R213" i="62"/>
  <c r="S218" i="62"/>
  <c r="S318" i="62"/>
  <c r="S312" i="62"/>
  <c r="S255" i="62"/>
  <c r="S242" i="62"/>
  <c r="S239" i="62"/>
  <c r="S231" i="62"/>
  <c r="S220" i="62"/>
  <c r="S201" i="62"/>
  <c r="S213" i="62"/>
  <c r="S433" i="62"/>
  <c r="S309" i="62"/>
  <c r="S306" i="62"/>
  <c r="S280" i="62"/>
  <c r="S258" i="62"/>
  <c r="R225" i="62"/>
  <c r="S212" i="62"/>
  <c r="R206" i="62"/>
  <c r="S328" i="62"/>
  <c r="S294" i="62"/>
  <c r="S291" i="62"/>
  <c r="S283" i="62"/>
  <c r="S272" i="62"/>
  <c r="S269" i="62"/>
  <c r="R239" i="62"/>
  <c r="R228" i="62"/>
  <c r="S226" i="62"/>
  <c r="S223" i="62"/>
  <c r="S215" i="62"/>
  <c r="S204" i="62"/>
  <c r="R289" i="62"/>
  <c r="S279" i="62"/>
  <c r="S276" i="62"/>
  <c r="S230" i="62"/>
  <c r="S325" i="62"/>
  <c r="S322" i="62"/>
  <c r="S303" i="62"/>
  <c r="S300" i="62"/>
  <c r="R209" i="62"/>
  <c r="S207" i="62"/>
  <c r="S282" i="62"/>
  <c r="S426" i="62"/>
  <c r="R425" i="62"/>
  <c r="S422" i="62"/>
  <c r="R421" i="62"/>
  <c r="S418" i="62"/>
  <c r="S414" i="62"/>
  <c r="S410" i="62"/>
  <c r="S406" i="62"/>
  <c r="R405" i="62"/>
  <c r="S402" i="62"/>
  <c r="S398" i="62"/>
  <c r="S394" i="62"/>
  <c r="S390" i="62"/>
  <c r="S386" i="62"/>
  <c r="S382" i="62"/>
  <c r="S378" i="62"/>
  <c r="S374" i="62"/>
  <c r="R373" i="62"/>
  <c r="S370" i="62"/>
  <c r="S366" i="62"/>
  <c r="S362" i="62"/>
  <c r="S358" i="62"/>
  <c r="R357" i="62"/>
  <c r="S354" i="62"/>
  <c r="S350" i="62"/>
  <c r="S346" i="62"/>
  <c r="S342" i="62"/>
  <c r="S338" i="62"/>
  <c r="R337" i="62"/>
  <c r="S334" i="62"/>
  <c r="S330" i="62"/>
  <c r="R329" i="62"/>
  <c r="S554" i="62"/>
  <c r="S550" i="62"/>
  <c r="S546" i="62"/>
  <c r="S542" i="62"/>
  <c r="R541" i="62"/>
  <c r="S538" i="62"/>
  <c r="S534" i="62"/>
  <c r="S530" i="62"/>
  <c r="S526" i="62"/>
  <c r="R525" i="62"/>
  <c r="S522" i="62"/>
  <c r="S518" i="62"/>
  <c r="S514" i="62"/>
  <c r="S510" i="62"/>
  <c r="R509" i="62"/>
  <c r="S506" i="62"/>
  <c r="S502" i="62"/>
  <c r="S498" i="62"/>
  <c r="S494" i="62"/>
  <c r="R493" i="62"/>
  <c r="S490" i="62"/>
  <c r="S486" i="62"/>
  <c r="S482" i="62"/>
  <c r="S478" i="62"/>
  <c r="R477" i="62"/>
  <c r="S474" i="62"/>
  <c r="S470" i="62"/>
  <c r="S466" i="62"/>
  <c r="S462" i="62"/>
  <c r="R461" i="62"/>
  <c r="S458" i="62"/>
  <c r="S454" i="62"/>
  <c r="S450" i="62"/>
  <c r="S446" i="62"/>
  <c r="S442" i="62"/>
  <c r="S438" i="62"/>
  <c r="S434" i="62"/>
  <c r="S297" i="62"/>
  <c r="S286" i="62"/>
  <c r="S278" i="62"/>
  <c r="S275" i="62"/>
  <c r="R266" i="62"/>
  <c r="S253" i="62"/>
  <c r="S237" i="62"/>
  <c r="R223" i="62"/>
  <c r="R212" i="62"/>
  <c r="S210" i="62"/>
  <c r="S430" i="62"/>
  <c r="S316" i="62"/>
  <c r="S313" i="62"/>
  <c r="R309" i="62"/>
  <c r="S264" i="62"/>
  <c r="S256" i="62"/>
  <c r="S248" i="62"/>
  <c r="S240" i="62"/>
  <c r="S319" i="62"/>
  <c r="S310" i="62"/>
  <c r="S289" i="62"/>
  <c r="S267" i="62"/>
  <c r="S224" i="62"/>
  <c r="S221" i="62"/>
  <c r="S307" i="62"/>
  <c r="S304" i="62"/>
  <c r="S281" i="62"/>
  <c r="S270" i="62"/>
  <c r="S251" i="62"/>
  <c r="S243" i="62"/>
  <c r="S235" i="62"/>
  <c r="S232" i="62"/>
  <c r="R218" i="62"/>
  <c r="S250" i="62"/>
  <c r="S266" i="62"/>
  <c r="S293" i="62"/>
  <c r="S427" i="62"/>
  <c r="S423" i="62"/>
  <c r="R422" i="62"/>
  <c r="S419" i="62"/>
  <c r="R418" i="62"/>
  <c r="S415" i="62"/>
  <c r="S411" i="62"/>
  <c r="S407" i="62"/>
  <c r="S403" i="62"/>
  <c r="R402" i="62"/>
  <c r="S399" i="62"/>
  <c r="S395" i="62"/>
  <c r="S391" i="62"/>
  <c r="S387" i="62"/>
  <c r="S383" i="62"/>
  <c r="R382" i="62"/>
  <c r="S379" i="62"/>
  <c r="R378" i="62"/>
  <c r="S375" i="62"/>
  <c r="R374" i="62"/>
  <c r="S371" i="62"/>
  <c r="S367" i="62"/>
  <c r="R366" i="62"/>
  <c r="S363" i="62"/>
  <c r="S359" i="62"/>
  <c r="R358" i="62"/>
  <c r="S355" i="62"/>
  <c r="S351" i="62"/>
  <c r="S347" i="62"/>
  <c r="S343" i="62"/>
  <c r="R342" i="62"/>
  <c r="S339" i="62"/>
  <c r="S335" i="62"/>
  <c r="S331" i="62"/>
  <c r="R330" i="62"/>
  <c r="S555" i="62"/>
  <c r="R554" i="62"/>
  <c r="S551" i="62"/>
  <c r="R550" i="62"/>
  <c r="S547" i="62"/>
  <c r="S543" i="62"/>
  <c r="R542" i="62"/>
  <c r="S539" i="62"/>
  <c r="R538" i="62"/>
  <c r="S535" i="62"/>
  <c r="R534" i="62"/>
  <c r="S531" i="62"/>
  <c r="S527" i="62"/>
  <c r="R526" i="62"/>
  <c r="S523" i="62"/>
  <c r="R522" i="62"/>
  <c r="S519" i="62"/>
  <c r="R518" i="62"/>
  <c r="S515" i="62"/>
  <c r="S511" i="62"/>
  <c r="R510" i="62"/>
  <c r="S507" i="62"/>
  <c r="R506" i="62"/>
  <c r="S503" i="62"/>
  <c r="S499" i="62"/>
  <c r="S495" i="62"/>
  <c r="R494" i="62"/>
  <c r="S491" i="62"/>
  <c r="R490" i="62"/>
  <c r="S487" i="62"/>
  <c r="S483" i="62"/>
  <c r="S479" i="62"/>
  <c r="R478" i="62"/>
  <c r="S475" i="62"/>
  <c r="S471" i="62"/>
  <c r="S467" i="62"/>
  <c r="S463" i="62"/>
  <c r="R462" i="62"/>
  <c r="S459" i="62"/>
  <c r="S455" i="62"/>
  <c r="S451" i="62"/>
  <c r="S447" i="62"/>
  <c r="R446" i="62"/>
  <c r="S443" i="62"/>
  <c r="S439" i="62"/>
  <c r="S435" i="62"/>
  <c r="AD573" i="62"/>
  <c r="AE573" i="62" s="1"/>
  <c r="AD565" i="62"/>
  <c r="AE565" i="62" s="1"/>
  <c r="AD567" i="62"/>
  <c r="AE567" i="62" s="1"/>
  <c r="AD561" i="62"/>
  <c r="AE561" i="62" s="1"/>
  <c r="AD557" i="62"/>
  <c r="AE557" i="62" s="1"/>
  <c r="AD568" i="62"/>
  <c r="AE568" i="62" s="1"/>
  <c r="AD562" i="62"/>
  <c r="AE562" i="62" s="1"/>
  <c r="AD558" i="62"/>
  <c r="AE558" i="62" s="1"/>
  <c r="AD569" i="62"/>
  <c r="AE569" i="62" s="1"/>
  <c r="AD570" i="62"/>
  <c r="AE570" i="62" s="1"/>
  <c r="AD572" i="62"/>
  <c r="AE572" i="62" s="1"/>
  <c r="AD566" i="62"/>
  <c r="AE566" i="62" s="1"/>
  <c r="AD582" i="62"/>
  <c r="AE582" i="62" s="1"/>
  <c r="AD563" i="62"/>
  <c r="AE563" i="62" s="1"/>
  <c r="AD630" i="62"/>
  <c r="AE630" i="62" s="1"/>
  <c r="AD577" i="62"/>
  <c r="AE577" i="62" s="1"/>
  <c r="AD559" i="62"/>
  <c r="AE559" i="62" s="1"/>
  <c r="AD674" i="62"/>
  <c r="AE674" i="62" s="1"/>
  <c r="AD672" i="62"/>
  <c r="AE672" i="62" s="1"/>
  <c r="AD587" i="62"/>
  <c r="AE587" i="62" s="1"/>
  <c r="AD649" i="62"/>
  <c r="AE649" i="62" s="1"/>
  <c r="AD663" i="62"/>
  <c r="AE663" i="62" s="1"/>
  <c r="AD658" i="62"/>
  <c r="AE658" i="62" s="1"/>
  <c r="AD656" i="62"/>
  <c r="AE656" i="62" s="1"/>
  <c r="AD671" i="62"/>
  <c r="AE671" i="62" s="1"/>
  <c r="AD633" i="62"/>
  <c r="AE633" i="62" s="1"/>
  <c r="AD647" i="62"/>
  <c r="AE647" i="62" s="1"/>
  <c r="AD662" i="62"/>
  <c r="AE662" i="62" s="1"/>
  <c r="AD629" i="62"/>
  <c r="AE629" i="62" s="1"/>
  <c r="AD617" i="62"/>
  <c r="AE617" i="62" s="1"/>
  <c r="AD631" i="62"/>
  <c r="AE631" i="62" s="1"/>
  <c r="AD642" i="62"/>
  <c r="AE642" i="62" s="1"/>
  <c r="AD640" i="62"/>
  <c r="AE640" i="62" s="1"/>
  <c r="AD655" i="62"/>
  <c r="AE655" i="62" s="1"/>
  <c r="AE678" i="62"/>
  <c r="AD675" i="62"/>
  <c r="AE675" i="62" s="1"/>
  <c r="AD591" i="62"/>
  <c r="AE591" i="62" s="1"/>
  <c r="AD650" i="62"/>
  <c r="AE650" i="62" s="1"/>
  <c r="AD599" i="62"/>
  <c r="AE599" i="62" s="1"/>
  <c r="AD638" i="62"/>
  <c r="AE638" i="62" s="1"/>
  <c r="AD618" i="62"/>
  <c r="AE618" i="62" s="1"/>
  <c r="AD654" i="62"/>
  <c r="AE654" i="62" s="1"/>
  <c r="AD646" i="62"/>
  <c r="AE646" i="62" s="1"/>
  <c r="AD597" i="62"/>
  <c r="AE597" i="62" s="1"/>
  <c r="AD626" i="62"/>
  <c r="AE626" i="62" s="1"/>
  <c r="AD624" i="62"/>
  <c r="AE624" i="62" s="1"/>
  <c r="AD623" i="62"/>
  <c r="AE623" i="62" s="1"/>
  <c r="AD613" i="62"/>
  <c r="AE613" i="62" s="1"/>
  <c r="AD666" i="62"/>
  <c r="AE666" i="62" s="1"/>
  <c r="AD601" i="62"/>
  <c r="AE601" i="62" s="1"/>
  <c r="AD615" i="62"/>
  <c r="AE615" i="62" s="1"/>
  <c r="AD590" i="62"/>
  <c r="AE590" i="62" s="1"/>
  <c r="AD560" i="62"/>
  <c r="AE560" i="62" s="1"/>
  <c r="AD659" i="62"/>
  <c r="AE659" i="62" s="1"/>
  <c r="AD594" i="62"/>
  <c r="AE594" i="62" s="1"/>
  <c r="AD592" i="62"/>
  <c r="AE592" i="62" s="1"/>
  <c r="AD670" i="62"/>
  <c r="AE670" i="62" s="1"/>
  <c r="AD652" i="62"/>
  <c r="AE652" i="62" s="1"/>
  <c r="AD634" i="62"/>
  <c r="AE634" i="62" s="1"/>
  <c r="AD583" i="62"/>
  <c r="AE583" i="62" s="1"/>
  <c r="AD643" i="62"/>
  <c r="AE643" i="62" s="1"/>
  <c r="AD578" i="62"/>
  <c r="AE578" i="62" s="1"/>
  <c r="AD576" i="62"/>
  <c r="AE576" i="62" s="1"/>
  <c r="AD636" i="62"/>
  <c r="AE636" i="62" s="1"/>
  <c r="AE680" i="62"/>
  <c r="AD571" i="62"/>
  <c r="AE571" i="62" s="1"/>
  <c r="AD676" i="62"/>
  <c r="AE676" i="62" s="1"/>
  <c r="AD627" i="62"/>
  <c r="AE627" i="62" s="1"/>
  <c r="AD661" i="62"/>
  <c r="AE661" i="62" s="1"/>
  <c r="AD639" i="62"/>
  <c r="AE639" i="62" s="1"/>
  <c r="AD622" i="62"/>
  <c r="AE622" i="62" s="1"/>
  <c r="AD620" i="62"/>
  <c r="AE620" i="62" s="1"/>
  <c r="AD602" i="62"/>
  <c r="AE602" i="62" s="1"/>
  <c r="AD664" i="62"/>
  <c r="AE664" i="62" s="1"/>
  <c r="AD580" i="62"/>
  <c r="AE580" i="62" s="1"/>
  <c r="AD660" i="62"/>
  <c r="AE660" i="62" s="1"/>
  <c r="AD611" i="62"/>
  <c r="AE611" i="62" s="1"/>
  <c r="AD673" i="62"/>
  <c r="AE673" i="62" s="1"/>
  <c r="AD607" i="62"/>
  <c r="AE607" i="62" s="1"/>
  <c r="AD606" i="62"/>
  <c r="AE606" i="62" s="1"/>
  <c r="AD604" i="62"/>
  <c r="AE604" i="62" s="1"/>
  <c r="AD586" i="62"/>
  <c r="AE586" i="62" s="1"/>
  <c r="AD648" i="62"/>
  <c r="AE648" i="62" s="1"/>
  <c r="AD644" i="62"/>
  <c r="AE644" i="62" s="1"/>
  <c r="AD595" i="62"/>
  <c r="AE595" i="62" s="1"/>
  <c r="AD657" i="62"/>
  <c r="AE657" i="62" s="1"/>
  <c r="AD575" i="62"/>
  <c r="AE575" i="62" s="1"/>
  <c r="AD574" i="62"/>
  <c r="AE574" i="62" s="1"/>
  <c r="AD588" i="62"/>
  <c r="AE588" i="62" s="1"/>
  <c r="AD632" i="62"/>
  <c r="AE632" i="62" s="1"/>
  <c r="AD564" i="62"/>
  <c r="AE564" i="62" s="1"/>
  <c r="AD628" i="62"/>
  <c r="AE628" i="62" s="1"/>
  <c r="AD579" i="62"/>
  <c r="AE579" i="62" s="1"/>
  <c r="AD641" i="62"/>
  <c r="AE641" i="62" s="1"/>
  <c r="AD669" i="62"/>
  <c r="AE669" i="62" s="1"/>
  <c r="AD581" i="62"/>
  <c r="AE581" i="62" s="1"/>
  <c r="AD616" i="62"/>
  <c r="AE616" i="62" s="1"/>
  <c r="AD614" i="62"/>
  <c r="AE614" i="62" s="1"/>
  <c r="AD612" i="62"/>
  <c r="AE612" i="62" s="1"/>
  <c r="AD625" i="62"/>
  <c r="AE625" i="62" s="1"/>
  <c r="AD653" i="62"/>
  <c r="AE653" i="62" s="1"/>
  <c r="AD667" i="62"/>
  <c r="AE667" i="62" s="1"/>
  <c r="AD600" i="62"/>
  <c r="AE600" i="62" s="1"/>
  <c r="AD619" i="62"/>
  <c r="AE619" i="62" s="1"/>
  <c r="AD645" i="62"/>
  <c r="AE645" i="62" s="1"/>
  <c r="AD665" i="62"/>
  <c r="AE665" i="62" s="1"/>
  <c r="AD610" i="62"/>
  <c r="AE610" i="62" s="1"/>
  <c r="AD608" i="62"/>
  <c r="AE608" i="62" s="1"/>
  <c r="AD668" i="62"/>
  <c r="AE668" i="62" s="1"/>
  <c r="AD585" i="62"/>
  <c r="AE585" i="62" s="1"/>
  <c r="AD596" i="62"/>
  <c r="AE596" i="62" s="1"/>
  <c r="AD609" i="62"/>
  <c r="AE609" i="62" s="1"/>
  <c r="AD637" i="62"/>
  <c r="AE637" i="62" s="1"/>
  <c r="AD651" i="62"/>
  <c r="AE651" i="62" s="1"/>
  <c r="AD584" i="62"/>
  <c r="AE584" i="62" s="1"/>
  <c r="AD598" i="62"/>
  <c r="AE598" i="62" s="1"/>
  <c r="AD593" i="62"/>
  <c r="AE593" i="62" s="1"/>
  <c r="AD621" i="62"/>
  <c r="AE621" i="62" s="1"/>
  <c r="AD635" i="62"/>
  <c r="AE635" i="62" s="1"/>
  <c r="AD677" i="62"/>
  <c r="AE677" i="62" s="1"/>
  <c r="AD605" i="62"/>
  <c r="AE605" i="62" s="1"/>
  <c r="AE681" i="62"/>
  <c r="AD589" i="62"/>
  <c r="AE589" i="62" s="1"/>
  <c r="AD603" i="62"/>
  <c r="AE603" i="62" s="1"/>
  <c r="AE679" i="62"/>
  <c r="AD19" i="62"/>
  <c r="AD379" i="62"/>
  <c r="AD375" i="62"/>
  <c r="AD400" i="62"/>
  <c r="AD427" i="62"/>
  <c r="AD366" i="62"/>
  <c r="AD409" i="62"/>
  <c r="AD357" i="62"/>
  <c r="AD359" i="62"/>
  <c r="AD31" i="62"/>
  <c r="AD352" i="62"/>
  <c r="AD542" i="62"/>
  <c r="AD526" i="62"/>
  <c r="AD510" i="62"/>
  <c r="AD494" i="62"/>
  <c r="AD478" i="62"/>
  <c r="AD462" i="62"/>
  <c r="AD446" i="62"/>
  <c r="AD355" i="62"/>
  <c r="AD430" i="62"/>
  <c r="AD347" i="62"/>
  <c r="AD422" i="62"/>
  <c r="AD418" i="62"/>
  <c r="AD414" i="62"/>
  <c r="AD406" i="62"/>
  <c r="AD402" i="62"/>
  <c r="AD390" i="62"/>
  <c r="AD386" i="62"/>
  <c r="AD370" i="62"/>
  <c r="AD362" i="62"/>
  <c r="AD354" i="62"/>
  <c r="AD350" i="62"/>
  <c r="AD346" i="62"/>
  <c r="AD423" i="62"/>
  <c r="AD339" i="62"/>
  <c r="AD523" i="62"/>
  <c r="AD22" i="62"/>
  <c r="AD416" i="62"/>
  <c r="AD334" i="62"/>
  <c r="AD459" i="62"/>
  <c r="AD492" i="62"/>
  <c r="AD411" i="62"/>
  <c r="AD331" i="62"/>
  <c r="AD407" i="62"/>
  <c r="AD398" i="62"/>
  <c r="AD391" i="62"/>
  <c r="AD403" i="62"/>
  <c r="AD384" i="62"/>
  <c r="AD382" i="62"/>
  <c r="AD371" i="62"/>
  <c r="AD405" i="62"/>
  <c r="AD381" i="62"/>
  <c r="AD353" i="62"/>
  <c r="AD329" i="62"/>
  <c r="AD522" i="62"/>
  <c r="AD458" i="62"/>
  <c r="AD509" i="62"/>
  <c r="AD445" i="62"/>
  <c r="AD401" i="62"/>
  <c r="AD377" i="62"/>
  <c r="AD351" i="62"/>
  <c r="AD508" i="62"/>
  <c r="AD444" i="62"/>
  <c r="AD543" i="62"/>
  <c r="AD511" i="62"/>
  <c r="AD495" i="62"/>
  <c r="AD479" i="62"/>
  <c r="AD463" i="62"/>
  <c r="AD447" i="62"/>
  <c r="AD507" i="62"/>
  <c r="AD443" i="62"/>
  <c r="AD425" i="62"/>
  <c r="AD399" i="62"/>
  <c r="AD373" i="62"/>
  <c r="AD349" i="62"/>
  <c r="AD506" i="62"/>
  <c r="AD442" i="62"/>
  <c r="AD493" i="62"/>
  <c r="AD421" i="62"/>
  <c r="AD397" i="62"/>
  <c r="AD369" i="62"/>
  <c r="AD345" i="62"/>
  <c r="AD556" i="62"/>
  <c r="AD24" i="62"/>
  <c r="AD419" i="62"/>
  <c r="AD395" i="62"/>
  <c r="AD368" i="62"/>
  <c r="AD343" i="62"/>
  <c r="AD432" i="62"/>
  <c r="AD552" i="62"/>
  <c r="AD548" i="62"/>
  <c r="AD544" i="62"/>
  <c r="AD536" i="62"/>
  <c r="AD532" i="62"/>
  <c r="AD528" i="62"/>
  <c r="AD520" i="62"/>
  <c r="AD516" i="62"/>
  <c r="AD512" i="62"/>
  <c r="AD504" i="62"/>
  <c r="AD500" i="62"/>
  <c r="AD496" i="62"/>
  <c r="AD488" i="62"/>
  <c r="AD484" i="62"/>
  <c r="AD480" i="62"/>
  <c r="AD472" i="62"/>
  <c r="AD468" i="62"/>
  <c r="AD464" i="62"/>
  <c r="AD456" i="62"/>
  <c r="AD452" i="62"/>
  <c r="AD448" i="62"/>
  <c r="AD440" i="62"/>
  <c r="AD436" i="62"/>
  <c r="AD555" i="62"/>
  <c r="AD491" i="62"/>
  <c r="AD417" i="62"/>
  <c r="AD393" i="62"/>
  <c r="AD367" i="62"/>
  <c r="AD341" i="62"/>
  <c r="AD554" i="62"/>
  <c r="AD490" i="62"/>
  <c r="AD541" i="62"/>
  <c r="AD477" i="62"/>
  <c r="AD415" i="62"/>
  <c r="AD389" i="62"/>
  <c r="AD365" i="62"/>
  <c r="AD337" i="62"/>
  <c r="AD540" i="62"/>
  <c r="AD476" i="62"/>
  <c r="AD433" i="62"/>
  <c r="AD545" i="62"/>
  <c r="AD497" i="62"/>
  <c r="AD481" i="62"/>
  <c r="AD465" i="62"/>
  <c r="AD449" i="62"/>
  <c r="AD539" i="62"/>
  <c r="AD475" i="62"/>
  <c r="AD387" i="62"/>
  <c r="AD363" i="62"/>
  <c r="AD336" i="62"/>
  <c r="AD413" i="62"/>
  <c r="AD385" i="62"/>
  <c r="AD361" i="62"/>
  <c r="AD335" i="62"/>
  <c r="AD538" i="62"/>
  <c r="AD474" i="62"/>
  <c r="AD525" i="62"/>
  <c r="AD461" i="62"/>
  <c r="AD383" i="62"/>
  <c r="AD333" i="62"/>
  <c r="AD524" i="62"/>
  <c r="AD460" i="62"/>
  <c r="AD553" i="62"/>
  <c r="AD537" i="62"/>
  <c r="AD521" i="62"/>
  <c r="AD505" i="62"/>
  <c r="AD489" i="62"/>
  <c r="AD473" i="62"/>
  <c r="AD457" i="62"/>
  <c r="AD441" i="62"/>
  <c r="AD551" i="62"/>
  <c r="AD535" i="62"/>
  <c r="AD519" i="62"/>
  <c r="AD503" i="62"/>
  <c r="AD487" i="62"/>
  <c r="AD471" i="62"/>
  <c r="AD455" i="62"/>
  <c r="AD439" i="62"/>
  <c r="AD338" i="62"/>
  <c r="AD340" i="62"/>
  <c r="AD431" i="62"/>
  <c r="AD550" i="62"/>
  <c r="AD534" i="62"/>
  <c r="AD518" i="62"/>
  <c r="AD502" i="62"/>
  <c r="AD486" i="62"/>
  <c r="AD470" i="62"/>
  <c r="AD454" i="62"/>
  <c r="AD438" i="62"/>
  <c r="AD549" i="62"/>
  <c r="AD533" i="62"/>
  <c r="AD517" i="62"/>
  <c r="AD501" i="62"/>
  <c r="AD485" i="62"/>
  <c r="AD469" i="62"/>
  <c r="AD453" i="62"/>
  <c r="AD437" i="62"/>
  <c r="AD547" i="62"/>
  <c r="AD531" i="62"/>
  <c r="AD515" i="62"/>
  <c r="AD499" i="62"/>
  <c r="AD483" i="62"/>
  <c r="AD467" i="62"/>
  <c r="AD451" i="62"/>
  <c r="AD435" i="62"/>
  <c r="AD546" i="62"/>
  <c r="AD530" i="62"/>
  <c r="AD514" i="62"/>
  <c r="AD498" i="62"/>
  <c r="AD482" i="62"/>
  <c r="AD466" i="62"/>
  <c r="AD450" i="62"/>
  <c r="AD434" i="62"/>
  <c r="AD529" i="62"/>
  <c r="AD513" i="62"/>
  <c r="AD527" i="62"/>
  <c r="AD428" i="62"/>
  <c r="AD412" i="62"/>
  <c r="AD396" i="62"/>
  <c r="AD380" i="62"/>
  <c r="AD364" i="62"/>
  <c r="AD348" i="62"/>
  <c r="AD332" i="62"/>
  <c r="AD426" i="62"/>
  <c r="AD410" i="62"/>
  <c r="AD394" i="62"/>
  <c r="AD378" i="62"/>
  <c r="AD330" i="62"/>
  <c r="AD424" i="62"/>
  <c r="AD408" i="62"/>
  <c r="AD392" i="62"/>
  <c r="AD376" i="62"/>
  <c r="AD360" i="62"/>
  <c r="AD344" i="62"/>
  <c r="AD374" i="62"/>
  <c r="AD358" i="62"/>
  <c r="AD342" i="62"/>
  <c r="AD420" i="62"/>
  <c r="AD404" i="62"/>
  <c r="AD388" i="62"/>
  <c r="AD372" i="62"/>
  <c r="AD356" i="62"/>
  <c r="AD25" i="62"/>
  <c r="AD17" i="62"/>
  <c r="AD29" i="62"/>
  <c r="AD27" i="62"/>
  <c r="AD207" i="62"/>
  <c r="AD26" i="62"/>
  <c r="AD34" i="62"/>
  <c r="AD23" i="62"/>
  <c r="AD18" i="62"/>
  <c r="AD28" i="62"/>
  <c r="AD92" i="62"/>
  <c r="AD222" i="62"/>
  <c r="AD238" i="62"/>
  <c r="AD230" i="62"/>
  <c r="AD231" i="62"/>
  <c r="AD232" i="62"/>
  <c r="AD235" i="62"/>
  <c r="AD286" i="62"/>
  <c r="AD102" i="62"/>
  <c r="AD21" i="62"/>
  <c r="AD237" i="62"/>
  <c r="AD236" i="62"/>
  <c r="AD234" i="62"/>
  <c r="AD20" i="62"/>
  <c r="AD233" i="62"/>
  <c r="AD55" i="62"/>
  <c r="AD229" i="62"/>
  <c r="AD5" i="62"/>
  <c r="AD44" i="62"/>
  <c r="AD143" i="62"/>
  <c r="AD319" i="62"/>
  <c r="AD303" i="62"/>
  <c r="AD287" i="62"/>
  <c r="AD271" i="62"/>
  <c r="AD255" i="62"/>
  <c r="AD242" i="62"/>
  <c r="AD258" i="62"/>
  <c r="AD274" i="62"/>
  <c r="AD290" i="62"/>
  <c r="AD306" i="62"/>
  <c r="AD322" i="62"/>
  <c r="AD243" i="62"/>
  <c r="AD259" i="62"/>
  <c r="AD275" i="62"/>
  <c r="AD291" i="62"/>
  <c r="AD307" i="62"/>
  <c r="AD323" i="62"/>
  <c r="AD244" i="62"/>
  <c r="AD260" i="62"/>
  <c r="AD276" i="62"/>
  <c r="AD292" i="62"/>
  <c r="AD308" i="62"/>
  <c r="AD324" i="62"/>
  <c r="AD245" i="62"/>
  <c r="AD261" i="62"/>
  <c r="AD277" i="62"/>
  <c r="AD293" i="62"/>
  <c r="AD309" i="62"/>
  <c r="AD325" i="62"/>
  <c r="AD246" i="62"/>
  <c r="AD262" i="62"/>
  <c r="AD278" i="62"/>
  <c r="AD294" i="62"/>
  <c r="AD310" i="62"/>
  <c r="AD326" i="62"/>
  <c r="AD247" i="62"/>
  <c r="AD263" i="62"/>
  <c r="AD279" i="62"/>
  <c r="AD295" i="62"/>
  <c r="AD311" i="62"/>
  <c r="AD327" i="62"/>
  <c r="AD248" i="62"/>
  <c r="AD264" i="62"/>
  <c r="AD280" i="62"/>
  <c r="AD296" i="62"/>
  <c r="AD312" i="62"/>
  <c r="AD328" i="62"/>
  <c r="AD249" i="62"/>
  <c r="AD265" i="62"/>
  <c r="AD281" i="62"/>
  <c r="AD297" i="62"/>
  <c r="AD313" i="62"/>
  <c r="AD250" i="62"/>
  <c r="AD266" i="62"/>
  <c r="AD282" i="62"/>
  <c r="AD298" i="62"/>
  <c r="AD314" i="62"/>
  <c r="AD251" i="62"/>
  <c r="AD267" i="62"/>
  <c r="AD283" i="62"/>
  <c r="AD299" i="62"/>
  <c r="AD315" i="62"/>
  <c r="AD252" i="62"/>
  <c r="AD268" i="62"/>
  <c r="AD284" i="62"/>
  <c r="AD300" i="62"/>
  <c r="AD316" i="62"/>
  <c r="AD240" i="62"/>
  <c r="AD256" i="62"/>
  <c r="AD272" i="62"/>
  <c r="AD288" i="62"/>
  <c r="AD304" i="62"/>
  <c r="AD320" i="62"/>
  <c r="AD301" i="62"/>
  <c r="AD302" i="62"/>
  <c r="AD239" i="62"/>
  <c r="AD253" i="62"/>
  <c r="AD317" i="62"/>
  <c r="AD254" i="62"/>
  <c r="AD318" i="62"/>
  <c r="AD269" i="62"/>
  <c r="AD270" i="62"/>
  <c r="AD285" i="62"/>
  <c r="AD289" i="62"/>
  <c r="AD273" i="62"/>
  <c r="AD321" i="62"/>
  <c r="AD257" i="62"/>
  <c r="AD305" i="62"/>
  <c r="AD241" i="62"/>
  <c r="AD206" i="62"/>
  <c r="AD118" i="62"/>
  <c r="AD159" i="62"/>
  <c r="AD2" i="62"/>
  <c r="AD37" i="62"/>
  <c r="AD195" i="62"/>
  <c r="AD197" i="62"/>
  <c r="AD196" i="62"/>
  <c r="AD119" i="62"/>
  <c r="AD4" i="62"/>
  <c r="AD7" i="62"/>
  <c r="AD112" i="62"/>
  <c r="AD133" i="62"/>
  <c r="AD39" i="62"/>
  <c r="AD65" i="62"/>
  <c r="AD158" i="62"/>
  <c r="AD142" i="62"/>
  <c r="AD47" i="62"/>
  <c r="AD63" i="62"/>
  <c r="AD15" i="62"/>
  <c r="AD6" i="62"/>
  <c r="AD9" i="62"/>
  <c r="AD30" i="62"/>
  <c r="AD64" i="62"/>
  <c r="AD12" i="62"/>
  <c r="AD41" i="62"/>
  <c r="AD225" i="62"/>
  <c r="AD132" i="62"/>
  <c r="AD223" i="62"/>
  <c r="AD86" i="62"/>
  <c r="AD209" i="62"/>
  <c r="AD224" i="62"/>
  <c r="AD208" i="62"/>
  <c r="AD194" i="62"/>
  <c r="AD221" i="62"/>
  <c r="AD205" i="62"/>
  <c r="AD191" i="62"/>
  <c r="AD220" i="62"/>
  <c r="AD204" i="62"/>
  <c r="AD219" i="62"/>
  <c r="AD203" i="62"/>
  <c r="AD218" i="62"/>
  <c r="AD202" i="62"/>
  <c r="AD217" i="62"/>
  <c r="AD201" i="62"/>
  <c r="AD190" i="62"/>
  <c r="AD216" i="62"/>
  <c r="AD200" i="62"/>
  <c r="AD215" i="62"/>
  <c r="AD175" i="62"/>
  <c r="AD214" i="62"/>
  <c r="AD213" i="62"/>
  <c r="AD199" i="62"/>
  <c r="AD228" i="62"/>
  <c r="AD212" i="62"/>
  <c r="AD198" i="62"/>
  <c r="AD227" i="62"/>
  <c r="AD211" i="62"/>
  <c r="AD226" i="62"/>
  <c r="AD210" i="62"/>
  <c r="AD147" i="62"/>
  <c r="AD163" i="62"/>
  <c r="AD179" i="62"/>
  <c r="AD149" i="62"/>
  <c r="AD165" i="62"/>
  <c r="AD181" i="62"/>
  <c r="AD134" i="62"/>
  <c r="AD139" i="62"/>
  <c r="AD155" i="62"/>
  <c r="AD171" i="62"/>
  <c r="AD187" i="62"/>
  <c r="AD140" i="62"/>
  <c r="AD156" i="62"/>
  <c r="AD172" i="62"/>
  <c r="AD188" i="62"/>
  <c r="AD141" i="62"/>
  <c r="AD157" i="62"/>
  <c r="AD173" i="62"/>
  <c r="AD189" i="62"/>
  <c r="AD174" i="62"/>
  <c r="AD144" i="62"/>
  <c r="AD160" i="62"/>
  <c r="AD176" i="62"/>
  <c r="AD192" i="62"/>
  <c r="AD145" i="62"/>
  <c r="AD161" i="62"/>
  <c r="AD177" i="62"/>
  <c r="AD193" i="62"/>
  <c r="AD146" i="62"/>
  <c r="AD162" i="62"/>
  <c r="AD178" i="62"/>
  <c r="AD148" i="62"/>
  <c r="AD164" i="62"/>
  <c r="AD180" i="62"/>
  <c r="AD150" i="62"/>
  <c r="AD166" i="62"/>
  <c r="AD182" i="62"/>
  <c r="AD135" i="62"/>
  <c r="AD151" i="62"/>
  <c r="AD167" i="62"/>
  <c r="AD183" i="62"/>
  <c r="AD136" i="62"/>
  <c r="AD152" i="62"/>
  <c r="AD168" i="62"/>
  <c r="AD184" i="62"/>
  <c r="AD137" i="62"/>
  <c r="AD153" i="62"/>
  <c r="AD169" i="62"/>
  <c r="AD185" i="62"/>
  <c r="AD138" i="62"/>
  <c r="AD154" i="62"/>
  <c r="AD170" i="62"/>
  <c r="AD186" i="62"/>
  <c r="AD42" i="62"/>
  <c r="AD70" i="62"/>
  <c r="AD54" i="62"/>
  <c r="AD107" i="62"/>
  <c r="AD91" i="62"/>
  <c r="AD117" i="62"/>
  <c r="AD69" i="62"/>
  <c r="AD53" i="62"/>
  <c r="AD106" i="62"/>
  <c r="AD116" i="62"/>
  <c r="AD90" i="62"/>
  <c r="AD16" i="62"/>
  <c r="AD32" i="62"/>
  <c r="AD48" i="62"/>
  <c r="AD68" i="62"/>
  <c r="AD52" i="62"/>
  <c r="AD105" i="62"/>
  <c r="AD89" i="62"/>
  <c r="AD115" i="62"/>
  <c r="AD10" i="62"/>
  <c r="AD13" i="62"/>
  <c r="AD45" i="62"/>
  <c r="AD3" i="62"/>
  <c r="AD35" i="62"/>
  <c r="AD51" i="62"/>
  <c r="AD67" i="62"/>
  <c r="AD104" i="62"/>
  <c r="AD88" i="62"/>
  <c r="AD130" i="62"/>
  <c r="AD114" i="62"/>
  <c r="AD38" i="62"/>
  <c r="AD66" i="62"/>
  <c r="AD103" i="62"/>
  <c r="AD87" i="62"/>
  <c r="AD129" i="62"/>
  <c r="AD113" i="62"/>
  <c r="AD128" i="62"/>
  <c r="AD101" i="62"/>
  <c r="AD85" i="62"/>
  <c r="AD127" i="62"/>
  <c r="AD111" i="62"/>
  <c r="AD100" i="62"/>
  <c r="AD84" i="62"/>
  <c r="AD126" i="62"/>
  <c r="AD110" i="62"/>
  <c r="AD50" i="62"/>
  <c r="AD62" i="62"/>
  <c r="AD99" i="62"/>
  <c r="AD83" i="62"/>
  <c r="AD125" i="62"/>
  <c r="AD109" i="62"/>
  <c r="AD98" i="62"/>
  <c r="AD82" i="62"/>
  <c r="AD124" i="62"/>
  <c r="AD108" i="62"/>
  <c r="AD40" i="62"/>
  <c r="AD76" i="62"/>
  <c r="AD60" i="62"/>
  <c r="AD43" i="62"/>
  <c r="AD75" i="62"/>
  <c r="AD59" i="62"/>
  <c r="AD96" i="62"/>
  <c r="AD80" i="62"/>
  <c r="AD122" i="62"/>
  <c r="AD61" i="62"/>
  <c r="AD8" i="62"/>
  <c r="AD97" i="62"/>
  <c r="AD81" i="62"/>
  <c r="AD123" i="62"/>
  <c r="AD11" i="62"/>
  <c r="AD14" i="62"/>
  <c r="AD46" i="62"/>
  <c r="AD74" i="62"/>
  <c r="AD58" i="62"/>
  <c r="AD95" i="62"/>
  <c r="AD79" i="62"/>
  <c r="AD121" i="62"/>
  <c r="AD78" i="62"/>
  <c r="AD33" i="62"/>
  <c r="AD49" i="62"/>
  <c r="AD73" i="62"/>
  <c r="AD57" i="62"/>
  <c r="AD94" i="62"/>
  <c r="AD120" i="62"/>
  <c r="AD36" i="62"/>
  <c r="AD72" i="62"/>
  <c r="AD56" i="62"/>
  <c r="AD93" i="62"/>
  <c r="AD77" i="62"/>
  <c r="E10" i="5" l="1"/>
  <c r="E5" i="5"/>
  <c r="E9" i="5"/>
  <c r="E6" i="5"/>
  <c r="E7" i="5"/>
  <c r="E12" i="5"/>
  <c r="E8" i="5"/>
  <c r="E14" i="5"/>
  <c r="E13" i="5"/>
  <c r="E11" i="5"/>
  <c r="F7" i="5"/>
  <c r="F9" i="5"/>
  <c r="F5" i="5"/>
  <c r="F8" i="5"/>
  <c r="F14" i="5"/>
  <c r="F13" i="5"/>
  <c r="F12" i="5"/>
  <c r="F11" i="5"/>
  <c r="F10" i="5"/>
  <c r="F6" i="5"/>
  <c r="AB50" i="62"/>
  <c r="AB244" i="62"/>
  <c r="AB35" i="62"/>
  <c r="AB53" i="62"/>
  <c r="AB110" i="62"/>
  <c r="AB31" i="62"/>
  <c r="AB131" i="62"/>
  <c r="AB130" i="62"/>
  <c r="AB335" i="62"/>
  <c r="AB4" i="62"/>
  <c r="AB423" i="62"/>
  <c r="AB132" i="62"/>
  <c r="AB380" i="62"/>
  <c r="U2" i="62"/>
  <c r="AB73" i="62"/>
  <c r="AB309" i="62"/>
  <c r="AB27" i="62"/>
  <c r="AB39" i="62"/>
  <c r="AB391" i="62"/>
  <c r="AB337" i="62"/>
  <c r="AB20" i="62"/>
  <c r="AB196" i="62"/>
  <c r="AB44" i="62"/>
  <c r="AB321" i="62"/>
  <c r="AB76" i="62"/>
  <c r="AB535" i="62"/>
  <c r="AB222" i="62"/>
  <c r="AB351" i="62"/>
  <c r="AB415" i="62"/>
  <c r="U94" i="62"/>
  <c r="AB180" i="62"/>
  <c r="AB260" i="62"/>
  <c r="AB98" i="62"/>
  <c r="AB304" i="62"/>
  <c r="AB6" i="62"/>
  <c r="U334" i="62"/>
  <c r="AB89" i="62"/>
  <c r="AB18" i="62"/>
  <c r="AB385" i="62"/>
  <c r="AB339" i="62"/>
  <c r="AB383" i="62"/>
  <c r="AB7" i="62"/>
  <c r="AB105" i="62"/>
  <c r="AB13" i="62"/>
  <c r="U530" i="62"/>
  <c r="U469" i="62"/>
  <c r="AB367" i="62"/>
  <c r="U312" i="62"/>
  <c r="AB26" i="62"/>
  <c r="U199" i="62"/>
  <c r="U466" i="62"/>
  <c r="AB52" i="62"/>
  <c r="AB448" i="62"/>
  <c r="AB480" i="62"/>
  <c r="AB496" i="62"/>
  <c r="AB512" i="62"/>
  <c r="AB135" i="62"/>
  <c r="AB167" i="62"/>
  <c r="AB172" i="62"/>
  <c r="AB188" i="62"/>
  <c r="AB12" i="62"/>
  <c r="AB33" i="62"/>
  <c r="AB302" i="62"/>
  <c r="U191" i="62"/>
  <c r="AB139" i="62"/>
  <c r="AB155" i="62"/>
  <c r="AB212" i="62"/>
  <c r="AB176" i="62"/>
  <c r="AB192" i="62"/>
  <c r="U369" i="62"/>
  <c r="AB373" i="62"/>
  <c r="AB421" i="62"/>
  <c r="AB402" i="62"/>
  <c r="U208" i="62"/>
  <c r="AB48" i="62"/>
  <c r="AB111" i="62"/>
  <c r="AB232" i="62"/>
  <c r="AB43" i="62"/>
  <c r="AB86" i="62"/>
  <c r="AB446" i="62"/>
  <c r="AB478" i="62"/>
  <c r="AB494" i="62"/>
  <c r="AB510" i="62"/>
  <c r="AB330" i="62"/>
  <c r="AB378" i="62"/>
  <c r="AB394" i="62"/>
  <c r="U278" i="62"/>
  <c r="AB143" i="62"/>
  <c r="AB159" i="62"/>
  <c r="AB346" i="62"/>
  <c r="AB214" i="62"/>
  <c r="AB268" i="62"/>
  <c r="AB114" i="62"/>
  <c r="AB311" i="62"/>
  <c r="AB147" i="62"/>
  <c r="AB66" i="62"/>
  <c r="U15" i="62"/>
  <c r="AB101" i="62"/>
  <c r="U437" i="62"/>
  <c r="AB298" i="62"/>
  <c r="AB259" i="62"/>
  <c r="AB88" i="62"/>
  <c r="AB320" i="62"/>
  <c r="U16" i="62"/>
  <c r="AB63" i="62"/>
  <c r="AB447" i="62"/>
  <c r="AB511" i="62"/>
  <c r="AB8" i="62"/>
  <c r="U32" i="62"/>
  <c r="AB225" i="62"/>
  <c r="AB163" i="62"/>
  <c r="AB121" i="62"/>
  <c r="AB40" i="62"/>
  <c r="U88" i="62"/>
  <c r="AB463" i="62"/>
  <c r="AB479" i="62"/>
  <c r="AB495" i="62"/>
  <c r="AB527" i="62"/>
  <c r="AB543" i="62"/>
  <c r="AB331" i="62"/>
  <c r="AB347" i="62"/>
  <c r="AB363" i="62"/>
  <c r="AB379" i="62"/>
  <c r="AB395" i="62"/>
  <c r="AB411" i="62"/>
  <c r="AB427" i="62"/>
  <c r="AB21" i="62"/>
  <c r="AB326" i="62"/>
  <c r="AB117" i="62"/>
  <c r="AB281" i="62"/>
  <c r="AB9" i="62"/>
  <c r="AB221" i="62"/>
  <c r="AB91" i="62"/>
  <c r="AB240" i="62"/>
  <c r="AB313" i="62"/>
  <c r="AB19" i="62"/>
  <c r="AB207" i="62"/>
  <c r="AB253" i="62"/>
  <c r="AB286" i="62"/>
  <c r="AB153" i="62"/>
  <c r="AB453" i="62"/>
  <c r="AB485" i="62"/>
  <c r="AB501" i="62"/>
  <c r="AB517" i="62"/>
  <c r="AB549" i="62"/>
  <c r="AB401" i="62"/>
  <c r="AB417" i="62"/>
  <c r="AB38" i="62"/>
  <c r="AB239" i="62"/>
  <c r="AB252" i="62"/>
  <c r="AB227" i="62"/>
  <c r="AB287" i="62"/>
  <c r="AB174" i="62"/>
  <c r="AB190" i="62"/>
  <c r="AB137" i="62"/>
  <c r="AB169" i="62"/>
  <c r="AB100" i="62"/>
  <c r="AB283" i="62"/>
  <c r="AB204" i="62"/>
  <c r="AB181" i="62"/>
  <c r="AB197" i="62"/>
  <c r="AB464" i="62"/>
  <c r="AB528" i="62"/>
  <c r="AB544" i="62"/>
  <c r="AB412" i="62"/>
  <c r="AB288" i="62"/>
  <c r="AB46" i="62"/>
  <c r="AB299" i="62"/>
  <c r="AB233" i="62"/>
  <c r="AB290" i="62"/>
  <c r="AB92" i="62"/>
  <c r="AB16" i="62"/>
  <c r="AB29" i="62"/>
  <c r="AB228" i="62"/>
  <c r="AB200" i="62"/>
  <c r="AB187" i="62"/>
  <c r="AB134" i="62"/>
  <c r="AB150" i="62"/>
  <c r="AB166" i="62"/>
  <c r="AB462" i="62"/>
  <c r="AB526" i="62"/>
  <c r="AB542" i="62"/>
  <c r="AB362" i="62"/>
  <c r="AB410" i="62"/>
  <c r="AB10" i="62"/>
  <c r="AB47" i="62"/>
  <c r="U328" i="62"/>
  <c r="AB224" i="62"/>
  <c r="AB248" i="62"/>
  <c r="AB319" i="62"/>
  <c r="AB78" i="62"/>
  <c r="AB122" i="62"/>
  <c r="AB322" i="62"/>
  <c r="AB215" i="62"/>
  <c r="AB231" i="62"/>
  <c r="AB312" i="62"/>
  <c r="AB125" i="62"/>
  <c r="AB332" i="62"/>
  <c r="AB348" i="62"/>
  <c r="AB364" i="62"/>
  <c r="AB396" i="62"/>
  <c r="AB428" i="62"/>
  <c r="AB184" i="62"/>
  <c r="AB72" i="62"/>
  <c r="AB120" i="62"/>
  <c r="AB426" i="62"/>
  <c r="AB229" i="62"/>
  <c r="AB457" i="62"/>
  <c r="AB537" i="62"/>
  <c r="AB357" i="62"/>
  <c r="AB405" i="62"/>
  <c r="AB291" i="62"/>
  <c r="AB74" i="62"/>
  <c r="AB245" i="62"/>
  <c r="AB170" i="62"/>
  <c r="AB148" i="62"/>
  <c r="AB164" i="62"/>
  <c r="AB77" i="62"/>
  <c r="AB96" i="62"/>
  <c r="U18" i="62"/>
  <c r="AB314" i="62"/>
  <c r="AB273" i="62"/>
  <c r="U35" i="62"/>
  <c r="AB293" i="62"/>
  <c r="AB431" i="62"/>
  <c r="AB151" i="62"/>
  <c r="AB435" i="62"/>
  <c r="AB451" i="62"/>
  <c r="AB467" i="62"/>
  <c r="AB483" i="62"/>
  <c r="AB499" i="62"/>
  <c r="AB515" i="62"/>
  <c r="AB531" i="62"/>
  <c r="AB547" i="62"/>
  <c r="AB399" i="62"/>
  <c r="AB32" i="62"/>
  <c r="AB37" i="62"/>
  <c r="AB85" i="62"/>
  <c r="AB235" i="62"/>
  <c r="AB310" i="62"/>
  <c r="AB256" i="62"/>
  <c r="AB51" i="62"/>
  <c r="AB202" i="62"/>
  <c r="AB141" i="62"/>
  <c r="AB97" i="62"/>
  <c r="AB234" i="62"/>
  <c r="AB441" i="62"/>
  <c r="AB473" i="62"/>
  <c r="AB489" i="62"/>
  <c r="AB505" i="62"/>
  <c r="AB521" i="62"/>
  <c r="AB553" i="62"/>
  <c r="AB341" i="62"/>
  <c r="AB389" i="62"/>
  <c r="AB325" i="62"/>
  <c r="AB318" i="62"/>
  <c r="AB271" i="62"/>
  <c r="AB178" i="62"/>
  <c r="AB194" i="62"/>
  <c r="AB157" i="62"/>
  <c r="AB68" i="62"/>
  <c r="AB116" i="62"/>
  <c r="AB294" i="62"/>
  <c r="AB87" i="62"/>
  <c r="AB17" i="62"/>
  <c r="AB185" i="62"/>
  <c r="AB452" i="62"/>
  <c r="AB500" i="62"/>
  <c r="AB400" i="62"/>
  <c r="AB263" i="62"/>
  <c r="AB83" i="62"/>
  <c r="AB324" i="62"/>
  <c r="U78" i="62"/>
  <c r="AB60" i="62"/>
  <c r="AB108" i="62"/>
  <c r="AB79" i="62"/>
  <c r="AB127" i="62"/>
  <c r="U438" i="62"/>
  <c r="AB45" i="62"/>
  <c r="AB238" i="62"/>
  <c r="AB175" i="62"/>
  <c r="AB191" i="62"/>
  <c r="AB138" i="62"/>
  <c r="AB154" i="62"/>
  <c r="AB450" i="62"/>
  <c r="AB243" i="62"/>
  <c r="AB42" i="62"/>
  <c r="AB276" i="62"/>
  <c r="AB126" i="62"/>
  <c r="AB280" i="62"/>
  <c r="AB59" i="62"/>
  <c r="AB107" i="62"/>
  <c r="AB327" i="62"/>
  <c r="AB54" i="62"/>
  <c r="AB297" i="62"/>
  <c r="AB258" i="62"/>
  <c r="AB242" i="62"/>
  <c r="AB266" i="62"/>
  <c r="AB436" i="62"/>
  <c r="AB468" i="62"/>
  <c r="AB484" i="62"/>
  <c r="AB516" i="62"/>
  <c r="AB532" i="62"/>
  <c r="AB548" i="62"/>
  <c r="AB336" i="62"/>
  <c r="AB352" i="62"/>
  <c r="AB368" i="62"/>
  <c r="AB384" i="62"/>
  <c r="AB416" i="62"/>
  <c r="AB439" i="62"/>
  <c r="AB455" i="62"/>
  <c r="AB503" i="62"/>
  <c r="AB284" i="62"/>
  <c r="AB82" i="62"/>
  <c r="AB445" i="62"/>
  <c r="AB493" i="62"/>
  <c r="AB393" i="62"/>
  <c r="AB425" i="62"/>
  <c r="AB25" i="62"/>
  <c r="AB226" i="62"/>
  <c r="AB119" i="62"/>
  <c r="AB223" i="62"/>
  <c r="AB136" i="62"/>
  <c r="AB152" i="62"/>
  <c r="AB168" i="62"/>
  <c r="AB112" i="62"/>
  <c r="AB34" i="62"/>
  <c r="AB434" i="62"/>
  <c r="AB466" i="62"/>
  <c r="AB482" i="62"/>
  <c r="AB498" i="62"/>
  <c r="AB514" i="62"/>
  <c r="AB530" i="62"/>
  <c r="AC530" i="62" s="1"/>
  <c r="AE530" i="62" s="1"/>
  <c r="AB546" i="62"/>
  <c r="AB334" i="62"/>
  <c r="AB350" i="62"/>
  <c r="AB366" i="62"/>
  <c r="AB382" i="62"/>
  <c r="AB398" i="62"/>
  <c r="AB414" i="62"/>
  <c r="AB264" i="62"/>
  <c r="AB282" i="62"/>
  <c r="AB471" i="62"/>
  <c r="AB487" i="62"/>
  <c r="AB519" i="62"/>
  <c r="AB551" i="62"/>
  <c r="AB355" i="62"/>
  <c r="AB371" i="62"/>
  <c r="AB387" i="62"/>
  <c r="AB403" i="62"/>
  <c r="AB419" i="62"/>
  <c r="AB246" i="62"/>
  <c r="AB308" i="62"/>
  <c r="AB307" i="62"/>
  <c r="AB206" i="62"/>
  <c r="AB94" i="62"/>
  <c r="AB99" i="62"/>
  <c r="AB171" i="62"/>
  <c r="AB102" i="62"/>
  <c r="AB433" i="62"/>
  <c r="AB210" i="62"/>
  <c r="AB237" i="62"/>
  <c r="AB65" i="62"/>
  <c r="AB113" i="62"/>
  <c r="AB461" i="62"/>
  <c r="AB477" i="62"/>
  <c r="AB509" i="62"/>
  <c r="AB525" i="62"/>
  <c r="AB541" i="62"/>
  <c r="AB329" i="62"/>
  <c r="AB345" i="62"/>
  <c r="AB361" i="62"/>
  <c r="AB377" i="62"/>
  <c r="AB409" i="62"/>
  <c r="AB173" i="62"/>
  <c r="AB93" i="62"/>
  <c r="AB64" i="62"/>
  <c r="AB67" i="62"/>
  <c r="AB236" i="62"/>
  <c r="AB323" i="62"/>
  <c r="AB295" i="62"/>
  <c r="AB316" i="62"/>
  <c r="U549" i="62"/>
  <c r="AB182" i="62"/>
  <c r="AB198" i="62"/>
  <c r="AB145" i="62"/>
  <c r="AB161" i="62"/>
  <c r="AB303" i="62"/>
  <c r="AB55" i="62"/>
  <c r="AB90" i="62"/>
  <c r="AB201" i="62"/>
  <c r="AB189" i="62"/>
  <c r="AB472" i="62"/>
  <c r="AB388" i="62"/>
  <c r="AB420" i="62"/>
  <c r="AB57" i="62"/>
  <c r="AB241" i="62"/>
  <c r="AB317" i="62"/>
  <c r="U474" i="62"/>
  <c r="AB205" i="62"/>
  <c r="AB179" i="62"/>
  <c r="AB195" i="62"/>
  <c r="AB142" i="62"/>
  <c r="AB158" i="62"/>
  <c r="AB454" i="62"/>
  <c r="AB470" i="62"/>
  <c r="AB338" i="62"/>
  <c r="AB370" i="62"/>
  <c r="AB386" i="62"/>
  <c r="AB418" i="62"/>
  <c r="AB251" i="62"/>
  <c r="AB75" i="62"/>
  <c r="AB275" i="62"/>
  <c r="AB129" i="62"/>
  <c r="AB300" i="62"/>
  <c r="AB440" i="62"/>
  <c r="AB456" i="62"/>
  <c r="AB488" i="62"/>
  <c r="AB504" i="62"/>
  <c r="AB520" i="62"/>
  <c r="AB536" i="62"/>
  <c r="AB552" i="62"/>
  <c r="AB340" i="62"/>
  <c r="AB356" i="62"/>
  <c r="AB372" i="62"/>
  <c r="AB404" i="62"/>
  <c r="AB14" i="62"/>
  <c r="AB278" i="62"/>
  <c r="AB497" i="62"/>
  <c r="AB365" i="62"/>
  <c r="AB413" i="62"/>
  <c r="AB103" i="62"/>
  <c r="AB140" i="62"/>
  <c r="AB156" i="62"/>
  <c r="AB209" i="62"/>
  <c r="U52" i="62"/>
  <c r="AB438" i="62"/>
  <c r="AB486" i="62"/>
  <c r="AB502" i="62"/>
  <c r="AB518" i="62"/>
  <c r="AB534" i="62"/>
  <c r="AB550" i="62"/>
  <c r="AB354" i="62"/>
  <c r="AB2" i="62"/>
  <c r="AB274" i="62"/>
  <c r="AB257" i="62"/>
  <c r="AB249" i="62"/>
  <c r="AB124" i="62"/>
  <c r="AB95" i="62"/>
  <c r="AB443" i="62"/>
  <c r="AB459" i="62"/>
  <c r="AB475" i="62"/>
  <c r="AB491" i="62"/>
  <c r="AB507" i="62"/>
  <c r="AB523" i="62"/>
  <c r="AB539" i="62"/>
  <c r="AB555" i="62"/>
  <c r="AB343" i="62"/>
  <c r="AB359" i="62"/>
  <c r="AB375" i="62"/>
  <c r="AB407" i="62"/>
  <c r="AB203" i="62"/>
  <c r="AB279" i="62"/>
  <c r="AB5" i="62"/>
  <c r="AB430" i="62"/>
  <c r="AB208" i="62"/>
  <c r="AB306" i="62"/>
  <c r="AB213" i="62"/>
  <c r="AB289" i="62"/>
  <c r="AB123" i="62"/>
  <c r="AB62" i="62"/>
  <c r="AB41" i="62"/>
  <c r="AB3" i="62"/>
  <c r="AB70" i="62"/>
  <c r="AB133" i="62"/>
  <c r="AB449" i="62"/>
  <c r="AB465" i="62"/>
  <c r="AB481" i="62"/>
  <c r="AB513" i="62"/>
  <c r="AB529" i="62"/>
  <c r="AB545" i="62"/>
  <c r="AB333" i="62"/>
  <c r="AB349" i="62"/>
  <c r="AB381" i="62"/>
  <c r="AB397" i="62"/>
  <c r="AB429" i="62"/>
  <c r="AB218" i="62"/>
  <c r="AB28" i="62"/>
  <c r="AB84" i="62"/>
  <c r="AB269" i="62"/>
  <c r="AB58" i="62"/>
  <c r="AB250" i="62"/>
  <c r="AB177" i="62"/>
  <c r="AB193" i="62"/>
  <c r="AB61" i="62"/>
  <c r="AB109" i="62"/>
  <c r="AB22" i="62"/>
  <c r="AB80" i="62"/>
  <c r="AB128" i="62"/>
  <c r="AB69" i="62"/>
  <c r="AB56" i="62"/>
  <c r="U489" i="62"/>
  <c r="AB186" i="62"/>
  <c r="AB149" i="62"/>
  <c r="AB165" i="62"/>
  <c r="AB261" i="62"/>
  <c r="AB444" i="62"/>
  <c r="AB344" i="62"/>
  <c r="AB277" i="62"/>
  <c r="AB255" i="62"/>
  <c r="AB247" i="62"/>
  <c r="AB216" i="62"/>
  <c r="AB301" i="62"/>
  <c r="AB305" i="62"/>
  <c r="AB265" i="62"/>
  <c r="AB24" i="62"/>
  <c r="AB211" i="62"/>
  <c r="AB183" i="62"/>
  <c r="AB199" i="62"/>
  <c r="AB146" i="62"/>
  <c r="AB162" i="62"/>
  <c r="AB442" i="62"/>
  <c r="AB474" i="62"/>
  <c r="AB390" i="62"/>
  <c r="AB422" i="62"/>
  <c r="AB270" i="62"/>
  <c r="AB267" i="62"/>
  <c r="AB49" i="62"/>
  <c r="AB115" i="62"/>
  <c r="AB11" i="62"/>
  <c r="AB118" i="62"/>
  <c r="AB15" i="62"/>
  <c r="AB36" i="62"/>
  <c r="AB71" i="62"/>
  <c r="AB432" i="62"/>
  <c r="AB220" i="62"/>
  <c r="AB460" i="62"/>
  <c r="AB476" i="62"/>
  <c r="AB492" i="62"/>
  <c r="AB508" i="62"/>
  <c r="AB524" i="62"/>
  <c r="AB540" i="62"/>
  <c r="AB556" i="62"/>
  <c r="AB360" i="62"/>
  <c r="AB376" i="62"/>
  <c r="AB392" i="62"/>
  <c r="AB408" i="62"/>
  <c r="AB424" i="62"/>
  <c r="AB217" i="62"/>
  <c r="AB315" i="62"/>
  <c r="AB30" i="62"/>
  <c r="AB230" i="62"/>
  <c r="AB219" i="62"/>
  <c r="AB254" i="62"/>
  <c r="AB262" i="62"/>
  <c r="AB104" i="62"/>
  <c r="AB458" i="62"/>
  <c r="AB490" i="62"/>
  <c r="AB506" i="62"/>
  <c r="AB522" i="62"/>
  <c r="AB538" i="62"/>
  <c r="AB554" i="62"/>
  <c r="AB342" i="62"/>
  <c r="AB358" i="62"/>
  <c r="AB374" i="62"/>
  <c r="AB406" i="62"/>
  <c r="AB23" i="62"/>
  <c r="AB81" i="62"/>
  <c r="AB437" i="62"/>
  <c r="AB469" i="62"/>
  <c r="AB533" i="62"/>
  <c r="AB353" i="62"/>
  <c r="AB369" i="62"/>
  <c r="AB292" i="62"/>
  <c r="AB272" i="62"/>
  <c r="AB328" i="62"/>
  <c r="AB106" i="62"/>
  <c r="AB144" i="62"/>
  <c r="AB160" i="62"/>
  <c r="AB285" i="62"/>
  <c r="AB296" i="62"/>
  <c r="U134" i="62"/>
  <c r="U485" i="62"/>
  <c r="U514" i="62"/>
  <c r="U398" i="62"/>
  <c r="U126" i="62"/>
  <c r="U75" i="62"/>
  <c r="U260" i="62"/>
  <c r="U175" i="62"/>
  <c r="U51" i="62"/>
  <c r="U337" i="62"/>
  <c r="U417" i="62"/>
  <c r="U341" i="62"/>
  <c r="U421" i="62"/>
  <c r="U211" i="62"/>
  <c r="U372" i="62"/>
  <c r="U85" i="62"/>
  <c r="U10" i="62"/>
  <c r="U5" i="62"/>
  <c r="U267" i="62"/>
  <c r="U513" i="62"/>
  <c r="U381" i="62"/>
  <c r="U46" i="62"/>
  <c r="U498" i="62"/>
  <c r="U546" i="62"/>
  <c r="U366" i="62"/>
  <c r="U414" i="62"/>
  <c r="U213" i="62"/>
  <c r="U240" i="62"/>
  <c r="U453" i="62"/>
  <c r="U401" i="62"/>
  <c r="U501" i="62"/>
  <c r="U353" i="62"/>
  <c r="U396" i="62"/>
  <c r="U142" i="62"/>
  <c r="U158" i="62"/>
  <c r="U295" i="62"/>
  <c r="U306" i="62"/>
  <c r="U221" i="62"/>
  <c r="U224" i="62"/>
  <c r="U30" i="62"/>
  <c r="U40" i="62"/>
  <c r="U14" i="62"/>
  <c r="U42" i="62"/>
  <c r="U296" i="62"/>
  <c r="U319" i="62"/>
  <c r="U22" i="62"/>
  <c r="U8" i="62"/>
  <c r="U29" i="62"/>
  <c r="U265" i="62"/>
  <c r="U301" i="62"/>
  <c r="U280" i="62"/>
  <c r="U246" i="62"/>
  <c r="U101" i="62"/>
  <c r="U202" i="62"/>
  <c r="U178" i="62"/>
  <c r="U194" i="62"/>
  <c r="U141" i="62"/>
  <c r="U157" i="62"/>
  <c r="U243" i="62"/>
  <c r="U204" i="62"/>
  <c r="U245" i="62"/>
  <c r="U283" i="62"/>
  <c r="U71" i="62"/>
  <c r="U274" i="62"/>
  <c r="U171" i="62"/>
  <c r="U288" i="62"/>
  <c r="U244" i="62"/>
  <c r="U268" i="62"/>
  <c r="U439" i="62"/>
  <c r="U455" i="62"/>
  <c r="U471" i="62"/>
  <c r="U487" i="62"/>
  <c r="U503" i="62"/>
  <c r="U519" i="62"/>
  <c r="U535" i="62"/>
  <c r="U551" i="62"/>
  <c r="U339" i="62"/>
  <c r="U355" i="62"/>
  <c r="U371" i="62"/>
  <c r="U387" i="62"/>
  <c r="U403" i="62"/>
  <c r="U419" i="62"/>
  <c r="U517" i="62"/>
  <c r="U385" i="62"/>
  <c r="U99" i="62"/>
  <c r="U228" i="62"/>
  <c r="U252" i="62"/>
  <c r="U131" i="62"/>
  <c r="U139" i="62"/>
  <c r="U155" i="62"/>
  <c r="U57" i="62"/>
  <c r="U271" i="62"/>
  <c r="U308" i="62"/>
  <c r="U124" i="62"/>
  <c r="U533" i="62"/>
  <c r="U39" i="62"/>
  <c r="U25" i="62"/>
  <c r="U11" i="62"/>
  <c r="U45" i="62"/>
  <c r="U254" i="62"/>
  <c r="U287" i="62"/>
  <c r="U72" i="62"/>
  <c r="U120" i="62"/>
  <c r="U91" i="62"/>
  <c r="U442" i="62"/>
  <c r="U458" i="62"/>
  <c r="U490" i="62"/>
  <c r="U506" i="62"/>
  <c r="U522" i="62"/>
  <c r="U538" i="62"/>
  <c r="U554" i="62"/>
  <c r="U342" i="62"/>
  <c r="U358" i="62"/>
  <c r="U374" i="62"/>
  <c r="U390" i="62"/>
  <c r="U406" i="62"/>
  <c r="U422" i="62"/>
  <c r="U292" i="62"/>
  <c r="U253" i="62"/>
  <c r="U65" i="62"/>
  <c r="U302" i="62"/>
  <c r="U119" i="62"/>
  <c r="U58" i="62"/>
  <c r="U132" i="62"/>
  <c r="U66" i="62"/>
  <c r="U212" i="62"/>
  <c r="U242" i="62"/>
  <c r="U448" i="62"/>
  <c r="U464" i="62"/>
  <c r="U480" i="62"/>
  <c r="U496" i="62"/>
  <c r="U512" i="62"/>
  <c r="U528" i="62"/>
  <c r="U544" i="62"/>
  <c r="U332" i="62"/>
  <c r="U348" i="62"/>
  <c r="U364" i="62"/>
  <c r="U380" i="62"/>
  <c r="U412" i="62"/>
  <c r="U428" i="62"/>
  <c r="U209" i="62"/>
  <c r="U80" i="62"/>
  <c r="U128" i="62"/>
  <c r="U275" i="62"/>
  <c r="U282" i="62"/>
  <c r="U105" i="62"/>
  <c r="U203" i="62"/>
  <c r="U76" i="62"/>
  <c r="U279" i="62"/>
  <c r="U318" i="62"/>
  <c r="U185" i="62"/>
  <c r="U170" i="62"/>
  <c r="U148" i="62"/>
  <c r="U164" i="62"/>
  <c r="U54" i="62"/>
  <c r="U255" i="62"/>
  <c r="U206" i="62"/>
  <c r="U176" i="62"/>
  <c r="U192" i="62"/>
  <c r="U311" i="62"/>
  <c r="U4" i="62"/>
  <c r="U69" i="62"/>
  <c r="U182" i="62"/>
  <c r="U198" i="62"/>
  <c r="U145" i="62"/>
  <c r="U161" i="62"/>
  <c r="U227" i="62"/>
  <c r="U200" i="62"/>
  <c r="U219" i="62"/>
  <c r="U261" i="62"/>
  <c r="U111" i="62"/>
  <c r="U114" i="62"/>
  <c r="U77" i="62"/>
  <c r="U232" i="62"/>
  <c r="U443" i="62"/>
  <c r="U459" i="62"/>
  <c r="U475" i="62"/>
  <c r="U491" i="62"/>
  <c r="U507" i="62"/>
  <c r="U523" i="62"/>
  <c r="U539" i="62"/>
  <c r="U555" i="62"/>
  <c r="U343" i="62"/>
  <c r="U359" i="62"/>
  <c r="U375" i="62"/>
  <c r="U391" i="62"/>
  <c r="U407" i="62"/>
  <c r="U423" i="62"/>
  <c r="U47" i="62"/>
  <c r="U12" i="62"/>
  <c r="U33" i="62"/>
  <c r="U19" i="62"/>
  <c r="U13" i="62"/>
  <c r="U113" i="62"/>
  <c r="U100" i="62"/>
  <c r="U441" i="62"/>
  <c r="U457" i="62"/>
  <c r="U473" i="62"/>
  <c r="U505" i="62"/>
  <c r="U521" i="62"/>
  <c r="U537" i="62"/>
  <c r="U553" i="62"/>
  <c r="U357" i="62"/>
  <c r="U373" i="62"/>
  <c r="U389" i="62"/>
  <c r="U405" i="62"/>
  <c r="U67" i="62"/>
  <c r="U102" i="62"/>
  <c r="U236" i="62"/>
  <c r="U431" i="62"/>
  <c r="U214" i="62"/>
  <c r="U143" i="62"/>
  <c r="U159" i="62"/>
  <c r="U24" i="62"/>
  <c r="U205" i="62"/>
  <c r="U179" i="62"/>
  <c r="U195" i="62"/>
  <c r="U117" i="62"/>
  <c r="U7" i="62"/>
  <c r="U38" i="62"/>
  <c r="U21" i="62"/>
  <c r="U48" i="62"/>
  <c r="U276" i="62"/>
  <c r="U262" i="62"/>
  <c r="U59" i="62"/>
  <c r="U446" i="62"/>
  <c r="U462" i="62"/>
  <c r="U478" i="62"/>
  <c r="U494" i="62"/>
  <c r="U510" i="62"/>
  <c r="U526" i="62"/>
  <c r="U542" i="62"/>
  <c r="U330" i="62"/>
  <c r="U346" i="62"/>
  <c r="U362" i="62"/>
  <c r="U378" i="62"/>
  <c r="U394" i="62"/>
  <c r="U410" i="62"/>
  <c r="U426" i="62"/>
  <c r="U304" i="62"/>
  <c r="U433" i="62"/>
  <c r="U210" i="62"/>
  <c r="U313" i="62"/>
  <c r="U322" i="62"/>
  <c r="U207" i="62"/>
  <c r="U215" i="62"/>
  <c r="U294" i="62"/>
  <c r="U87" i="62"/>
  <c r="U234" i="62"/>
  <c r="U309" i="62"/>
  <c r="U220" i="62"/>
  <c r="U250" i="62"/>
  <c r="U293" i="62"/>
  <c r="U436" i="62"/>
  <c r="U452" i="62"/>
  <c r="U468" i="62"/>
  <c r="U484" i="62"/>
  <c r="U500" i="62"/>
  <c r="U516" i="62"/>
  <c r="U532" i="62"/>
  <c r="U548" i="62"/>
  <c r="U336" i="62"/>
  <c r="U352" i="62"/>
  <c r="U368" i="62"/>
  <c r="U384" i="62"/>
  <c r="U400" i="62"/>
  <c r="U416" i="62"/>
  <c r="U315" i="62"/>
  <c r="U96" i="62"/>
  <c r="U62" i="62"/>
  <c r="U110" i="62"/>
  <c r="U218" i="62"/>
  <c r="U173" i="62"/>
  <c r="U189" i="62"/>
  <c r="U136" i="62"/>
  <c r="U152" i="62"/>
  <c r="U168" i="62"/>
  <c r="U201" i="62"/>
  <c r="U239" i="62"/>
  <c r="U263" i="62"/>
  <c r="U180" i="62"/>
  <c r="U196" i="62"/>
  <c r="U121" i="62"/>
  <c r="U28" i="62"/>
  <c r="U146" i="62"/>
  <c r="U162" i="62"/>
  <c r="U36" i="62"/>
  <c r="U41" i="62"/>
  <c r="U37" i="62"/>
  <c r="U27" i="62"/>
  <c r="U284" i="62"/>
  <c r="U314" i="62"/>
  <c r="U107" i="62"/>
  <c r="U289" i="62"/>
  <c r="U186" i="62"/>
  <c r="U133" i="62"/>
  <c r="U149" i="62"/>
  <c r="U165" i="62"/>
  <c r="U325" i="62"/>
  <c r="U269" i="62"/>
  <c r="U297" i="62"/>
  <c r="U74" i="62"/>
  <c r="U118" i="62"/>
  <c r="U82" i="62"/>
  <c r="U130" i="62"/>
  <c r="U223" i="62"/>
  <c r="U217" i="62"/>
  <c r="U321" i="62"/>
  <c r="U305" i="62"/>
  <c r="U73" i="62"/>
  <c r="U447" i="62"/>
  <c r="U463" i="62"/>
  <c r="U479" i="62"/>
  <c r="U495" i="62"/>
  <c r="U511" i="62"/>
  <c r="U527" i="62"/>
  <c r="U543" i="62"/>
  <c r="U331" i="62"/>
  <c r="U347" i="62"/>
  <c r="U363" i="62"/>
  <c r="U379" i="62"/>
  <c r="U395" i="62"/>
  <c r="U411" i="62"/>
  <c r="U427" i="62"/>
  <c r="U317" i="62"/>
  <c r="U92" i="62"/>
  <c r="U183" i="62"/>
  <c r="U256" i="62"/>
  <c r="U81" i="62"/>
  <c r="U68" i="62"/>
  <c r="U116" i="62"/>
  <c r="U445" i="62"/>
  <c r="U461" i="62"/>
  <c r="U477" i="62"/>
  <c r="U493" i="62"/>
  <c r="U509" i="62"/>
  <c r="U525" i="62"/>
  <c r="U541" i="62"/>
  <c r="U329" i="62"/>
  <c r="U345" i="62"/>
  <c r="U361" i="62"/>
  <c r="U377" i="62"/>
  <c r="U393" i="62"/>
  <c r="U409" i="62"/>
  <c r="U425" i="62"/>
  <c r="U259" i="62"/>
  <c r="U93" i="62"/>
  <c r="U70" i="62"/>
  <c r="U291" i="62"/>
  <c r="U147" i="62"/>
  <c r="U163" i="62"/>
  <c r="U233" i="62"/>
  <c r="U20" i="62"/>
  <c r="U6" i="62"/>
  <c r="U430" i="62"/>
  <c r="U323" i="62"/>
  <c r="U434" i="62"/>
  <c r="U450" i="62"/>
  <c r="U482" i="62"/>
  <c r="U350" i="62"/>
  <c r="U382" i="62"/>
  <c r="U129" i="62"/>
  <c r="U286" i="62"/>
  <c r="U272" i="62"/>
  <c r="U303" i="62"/>
  <c r="U127" i="62"/>
  <c r="U106" i="62"/>
  <c r="U216" i="62"/>
  <c r="U225" i="62"/>
  <c r="U440" i="62"/>
  <c r="U456" i="62"/>
  <c r="U472" i="62"/>
  <c r="U488" i="62"/>
  <c r="U504" i="62"/>
  <c r="U520" i="62"/>
  <c r="U536" i="62"/>
  <c r="U552" i="62"/>
  <c r="U340" i="62"/>
  <c r="U356" i="62"/>
  <c r="U388" i="62"/>
  <c r="U404" i="62"/>
  <c r="U420" i="62"/>
  <c r="U277" i="62"/>
  <c r="U257" i="62"/>
  <c r="U150" i="62"/>
  <c r="U166" i="62"/>
  <c r="U177" i="62"/>
  <c r="U193" i="62"/>
  <c r="U140" i="62"/>
  <c r="U156" i="62"/>
  <c r="U112" i="62"/>
  <c r="U83" i="62"/>
  <c r="U264" i="62"/>
  <c r="U184" i="62"/>
  <c r="U241" i="62"/>
  <c r="U290" i="62"/>
  <c r="U79" i="62"/>
  <c r="U34" i="62"/>
  <c r="U23" i="62"/>
  <c r="U44" i="62"/>
  <c r="U9" i="62"/>
  <c r="U273" i="62"/>
  <c r="U326" i="62"/>
  <c r="U56" i="62"/>
  <c r="U104" i="62"/>
  <c r="U123" i="62"/>
  <c r="U251" i="62"/>
  <c r="U307" i="62"/>
  <c r="U229" i="62"/>
  <c r="U174" i="62"/>
  <c r="U190" i="62"/>
  <c r="U137" i="62"/>
  <c r="U153" i="62"/>
  <c r="U169" i="62"/>
  <c r="U300" i="62"/>
  <c r="U122" i="62"/>
  <c r="U226" i="62"/>
  <c r="U55" i="62"/>
  <c r="U103" i="62"/>
  <c r="U125" i="62"/>
  <c r="U266" i="62"/>
  <c r="U324" i="62"/>
  <c r="U64" i="62"/>
  <c r="U435" i="62"/>
  <c r="U451" i="62"/>
  <c r="U467" i="62"/>
  <c r="U483" i="62"/>
  <c r="U499" i="62"/>
  <c r="U515" i="62"/>
  <c r="U531" i="62"/>
  <c r="U547" i="62"/>
  <c r="U335" i="62"/>
  <c r="U351" i="62"/>
  <c r="U367" i="62"/>
  <c r="U383" i="62"/>
  <c r="U399" i="62"/>
  <c r="U415" i="62"/>
  <c r="U61" i="62"/>
  <c r="U247" i="62"/>
  <c r="U115" i="62"/>
  <c r="U248" i="62"/>
  <c r="U135" i="62"/>
  <c r="U151" i="62"/>
  <c r="U167" i="62"/>
  <c r="U89" i="62"/>
  <c r="U108" i="62"/>
  <c r="U222" i="62"/>
  <c r="U320" i="62"/>
  <c r="U281" i="62"/>
  <c r="U316" i="62"/>
  <c r="U449" i="62"/>
  <c r="U465" i="62"/>
  <c r="U481" i="62"/>
  <c r="U497" i="62"/>
  <c r="U529" i="62"/>
  <c r="U545" i="62"/>
  <c r="U333" i="62"/>
  <c r="U349" i="62"/>
  <c r="U365" i="62"/>
  <c r="U397" i="62"/>
  <c r="U413" i="62"/>
  <c r="U429" i="62"/>
  <c r="U50" i="62"/>
  <c r="AC50" i="62" s="1"/>
  <c r="AE50" i="62" s="1"/>
  <c r="U43" i="62"/>
  <c r="U249" i="62"/>
  <c r="U298" i="62"/>
  <c r="U238" i="62"/>
  <c r="U235" i="62"/>
  <c r="U454" i="62"/>
  <c r="U470" i="62"/>
  <c r="U486" i="62"/>
  <c r="U502" i="62"/>
  <c r="U518" i="62"/>
  <c r="U534" i="62"/>
  <c r="U550" i="62"/>
  <c r="U338" i="62"/>
  <c r="U354" i="62"/>
  <c r="U370" i="62"/>
  <c r="U386" i="62"/>
  <c r="U402" i="62"/>
  <c r="U418" i="62"/>
  <c r="U310" i="62"/>
  <c r="U237" i="62"/>
  <c r="U97" i="62"/>
  <c r="U258" i="62"/>
  <c r="U90" i="62"/>
  <c r="U95" i="62"/>
  <c r="U98" i="62"/>
  <c r="U432" i="62"/>
  <c r="U231" i="62"/>
  <c r="U109" i="62"/>
  <c r="U327" i="62"/>
  <c r="U444" i="62"/>
  <c r="U460" i="62"/>
  <c r="U476" i="62"/>
  <c r="U492" i="62"/>
  <c r="U508" i="62"/>
  <c r="U524" i="62"/>
  <c r="U540" i="62"/>
  <c r="U556" i="62"/>
  <c r="U344" i="62"/>
  <c r="U360" i="62"/>
  <c r="U376" i="62"/>
  <c r="U392" i="62"/>
  <c r="U408" i="62"/>
  <c r="U424" i="62"/>
  <c r="U285" i="62"/>
  <c r="U60" i="62"/>
  <c r="U63" i="62"/>
  <c r="U49" i="62"/>
  <c r="U26" i="62"/>
  <c r="U187" i="62"/>
  <c r="U31" i="62"/>
  <c r="U17" i="62"/>
  <c r="U3" i="62"/>
  <c r="U138" i="62"/>
  <c r="U154" i="62"/>
  <c r="U53" i="62"/>
  <c r="U270" i="62"/>
  <c r="U84" i="62"/>
  <c r="U181" i="62"/>
  <c r="U197" i="62"/>
  <c r="U144" i="62"/>
  <c r="U160" i="62"/>
  <c r="U299" i="62"/>
  <c r="U86" i="62"/>
  <c r="U172" i="62"/>
  <c r="U188" i="62"/>
  <c r="U230" i="62"/>
  <c r="J7" i="59"/>
  <c r="I7" i="59"/>
  <c r="I8" i="59"/>
  <c r="I9" i="59"/>
  <c r="G5" i="59"/>
  <c r="I5" i="59" s="1"/>
  <c r="H5" i="59"/>
  <c r="J5" i="59" s="1"/>
  <c r="G6" i="59"/>
  <c r="I6" i="59" s="1"/>
  <c r="H6" i="59"/>
  <c r="J6" i="59" s="1"/>
  <c r="G7" i="59"/>
  <c r="H7" i="59"/>
  <c r="G8" i="59"/>
  <c r="H8" i="59"/>
  <c r="J8" i="59" s="1"/>
  <c r="G9" i="59"/>
  <c r="H9" i="59"/>
  <c r="J9" i="59" s="1"/>
  <c r="C10" i="59"/>
  <c r="D10" i="59"/>
  <c r="E4" i="5" s="1"/>
  <c r="E10" i="59"/>
  <c r="F10" i="59"/>
  <c r="F4" i="5" s="1"/>
  <c r="Y12" i="3"/>
  <c r="Y11" i="3"/>
  <c r="Y7" i="3"/>
  <c r="Y6" i="3"/>
  <c r="Y9" i="3"/>
  <c r="Y16" i="3"/>
  <c r="Y17" i="3"/>
  <c r="Y15" i="3"/>
  <c r="Y18" i="3"/>
  <c r="Y8" i="3"/>
  <c r="Y10" i="3"/>
  <c r="Y19" i="3"/>
  <c r="Y20" i="3"/>
  <c r="Y21" i="3"/>
  <c r="Y22" i="3"/>
  <c r="Y23" i="3"/>
  <c r="Y24" i="3"/>
  <c r="Y25" i="3"/>
  <c r="Y26" i="3"/>
  <c r="Y27" i="3"/>
  <c r="Y28" i="3"/>
  <c r="Y29" i="3"/>
  <c r="Y30" i="3"/>
  <c r="Y31" i="3"/>
  <c r="Y32" i="3"/>
  <c r="Y13" i="3"/>
  <c r="Y14" i="3"/>
  <c r="Y33" i="3"/>
  <c r="Y34" i="3"/>
  <c r="Y35" i="3"/>
  <c r="Y5" i="3"/>
  <c r="T6" i="3"/>
  <c r="T7" i="3"/>
  <c r="T8" i="3"/>
  <c r="T9" i="3"/>
  <c r="T10" i="3"/>
  <c r="T11" i="3"/>
  <c r="T12" i="3"/>
  <c r="T13" i="3"/>
  <c r="T14" i="3"/>
  <c r="T15" i="3"/>
  <c r="T16" i="3"/>
  <c r="T17" i="3"/>
  <c r="T18" i="3"/>
  <c r="T19" i="3"/>
  <c r="T20" i="3"/>
  <c r="T21" i="3"/>
  <c r="T22" i="3"/>
  <c r="T23" i="3"/>
  <c r="T24" i="3"/>
  <c r="T25" i="3"/>
  <c r="T26" i="3"/>
  <c r="T27" i="3"/>
  <c r="T28" i="3"/>
  <c r="T5" i="3"/>
  <c r="O6" i="3"/>
  <c r="O7" i="3"/>
  <c r="O8" i="3"/>
  <c r="O9" i="3"/>
  <c r="O10" i="3"/>
  <c r="O11" i="3"/>
  <c r="O12" i="3"/>
  <c r="O13" i="3"/>
  <c r="O14" i="3"/>
  <c r="O15" i="3"/>
  <c r="O16" i="3"/>
  <c r="O17" i="3"/>
  <c r="O18" i="3"/>
  <c r="O19" i="3"/>
  <c r="O20" i="3"/>
  <c r="O21" i="3"/>
  <c r="O22" i="3"/>
  <c r="O23" i="3"/>
  <c r="O24" i="3"/>
  <c r="O25" i="3"/>
  <c r="O26" i="3"/>
  <c r="O27" i="3"/>
  <c r="O5" i="3"/>
  <c r="J24" i="3"/>
  <c r="J25" i="3"/>
  <c r="J26" i="3"/>
  <c r="J23" i="3"/>
  <c r="J6" i="3"/>
  <c r="J7" i="3"/>
  <c r="J8" i="3"/>
  <c r="J9" i="3"/>
  <c r="J10" i="3"/>
  <c r="J11" i="3"/>
  <c r="J12" i="3"/>
  <c r="J13" i="3"/>
  <c r="J14" i="3"/>
  <c r="J15" i="3"/>
  <c r="J16" i="3"/>
  <c r="J17" i="3"/>
  <c r="J18" i="3"/>
  <c r="J19" i="3"/>
  <c r="J20" i="3"/>
  <c r="J21" i="3"/>
  <c r="J22" i="3"/>
  <c r="J5"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C19" i="34"/>
  <c r="D19" i="34"/>
  <c r="C10" i="34"/>
  <c r="D10" i="34"/>
  <c r="F10" i="39"/>
  <c r="F11" i="39"/>
  <c r="E10" i="39"/>
  <c r="E11" i="39"/>
  <c r="E9" i="39"/>
  <c r="F9" i="39"/>
  <c r="G9" i="39"/>
  <c r="H9" i="39"/>
  <c r="G10" i="39"/>
  <c r="H10" i="39"/>
  <c r="G11" i="39"/>
  <c r="H11" i="39"/>
  <c r="L3" i="32"/>
  <c r="M3" i="32" s="1"/>
  <c r="L4" i="32"/>
  <c r="M4" i="32" s="1"/>
  <c r="J10" i="59" l="1"/>
  <c r="J12" i="59" s="1"/>
  <c r="I10" i="59"/>
  <c r="I13" i="59" s="1"/>
  <c r="I14" i="59"/>
  <c r="I15" i="59"/>
  <c r="F3" i="5"/>
  <c r="F12" i="59"/>
  <c r="E3" i="5"/>
  <c r="D12" i="59"/>
  <c r="AC369" i="62"/>
  <c r="AE369" i="62" s="1"/>
  <c r="AC244" i="62"/>
  <c r="AE244" i="62" s="1"/>
  <c r="AC466" i="62"/>
  <c r="AE466" i="62" s="1"/>
  <c r="AC16" i="62"/>
  <c r="AE16" i="62" s="1"/>
  <c r="AC191" i="62"/>
  <c r="AE191" i="62" s="1"/>
  <c r="AC274" i="62"/>
  <c r="AE274" i="62" s="1"/>
  <c r="AC426" i="62"/>
  <c r="AE426" i="62" s="1"/>
  <c r="AC319" i="62"/>
  <c r="AE319" i="62" s="1"/>
  <c r="AC228" i="62"/>
  <c r="AE228" i="62" s="1"/>
  <c r="AC283" i="62"/>
  <c r="AE283" i="62" s="1"/>
  <c r="AC485" i="62"/>
  <c r="AE485" i="62" s="1"/>
  <c r="AC427" i="62"/>
  <c r="AE427" i="62" s="1"/>
  <c r="AC225" i="62"/>
  <c r="AE225" i="62" s="1"/>
  <c r="AC311" i="62"/>
  <c r="AE311" i="62" s="1"/>
  <c r="AC43" i="62"/>
  <c r="AE43" i="62" s="1"/>
  <c r="AC33" i="62"/>
  <c r="AE33" i="62" s="1"/>
  <c r="AC458" i="62"/>
  <c r="AE458" i="62" s="1"/>
  <c r="AC524" i="62"/>
  <c r="AE524" i="62" s="1"/>
  <c r="AC422" i="62"/>
  <c r="AE422" i="62" s="1"/>
  <c r="AC277" i="62"/>
  <c r="AE277" i="62" s="1"/>
  <c r="AC177" i="62"/>
  <c r="AE177" i="62" s="1"/>
  <c r="AC465" i="62"/>
  <c r="AE465" i="62" s="1"/>
  <c r="AC497" i="62"/>
  <c r="AE497" i="62" s="1"/>
  <c r="AC275" i="62"/>
  <c r="AE275" i="62" s="1"/>
  <c r="AC241" i="62"/>
  <c r="AE241" i="62" s="1"/>
  <c r="AC295" i="62"/>
  <c r="AE295" i="62" s="1"/>
  <c r="AC461" i="62"/>
  <c r="AE461" i="62" s="1"/>
  <c r="AC387" i="62"/>
  <c r="AE387" i="62" s="1"/>
  <c r="AC484" i="62"/>
  <c r="AE484" i="62" s="1"/>
  <c r="AC450" i="62"/>
  <c r="AE450" i="62" s="1"/>
  <c r="AC400" i="62"/>
  <c r="AE400" i="62" s="1"/>
  <c r="AC341" i="62"/>
  <c r="AE341" i="62" s="1"/>
  <c r="AC37" i="62"/>
  <c r="AE37" i="62" s="1"/>
  <c r="AC314" i="62"/>
  <c r="AE314" i="62" s="1"/>
  <c r="AC72" i="62"/>
  <c r="AE72" i="62" s="1"/>
  <c r="AC169" i="62"/>
  <c r="AE169" i="62" s="1"/>
  <c r="AC153" i="62"/>
  <c r="AE153" i="62" s="1"/>
  <c r="AC395" i="62"/>
  <c r="AE395" i="62" s="1"/>
  <c r="AC8" i="62"/>
  <c r="AE8" i="62" s="1"/>
  <c r="AC268" i="62"/>
  <c r="AE268" i="62" s="1"/>
  <c r="AC111" i="62"/>
  <c r="AE111" i="62" s="1"/>
  <c r="AC188" i="62"/>
  <c r="AE188" i="62" s="1"/>
  <c r="AC13" i="62"/>
  <c r="AE13" i="62" s="1"/>
  <c r="AC351" i="62"/>
  <c r="AE351" i="62" s="1"/>
  <c r="AC132" i="62"/>
  <c r="AE132" i="62" s="1"/>
  <c r="AC262" i="62"/>
  <c r="AE262" i="62" s="1"/>
  <c r="AC474" i="62"/>
  <c r="AE474" i="62" s="1"/>
  <c r="AC58" i="62"/>
  <c r="AE58" i="62" s="1"/>
  <c r="AC359" i="62"/>
  <c r="AE359" i="62" s="1"/>
  <c r="AC14" i="62"/>
  <c r="AE14" i="62" s="1"/>
  <c r="AC420" i="62"/>
  <c r="AE420" i="62" s="1"/>
  <c r="AC65" i="62"/>
  <c r="AE65" i="62" s="1"/>
  <c r="AC355" i="62"/>
  <c r="AE355" i="62" s="1"/>
  <c r="AC445" i="62"/>
  <c r="AE445" i="62" s="1"/>
  <c r="AC436" i="62"/>
  <c r="AE436" i="62" s="1"/>
  <c r="AC138" i="62"/>
  <c r="AE138" i="62" s="1"/>
  <c r="AC452" i="62"/>
  <c r="AE452" i="62" s="1"/>
  <c r="AC521" i="62"/>
  <c r="AE521" i="62" s="1"/>
  <c r="AC399" i="62"/>
  <c r="AE399" i="62" s="1"/>
  <c r="AC96" i="62"/>
  <c r="AE96" i="62" s="1"/>
  <c r="AC137" i="62"/>
  <c r="AE137" i="62" s="1"/>
  <c r="AC423" i="62"/>
  <c r="AE423" i="62" s="1"/>
  <c r="AC374" i="62"/>
  <c r="AE374" i="62" s="1"/>
  <c r="AC325" i="62"/>
  <c r="AE325" i="62" s="1"/>
  <c r="AC187" i="62"/>
  <c r="AE187" i="62" s="1"/>
  <c r="AC309" i="62"/>
  <c r="AE309" i="62" s="1"/>
  <c r="AC490" i="62"/>
  <c r="AE490" i="62" s="1"/>
  <c r="AC317" i="62"/>
  <c r="AE317" i="62" s="1"/>
  <c r="AC425" i="62"/>
  <c r="AE425" i="62" s="1"/>
  <c r="AC163" i="62"/>
  <c r="AE163" i="62" s="1"/>
  <c r="AC147" i="62"/>
  <c r="AE147" i="62" s="1"/>
  <c r="AC73" i="62"/>
  <c r="AE73" i="62" s="1"/>
  <c r="AC393" i="62"/>
  <c r="AE393" i="62" s="1"/>
  <c r="AC493" i="62"/>
  <c r="AC415" i="62"/>
  <c r="AE415" i="62" s="1"/>
  <c r="AC380" i="62"/>
  <c r="AE380" i="62" s="1"/>
  <c r="AC482" i="62"/>
  <c r="AE482" i="62" s="1"/>
  <c r="AC266" i="62"/>
  <c r="AE266" i="62" s="1"/>
  <c r="AC172" i="62"/>
  <c r="AE172" i="62" s="1"/>
  <c r="AC519" i="62"/>
  <c r="AE519" i="62" s="1"/>
  <c r="AC489" i="62"/>
  <c r="AE489" i="62" s="1"/>
  <c r="AC290" i="62"/>
  <c r="AE290" i="62" s="1"/>
  <c r="AC167" i="62"/>
  <c r="AE167" i="62" s="1"/>
  <c r="AC7" i="62"/>
  <c r="AE7" i="62" s="1"/>
  <c r="AC535" i="62"/>
  <c r="AE535" i="62" s="1"/>
  <c r="AC4" i="62"/>
  <c r="AE4" i="62" s="1"/>
  <c r="AC433" i="62"/>
  <c r="AE433" i="62" s="1"/>
  <c r="AC473" i="62"/>
  <c r="AE473" i="62" s="1"/>
  <c r="AC174" i="62"/>
  <c r="AC335" i="62"/>
  <c r="AE335" i="62" s="1"/>
  <c r="AC45" i="62"/>
  <c r="AE45" i="62" s="1"/>
  <c r="AC294" i="62"/>
  <c r="AE294" i="62" s="1"/>
  <c r="AC441" i="62"/>
  <c r="AE441" i="62" s="1"/>
  <c r="AC130" i="62"/>
  <c r="AE130" i="62" s="1"/>
  <c r="AC552" i="62"/>
  <c r="AE552" i="62" s="1"/>
  <c r="AC171" i="62"/>
  <c r="AE171" i="62" s="1"/>
  <c r="AC131" i="62"/>
  <c r="AE131" i="62" s="1"/>
  <c r="AC224" i="62"/>
  <c r="AE224" i="62" s="1"/>
  <c r="AC491" i="62"/>
  <c r="AE491" i="62" s="1"/>
  <c r="AC536" i="62"/>
  <c r="AE536" i="62" s="1"/>
  <c r="AC99" i="62"/>
  <c r="AE99" i="62" s="1"/>
  <c r="AC480" i="62"/>
  <c r="AE480" i="62" s="1"/>
  <c r="AC18" i="62"/>
  <c r="AE18" i="62" s="1"/>
  <c r="AC196" i="62"/>
  <c r="AE196" i="62" s="1"/>
  <c r="AC31" i="62"/>
  <c r="AE31" i="62" s="1"/>
  <c r="AC358" i="62"/>
  <c r="AE358" i="62" s="1"/>
  <c r="AC520" i="62"/>
  <c r="AE520" i="62" s="1"/>
  <c r="AC158" i="62"/>
  <c r="AE158" i="62" s="1"/>
  <c r="AC110" i="62"/>
  <c r="AE110" i="62" s="1"/>
  <c r="AC342" i="62"/>
  <c r="AE342" i="62" s="1"/>
  <c r="AC265" i="62"/>
  <c r="AE265" i="62" s="1"/>
  <c r="AC161" i="62"/>
  <c r="AE161" i="62" s="1"/>
  <c r="AC136" i="62"/>
  <c r="AE136" i="62" s="1"/>
  <c r="AC59" i="62"/>
  <c r="AE59" i="62" s="1"/>
  <c r="AC108" i="62"/>
  <c r="AE108" i="62" s="1"/>
  <c r="AC462" i="62"/>
  <c r="AE462" i="62" s="1"/>
  <c r="AC479" i="62"/>
  <c r="AE479" i="62" s="1"/>
  <c r="AC330" i="62"/>
  <c r="AE330" i="62" s="1"/>
  <c r="AC176" i="62"/>
  <c r="AE176" i="62" s="1"/>
  <c r="AC52" i="62"/>
  <c r="AE52" i="62" s="1"/>
  <c r="AC337" i="62"/>
  <c r="AE337" i="62" s="1"/>
  <c r="AC53" i="62"/>
  <c r="AE53" i="62" s="1"/>
  <c r="AC251" i="62"/>
  <c r="AE251" i="62" s="1"/>
  <c r="AC554" i="62"/>
  <c r="AE554" i="62" s="1"/>
  <c r="AC382" i="62"/>
  <c r="AE382" i="62" s="1"/>
  <c r="AC51" i="62"/>
  <c r="AE51" i="62" s="1"/>
  <c r="AC357" i="62"/>
  <c r="AE357" i="62" s="1"/>
  <c r="AC35" i="62"/>
  <c r="AE35" i="62" s="1"/>
  <c r="AC456" i="62"/>
  <c r="AE456" i="62" s="1"/>
  <c r="AC179" i="62"/>
  <c r="AE179" i="62" s="1"/>
  <c r="AC155" i="62"/>
  <c r="AE155" i="62" s="1"/>
  <c r="AC304" i="62"/>
  <c r="AE304" i="62" s="1"/>
  <c r="AC39" i="62"/>
  <c r="AE39" i="62" s="1"/>
  <c r="AC498" i="62"/>
  <c r="AE498" i="62" s="1"/>
  <c r="AC548" i="62"/>
  <c r="AE548" i="62" s="1"/>
  <c r="AC457" i="62"/>
  <c r="AE457" i="62" s="1"/>
  <c r="AC322" i="62"/>
  <c r="AE322" i="62" s="1"/>
  <c r="AC139" i="62"/>
  <c r="AE139" i="62" s="1"/>
  <c r="AC26" i="62"/>
  <c r="AE26" i="62" s="1"/>
  <c r="AC98" i="62"/>
  <c r="AE98" i="62" s="1"/>
  <c r="AC27" i="62"/>
  <c r="AE27" i="62" s="1"/>
  <c r="AC301" i="62"/>
  <c r="AE301" i="62" s="1"/>
  <c r="AC336" i="62"/>
  <c r="AE336" i="62" s="1"/>
  <c r="AC440" i="62"/>
  <c r="AE440" i="62" s="1"/>
  <c r="AC272" i="62"/>
  <c r="AE272" i="62" s="1"/>
  <c r="AC506" i="62"/>
  <c r="AE506" i="62" s="1"/>
  <c r="AC556" i="62"/>
  <c r="AE556" i="62" s="1"/>
  <c r="AC267" i="62"/>
  <c r="AE267" i="62" s="1"/>
  <c r="AC247" i="62"/>
  <c r="AE247" i="62" s="1"/>
  <c r="AC61" i="62"/>
  <c r="AE61" i="62" s="1"/>
  <c r="AC513" i="62"/>
  <c r="AE513" i="62" s="1"/>
  <c r="AC279" i="62"/>
  <c r="AE279" i="62" s="1"/>
  <c r="AC249" i="62"/>
  <c r="AE249" i="62" s="1"/>
  <c r="AC413" i="62"/>
  <c r="AE413" i="62" s="1"/>
  <c r="AC300" i="62"/>
  <c r="AE300" i="62" s="1"/>
  <c r="AC509" i="62"/>
  <c r="AE509" i="62" s="1"/>
  <c r="AC419" i="62"/>
  <c r="AE419" i="62" s="1"/>
  <c r="AC334" i="62"/>
  <c r="AE334" i="62" s="1"/>
  <c r="AC25" i="62"/>
  <c r="AE25" i="62" s="1"/>
  <c r="AC532" i="62"/>
  <c r="AE532" i="62" s="1"/>
  <c r="AC42" i="62"/>
  <c r="AE42" i="62" s="1"/>
  <c r="AC83" i="62"/>
  <c r="AE83" i="62" s="1"/>
  <c r="AC235" i="62"/>
  <c r="AE235" i="62" s="1"/>
  <c r="AC229" i="62"/>
  <c r="AE229" i="62" s="1"/>
  <c r="AC122" i="62"/>
  <c r="AE122" i="62" s="1"/>
  <c r="AC181" i="62"/>
  <c r="AE181" i="62" s="1"/>
  <c r="AC517" i="62"/>
  <c r="AE517" i="62" s="1"/>
  <c r="AC326" i="62"/>
  <c r="AE326" i="62" s="1"/>
  <c r="AC121" i="62"/>
  <c r="AE121" i="62" s="1"/>
  <c r="AC66" i="62"/>
  <c r="AE66" i="62" s="1"/>
  <c r="AC446" i="62"/>
  <c r="AE446" i="62" s="1"/>
  <c r="AC260" i="62"/>
  <c r="AE260" i="62" s="1"/>
  <c r="AC537" i="62"/>
  <c r="AE537" i="62" s="1"/>
  <c r="AC292" i="62"/>
  <c r="AE292" i="62" s="1"/>
  <c r="AC540" i="62"/>
  <c r="AE540" i="62" s="1"/>
  <c r="AC270" i="62"/>
  <c r="AE270" i="62" s="1"/>
  <c r="AC255" i="62"/>
  <c r="AE255" i="62" s="1"/>
  <c r="AC193" i="62"/>
  <c r="AE193" i="62" s="1"/>
  <c r="AC481" i="62"/>
  <c r="AE481" i="62" s="1"/>
  <c r="AC203" i="62"/>
  <c r="AE203" i="62" s="1"/>
  <c r="AC257" i="62"/>
  <c r="AE257" i="62" s="1"/>
  <c r="AC365" i="62"/>
  <c r="AE365" i="62" s="1"/>
  <c r="AC129" i="62"/>
  <c r="AE129" i="62" s="1"/>
  <c r="AC316" i="62"/>
  <c r="AE316" i="62" s="1"/>
  <c r="AC477" i="62"/>
  <c r="AE477" i="62" s="1"/>
  <c r="AC403" i="62"/>
  <c r="AE403" i="62" s="1"/>
  <c r="AC546" i="62"/>
  <c r="AE546" i="62" s="1"/>
  <c r="AC516" i="62"/>
  <c r="AE516" i="62" s="1"/>
  <c r="AC243" i="62"/>
  <c r="AE243" i="62" s="1"/>
  <c r="AC263" i="62"/>
  <c r="AE263" i="62" s="1"/>
  <c r="AC389" i="62"/>
  <c r="AE389" i="62" s="1"/>
  <c r="AC85" i="62"/>
  <c r="AE85" i="62" s="1"/>
  <c r="AC273" i="62"/>
  <c r="AE273" i="62" s="1"/>
  <c r="AC78" i="62"/>
  <c r="AE78" i="62" s="1"/>
  <c r="AC200" i="62"/>
  <c r="AE200" i="62" s="1"/>
  <c r="AC204" i="62"/>
  <c r="AE204" i="62" s="1"/>
  <c r="AC501" i="62"/>
  <c r="AE501" i="62" s="1"/>
  <c r="AC21" i="62"/>
  <c r="AE21" i="62" s="1"/>
  <c r="AC86" i="62"/>
  <c r="AE86" i="62" s="1"/>
  <c r="AC302" i="62"/>
  <c r="AE302" i="62" s="1"/>
  <c r="AC367" i="62"/>
  <c r="AE367" i="62" s="1"/>
  <c r="AC180" i="62"/>
  <c r="AE180" i="62" s="1"/>
  <c r="AC545" i="62"/>
  <c r="AE545" i="62" s="1"/>
  <c r="AC150" i="62"/>
  <c r="AE150" i="62" s="1"/>
  <c r="AC205" i="62"/>
  <c r="AE205" i="62" s="1"/>
  <c r="AC407" i="62"/>
  <c r="AE407" i="62" s="1"/>
  <c r="AC115" i="62"/>
  <c r="AE115" i="62" s="1"/>
  <c r="AC366" i="62"/>
  <c r="AE366" i="62" s="1"/>
  <c r="AC328" i="62"/>
  <c r="AE328" i="62" s="1"/>
  <c r="AC182" i="62"/>
  <c r="AE182" i="62" s="1"/>
  <c r="AC353" i="62"/>
  <c r="AE353" i="62" s="1"/>
  <c r="AC104" i="62"/>
  <c r="AE104" i="62" s="1"/>
  <c r="AC508" i="62"/>
  <c r="AE508" i="62" s="1"/>
  <c r="AC390" i="62"/>
  <c r="AE390" i="62" s="1"/>
  <c r="AC344" i="62"/>
  <c r="AE344" i="62" s="1"/>
  <c r="AC250" i="62"/>
  <c r="AE250" i="62" s="1"/>
  <c r="AC449" i="62"/>
  <c r="AE449" i="62" s="1"/>
  <c r="AC375" i="62"/>
  <c r="AE375" i="62" s="1"/>
  <c r="AC278" i="62"/>
  <c r="AE278" i="62" s="1"/>
  <c r="AC75" i="62"/>
  <c r="AE75" i="62" s="1"/>
  <c r="AC57" i="62"/>
  <c r="AE57" i="62" s="1"/>
  <c r="AC323" i="62"/>
  <c r="AE323" i="62" s="1"/>
  <c r="AC113" i="62"/>
  <c r="AE113" i="62" s="1"/>
  <c r="AC371" i="62"/>
  <c r="AE371" i="62" s="1"/>
  <c r="AC514" i="62"/>
  <c r="AE514" i="62" s="1"/>
  <c r="AC468" i="62"/>
  <c r="AE468" i="62" s="1"/>
  <c r="AC154" i="62"/>
  <c r="AE154" i="62" s="1"/>
  <c r="AC500" i="62"/>
  <c r="AE500" i="62" s="1"/>
  <c r="AC553" i="62"/>
  <c r="AE553" i="62" s="1"/>
  <c r="AC32" i="62"/>
  <c r="AE32" i="62" s="1"/>
  <c r="AC120" i="62"/>
  <c r="AE120" i="62" s="1"/>
  <c r="AC248" i="62"/>
  <c r="AE248" i="62" s="1"/>
  <c r="AC29" i="62"/>
  <c r="AE29" i="62" s="1"/>
  <c r="AC100" i="62"/>
  <c r="AE100" i="62" s="1"/>
  <c r="AC453" i="62"/>
  <c r="AE453" i="62" s="1"/>
  <c r="AC411" i="62"/>
  <c r="AE411" i="62" s="1"/>
  <c r="AC114" i="62"/>
  <c r="AE114" i="62" s="1"/>
  <c r="AC232" i="62"/>
  <c r="AE232" i="62" s="1"/>
  <c r="AC12" i="62"/>
  <c r="AE12" i="62" s="1"/>
  <c r="AC376" i="62"/>
  <c r="AE376" i="62" s="1"/>
  <c r="AC541" i="62"/>
  <c r="AE541" i="62" s="1"/>
  <c r="AC464" i="62"/>
  <c r="AE464" i="62" s="1"/>
  <c r="AC216" i="62"/>
  <c r="AE216" i="62" s="1"/>
  <c r="AC246" i="62"/>
  <c r="AE246" i="62" s="1"/>
  <c r="AC310" i="62"/>
  <c r="AE310" i="62" s="1"/>
  <c r="AC533" i="62"/>
  <c r="AE533" i="62" s="1"/>
  <c r="AC492" i="62"/>
  <c r="AE492" i="62" s="1"/>
  <c r="AC444" i="62"/>
  <c r="AE444" i="62" s="1"/>
  <c r="AC133" i="62"/>
  <c r="AE133" i="62" s="1"/>
  <c r="AC354" i="62"/>
  <c r="AE354" i="62" s="1"/>
  <c r="AC236" i="62"/>
  <c r="AE236" i="62" s="1"/>
  <c r="AC538" i="62"/>
  <c r="AE538" i="62" s="1"/>
  <c r="AC119" i="62"/>
  <c r="AE119" i="62" s="1"/>
  <c r="AC49" i="62"/>
  <c r="AE49" i="62" s="1"/>
  <c r="AC226" i="62"/>
  <c r="AE226" i="62" s="1"/>
  <c r="AC478" i="62"/>
  <c r="AE478" i="62" s="1"/>
  <c r="AC469" i="62"/>
  <c r="AE469" i="62" s="1"/>
  <c r="AC254" i="62"/>
  <c r="AE254" i="62" s="1"/>
  <c r="AC476" i="62"/>
  <c r="AE476" i="62" s="1"/>
  <c r="AC442" i="62"/>
  <c r="AE442" i="62" s="1"/>
  <c r="AC261" i="62"/>
  <c r="AE261" i="62" s="1"/>
  <c r="AC269" i="62"/>
  <c r="AE269" i="62" s="1"/>
  <c r="AC70" i="62"/>
  <c r="AE70" i="62" s="1"/>
  <c r="AC343" i="62"/>
  <c r="AE343" i="62" s="1"/>
  <c r="AC550" i="62"/>
  <c r="AE550" i="62" s="1"/>
  <c r="AC404" i="62"/>
  <c r="AE404" i="62" s="1"/>
  <c r="AC418" i="62"/>
  <c r="AE418" i="62" s="1"/>
  <c r="AC388" i="62"/>
  <c r="AE388" i="62" s="1"/>
  <c r="AC67" i="62"/>
  <c r="AE67" i="62" s="1"/>
  <c r="AC237" i="62"/>
  <c r="AE237" i="62" s="1"/>
  <c r="AC551" i="62"/>
  <c r="AE551" i="62" s="1"/>
  <c r="AC82" i="62"/>
  <c r="AE82" i="62" s="1"/>
  <c r="AC185" i="62"/>
  <c r="AE185" i="62" s="1"/>
  <c r="AC505" i="62"/>
  <c r="AE505" i="62" s="1"/>
  <c r="AC547" i="62"/>
  <c r="AE547" i="62" s="1"/>
  <c r="AC77" i="62"/>
  <c r="AE77" i="62" s="1"/>
  <c r="AC184" i="62"/>
  <c r="AE184" i="62" s="1"/>
  <c r="AC92" i="62"/>
  <c r="AE92" i="62" s="1"/>
  <c r="AC286" i="62"/>
  <c r="AE286" i="62" s="1"/>
  <c r="AC379" i="62"/>
  <c r="AE379" i="62" s="1"/>
  <c r="AC511" i="62"/>
  <c r="AE511" i="62" s="1"/>
  <c r="AC214" i="62"/>
  <c r="AE214" i="62" s="1"/>
  <c r="AC48" i="62"/>
  <c r="AE48" i="62" s="1"/>
  <c r="AC105" i="62"/>
  <c r="AE105" i="62" s="1"/>
  <c r="AC222" i="62"/>
  <c r="AE222" i="62" s="1"/>
  <c r="AC431" i="62"/>
  <c r="AE431" i="62" s="1"/>
  <c r="AC40" i="62"/>
  <c r="AE40" i="62" s="1"/>
  <c r="AC437" i="62"/>
  <c r="AE437" i="62" s="1"/>
  <c r="AC219" i="62"/>
  <c r="AE219" i="62" s="1"/>
  <c r="AC460" i="62"/>
  <c r="AE460" i="62" s="1"/>
  <c r="AC162" i="62"/>
  <c r="AE162" i="62" s="1"/>
  <c r="AC165" i="62"/>
  <c r="AE165" i="62" s="1"/>
  <c r="AC84" i="62"/>
  <c r="AE84" i="62" s="1"/>
  <c r="AC3" i="62"/>
  <c r="AE3" i="62" s="1"/>
  <c r="AC555" i="62"/>
  <c r="AE555" i="62" s="1"/>
  <c r="AC534" i="62"/>
  <c r="AE534" i="62" s="1"/>
  <c r="AC372" i="62"/>
  <c r="AE372" i="62" s="1"/>
  <c r="AC386" i="62"/>
  <c r="AE386" i="62" s="1"/>
  <c r="AC472" i="62"/>
  <c r="AE472" i="62" s="1"/>
  <c r="AC64" i="62"/>
  <c r="AE64" i="62" s="1"/>
  <c r="AC210" i="62"/>
  <c r="AE210" i="62" s="1"/>
  <c r="AC284" i="62"/>
  <c r="AE284" i="62" s="1"/>
  <c r="AC242" i="62"/>
  <c r="AE242" i="62" s="1"/>
  <c r="AC175" i="62"/>
  <c r="AE175" i="62" s="1"/>
  <c r="AC17" i="62"/>
  <c r="AE17" i="62" s="1"/>
  <c r="AC531" i="62"/>
  <c r="AE531" i="62" s="1"/>
  <c r="AC164" i="62"/>
  <c r="AE164" i="62" s="1"/>
  <c r="AC428" i="62"/>
  <c r="AE428" i="62" s="1"/>
  <c r="AC47" i="62"/>
  <c r="AE47" i="62" s="1"/>
  <c r="AC190" i="62"/>
  <c r="AE190" i="62" s="1"/>
  <c r="AC253" i="62"/>
  <c r="AE253" i="62" s="1"/>
  <c r="AC363" i="62"/>
  <c r="AE363" i="62" s="1"/>
  <c r="AC447" i="62"/>
  <c r="AE447" i="62" s="1"/>
  <c r="AC346" i="62"/>
  <c r="AE346" i="62" s="1"/>
  <c r="AC140" i="62"/>
  <c r="AE140" i="62" s="1"/>
  <c r="AC271" i="62"/>
  <c r="AE271" i="62" s="1"/>
  <c r="AC529" i="62"/>
  <c r="AE529" i="62" s="1"/>
  <c r="AC276" i="62"/>
  <c r="AE276" i="62" s="1"/>
  <c r="AC117" i="62"/>
  <c r="AE117" i="62" s="1"/>
  <c r="AC81" i="62"/>
  <c r="AE81" i="62" s="1"/>
  <c r="AC230" i="62"/>
  <c r="AE230" i="62" s="1"/>
  <c r="AC220" i="62"/>
  <c r="AE220" i="62" s="1"/>
  <c r="AC146" i="62"/>
  <c r="AE146" i="62" s="1"/>
  <c r="AC149" i="62"/>
  <c r="AE149" i="62" s="1"/>
  <c r="AC28" i="62"/>
  <c r="AE28" i="62" s="1"/>
  <c r="AC41" i="62"/>
  <c r="AE41" i="62" s="1"/>
  <c r="AC539" i="62"/>
  <c r="AE539" i="62" s="1"/>
  <c r="AC518" i="62"/>
  <c r="AE518" i="62" s="1"/>
  <c r="AC356" i="62"/>
  <c r="AE356" i="62" s="1"/>
  <c r="AC370" i="62"/>
  <c r="AE370" i="62" s="1"/>
  <c r="AC189" i="62"/>
  <c r="AE189" i="62" s="1"/>
  <c r="AC93" i="62"/>
  <c r="AE93" i="62" s="1"/>
  <c r="AC487" i="62"/>
  <c r="AE487" i="62" s="1"/>
  <c r="AC434" i="62"/>
  <c r="AE434" i="62" s="1"/>
  <c r="AC503" i="62"/>
  <c r="AE503" i="62" s="1"/>
  <c r="AC258" i="62"/>
  <c r="AE258" i="62" s="1"/>
  <c r="AC238" i="62"/>
  <c r="AE238" i="62" s="1"/>
  <c r="AC87" i="62"/>
  <c r="AE87" i="62" s="1"/>
  <c r="AC515" i="62"/>
  <c r="AE515" i="62" s="1"/>
  <c r="AC148" i="62"/>
  <c r="AE148" i="62" s="1"/>
  <c r="AC396" i="62"/>
  <c r="AE396" i="62" s="1"/>
  <c r="AC10" i="62"/>
  <c r="AE10" i="62" s="1"/>
  <c r="AC233" i="62"/>
  <c r="AE233" i="62" s="1"/>
  <c r="AC207" i="62"/>
  <c r="AE207" i="62" s="1"/>
  <c r="AC347" i="62"/>
  <c r="AE347" i="62" s="1"/>
  <c r="AC63" i="62"/>
  <c r="AE63" i="62" s="1"/>
  <c r="AC159" i="62"/>
  <c r="AE159" i="62" s="1"/>
  <c r="AC402" i="62"/>
  <c r="AE402" i="62" s="1"/>
  <c r="AC135" i="62"/>
  <c r="AE135" i="62" s="1"/>
  <c r="AC383" i="62"/>
  <c r="AE383" i="62" s="1"/>
  <c r="AC76" i="62"/>
  <c r="AE76" i="62" s="1"/>
  <c r="AC106" i="62"/>
  <c r="AE106" i="62" s="1"/>
  <c r="AC198" i="62"/>
  <c r="AE198" i="62" s="1"/>
  <c r="AC281" i="62"/>
  <c r="AE281" i="62" s="1"/>
  <c r="AC103" i="62"/>
  <c r="AE103" i="62" s="1"/>
  <c r="AC23" i="62"/>
  <c r="AE23" i="62" s="1"/>
  <c r="AC30" i="62"/>
  <c r="AE30" i="62" s="1"/>
  <c r="AC432" i="62"/>
  <c r="AE432" i="62" s="1"/>
  <c r="AC199" i="62"/>
  <c r="AE199" i="62" s="1"/>
  <c r="AC186" i="62"/>
  <c r="AE186" i="62" s="1"/>
  <c r="AC218" i="62"/>
  <c r="AE218" i="62" s="1"/>
  <c r="AC62" i="62"/>
  <c r="AE62" i="62" s="1"/>
  <c r="AC523" i="62"/>
  <c r="AE523" i="62" s="1"/>
  <c r="AC502" i="62"/>
  <c r="AE502" i="62" s="1"/>
  <c r="AC340" i="62"/>
  <c r="AE340" i="62" s="1"/>
  <c r="AC338" i="62"/>
  <c r="AE338" i="62" s="1"/>
  <c r="AC201" i="62"/>
  <c r="AE201" i="62" s="1"/>
  <c r="AC173" i="62"/>
  <c r="AE173" i="62" s="1"/>
  <c r="AC102" i="62"/>
  <c r="AE102" i="62" s="1"/>
  <c r="AC471" i="62"/>
  <c r="AE471" i="62" s="1"/>
  <c r="AC34" i="62"/>
  <c r="AE34" i="62" s="1"/>
  <c r="AC455" i="62"/>
  <c r="AE455" i="62" s="1"/>
  <c r="AC297" i="62"/>
  <c r="AE297" i="62" s="1"/>
  <c r="AC499" i="62"/>
  <c r="AE499" i="62" s="1"/>
  <c r="AC170" i="62"/>
  <c r="AE170" i="62" s="1"/>
  <c r="AC364" i="62"/>
  <c r="AE364" i="62" s="1"/>
  <c r="AC410" i="62"/>
  <c r="AE410" i="62" s="1"/>
  <c r="AC299" i="62"/>
  <c r="AE299" i="62" s="1"/>
  <c r="AC287" i="62"/>
  <c r="AE287" i="62" s="1"/>
  <c r="AC19" i="62"/>
  <c r="AE19" i="62" s="1"/>
  <c r="AC331" i="62"/>
  <c r="AE331" i="62" s="1"/>
  <c r="AC143" i="62"/>
  <c r="AE143" i="62" s="1"/>
  <c r="AC421" i="62"/>
  <c r="AE421" i="62" s="1"/>
  <c r="AC512" i="62"/>
  <c r="AE512" i="62" s="1"/>
  <c r="AC339" i="62"/>
  <c r="AE339" i="62" s="1"/>
  <c r="AC321" i="62"/>
  <c r="AE321" i="62" s="1"/>
  <c r="AC101" i="62"/>
  <c r="AE101" i="62" s="1"/>
  <c r="AC109" i="62"/>
  <c r="AE109" i="62" s="1"/>
  <c r="AC350" i="62"/>
  <c r="AE350" i="62" s="1"/>
  <c r="AC549" i="62"/>
  <c r="AE549" i="62" s="1"/>
  <c r="AC406" i="62"/>
  <c r="AE406" i="62" s="1"/>
  <c r="AC315" i="62"/>
  <c r="AE315" i="62" s="1"/>
  <c r="AC71" i="62"/>
  <c r="AC183" i="62"/>
  <c r="AE183" i="62" s="1"/>
  <c r="AC429" i="62"/>
  <c r="AE429" i="62" s="1"/>
  <c r="AC123" i="62"/>
  <c r="AE123" i="62" s="1"/>
  <c r="AC507" i="62"/>
  <c r="AE507" i="62" s="1"/>
  <c r="AC486" i="62"/>
  <c r="AE486" i="62" s="1"/>
  <c r="AC470" i="62"/>
  <c r="AE470" i="62" s="1"/>
  <c r="AC90" i="62"/>
  <c r="AE90" i="62" s="1"/>
  <c r="AC409" i="62"/>
  <c r="AE409" i="62" s="1"/>
  <c r="AC282" i="62"/>
  <c r="AE282" i="62" s="1"/>
  <c r="AC112" i="62"/>
  <c r="AE112" i="62" s="1"/>
  <c r="AC439" i="62"/>
  <c r="AE439" i="62" s="1"/>
  <c r="AC54" i="62"/>
  <c r="AE54" i="62" s="1"/>
  <c r="AC116" i="62"/>
  <c r="AE116" i="62" s="1"/>
  <c r="AC234" i="62"/>
  <c r="AE234" i="62" s="1"/>
  <c r="AC483" i="62"/>
  <c r="AE483" i="62" s="1"/>
  <c r="AC245" i="62"/>
  <c r="AE245" i="62" s="1"/>
  <c r="AC348" i="62"/>
  <c r="AE348" i="62" s="1"/>
  <c r="AC362" i="62"/>
  <c r="AE362" i="62" s="1"/>
  <c r="AC46" i="62"/>
  <c r="AE46" i="62" s="1"/>
  <c r="AC227" i="62"/>
  <c r="AE227" i="62" s="1"/>
  <c r="AC313" i="62"/>
  <c r="AE313" i="62" s="1"/>
  <c r="AC543" i="62"/>
  <c r="AE543" i="62" s="1"/>
  <c r="AC320" i="62"/>
  <c r="AE320" i="62" s="1"/>
  <c r="AC373" i="62"/>
  <c r="AE373" i="62" s="1"/>
  <c r="AC496" i="62"/>
  <c r="AE496" i="62" s="1"/>
  <c r="AC385" i="62"/>
  <c r="AE385" i="62" s="1"/>
  <c r="AC44" i="62"/>
  <c r="AE44" i="62" s="1"/>
  <c r="AC494" i="62"/>
  <c r="AE494" i="62" s="1"/>
  <c r="AC124" i="62"/>
  <c r="AE124" i="62" s="1"/>
  <c r="AC324" i="62"/>
  <c r="AE324" i="62" s="1"/>
  <c r="AC293" i="62"/>
  <c r="AE293" i="62" s="1"/>
  <c r="AC296" i="62"/>
  <c r="AE296" i="62" s="1"/>
  <c r="AC217" i="62"/>
  <c r="AE217" i="62" s="1"/>
  <c r="AC36" i="62"/>
  <c r="AE36" i="62" s="1"/>
  <c r="AC211" i="62"/>
  <c r="AE211" i="62" s="1"/>
  <c r="AC56" i="62"/>
  <c r="AE56" i="62" s="1"/>
  <c r="AC397" i="62"/>
  <c r="AE397" i="62" s="1"/>
  <c r="AC289" i="62"/>
  <c r="AE289" i="62" s="1"/>
  <c r="AC438" i="62"/>
  <c r="AE438" i="62" s="1"/>
  <c r="AC454" i="62"/>
  <c r="AE454" i="62" s="1"/>
  <c r="AC55" i="62"/>
  <c r="AE55" i="62" s="1"/>
  <c r="AC377" i="62"/>
  <c r="AE377" i="62" s="1"/>
  <c r="AC264" i="62"/>
  <c r="AE264" i="62" s="1"/>
  <c r="AC168" i="62"/>
  <c r="AE168" i="62" s="1"/>
  <c r="AC416" i="62"/>
  <c r="AE416" i="62" s="1"/>
  <c r="AC327" i="62"/>
  <c r="AE327" i="62" s="1"/>
  <c r="AC127" i="62"/>
  <c r="AE127" i="62" s="1"/>
  <c r="AC68" i="62"/>
  <c r="AE68" i="62" s="1"/>
  <c r="AC97" i="62"/>
  <c r="AE97" i="62" s="1"/>
  <c r="AC467" i="62"/>
  <c r="AE467" i="62" s="1"/>
  <c r="AC74" i="62"/>
  <c r="AE74" i="62" s="1"/>
  <c r="AC332" i="62"/>
  <c r="AE332" i="62" s="1"/>
  <c r="AC542" i="62"/>
  <c r="AE542" i="62" s="1"/>
  <c r="AC288" i="62"/>
  <c r="AE288" i="62" s="1"/>
  <c r="AC252" i="62"/>
  <c r="AE252" i="62" s="1"/>
  <c r="AC240" i="62"/>
  <c r="AE240" i="62" s="1"/>
  <c r="AC527" i="62"/>
  <c r="AE527" i="62" s="1"/>
  <c r="AC88" i="62"/>
  <c r="AE88" i="62" s="1"/>
  <c r="AC394" i="62"/>
  <c r="AE394" i="62" s="1"/>
  <c r="AC95" i="62"/>
  <c r="AE95" i="62" s="1"/>
  <c r="AC215" i="62"/>
  <c r="AE215" i="62" s="1"/>
  <c r="AC522" i="62"/>
  <c r="AE522" i="62" s="1"/>
  <c r="AC197" i="62"/>
  <c r="AE197" i="62" s="1"/>
  <c r="AC285" i="62"/>
  <c r="AE285" i="62" s="1"/>
  <c r="AC424" i="62"/>
  <c r="AE424" i="62" s="1"/>
  <c r="AC15" i="62"/>
  <c r="AE15" i="62" s="1"/>
  <c r="AC24" i="62"/>
  <c r="AE24" i="62" s="1"/>
  <c r="AC69" i="62"/>
  <c r="AE69" i="62" s="1"/>
  <c r="AC381" i="62"/>
  <c r="AE381" i="62" s="1"/>
  <c r="AC213" i="62"/>
  <c r="AE213" i="62" s="1"/>
  <c r="AC475" i="62"/>
  <c r="AE475" i="62" s="1"/>
  <c r="AC303" i="62"/>
  <c r="AE303" i="62" s="1"/>
  <c r="AC361" i="62"/>
  <c r="AE361" i="62" s="1"/>
  <c r="AC94" i="62"/>
  <c r="AE94" i="62" s="1"/>
  <c r="AC414" i="62"/>
  <c r="AE414" i="62" s="1"/>
  <c r="AC152" i="62"/>
  <c r="AE152" i="62" s="1"/>
  <c r="AC384" i="62"/>
  <c r="AE384" i="62" s="1"/>
  <c r="AC107" i="62"/>
  <c r="AE107" i="62" s="1"/>
  <c r="AC79" i="62"/>
  <c r="AE79" i="62" s="1"/>
  <c r="AC157" i="62"/>
  <c r="AE157" i="62" s="1"/>
  <c r="AC141" i="62"/>
  <c r="AE141" i="62" s="1"/>
  <c r="AC451" i="62"/>
  <c r="AE451" i="62" s="1"/>
  <c r="AC291" i="62"/>
  <c r="AE291" i="62" s="1"/>
  <c r="AC125" i="62"/>
  <c r="AE125" i="62" s="1"/>
  <c r="AC526" i="62"/>
  <c r="AE526" i="62" s="1"/>
  <c r="AC412" i="62"/>
  <c r="AE412" i="62" s="1"/>
  <c r="AC239" i="62"/>
  <c r="AE239" i="62" s="1"/>
  <c r="AC91" i="62"/>
  <c r="AE91" i="62" s="1"/>
  <c r="AC495" i="62"/>
  <c r="AE495" i="62" s="1"/>
  <c r="AC259" i="62"/>
  <c r="AE259" i="62" s="1"/>
  <c r="AC378" i="62"/>
  <c r="AE378" i="62" s="1"/>
  <c r="AC192" i="62"/>
  <c r="AE192" i="62" s="1"/>
  <c r="AC448" i="62"/>
  <c r="AE448" i="62" s="1"/>
  <c r="AC89" i="62"/>
  <c r="AE89" i="62" s="1"/>
  <c r="AC20" i="62"/>
  <c r="AE20" i="62" s="1"/>
  <c r="AC430" i="62"/>
  <c r="AE430" i="62" s="1"/>
  <c r="AC126" i="62"/>
  <c r="AE126" i="62" s="1"/>
  <c r="AC256" i="62"/>
  <c r="AE256" i="62" s="1"/>
  <c r="AC5" i="62"/>
  <c r="AE5" i="62" s="1"/>
  <c r="AC318" i="62"/>
  <c r="AE318" i="62" s="1"/>
  <c r="AC134" i="62"/>
  <c r="AE134" i="62" s="1"/>
  <c r="AC160" i="62"/>
  <c r="AE160" i="62" s="1"/>
  <c r="AC408" i="62"/>
  <c r="AE408" i="62" s="1"/>
  <c r="AC118" i="62"/>
  <c r="AE118" i="62" s="1"/>
  <c r="AC128" i="62"/>
  <c r="AE128" i="62" s="1"/>
  <c r="AC349" i="62"/>
  <c r="AE349" i="62" s="1"/>
  <c r="AC306" i="62"/>
  <c r="AE306" i="62" s="1"/>
  <c r="AC459" i="62"/>
  <c r="AE459" i="62" s="1"/>
  <c r="AC209" i="62"/>
  <c r="AE209" i="62" s="1"/>
  <c r="AC504" i="62"/>
  <c r="AE504" i="62" s="1"/>
  <c r="AC142" i="62"/>
  <c r="AE142" i="62" s="1"/>
  <c r="AC345" i="62"/>
  <c r="AE345" i="62" s="1"/>
  <c r="AC206" i="62"/>
  <c r="AE206" i="62" s="1"/>
  <c r="AC398" i="62"/>
  <c r="AE398" i="62" s="1"/>
  <c r="AC368" i="62"/>
  <c r="AE368" i="62" s="1"/>
  <c r="AC194" i="62"/>
  <c r="AE194" i="62" s="1"/>
  <c r="AC202" i="62"/>
  <c r="AE202" i="62" s="1"/>
  <c r="AC435" i="62"/>
  <c r="AE435" i="62" s="1"/>
  <c r="AC405" i="62"/>
  <c r="AE405" i="62" s="1"/>
  <c r="AC312" i="62"/>
  <c r="AE312" i="62" s="1"/>
  <c r="AC544" i="62"/>
  <c r="AE544" i="62" s="1"/>
  <c r="AC38" i="62"/>
  <c r="AE38" i="62" s="1"/>
  <c r="AC221" i="62"/>
  <c r="AE221" i="62" s="1"/>
  <c r="AC298" i="62"/>
  <c r="AE298" i="62" s="1"/>
  <c r="AC22" i="62"/>
  <c r="AE22" i="62" s="1"/>
  <c r="AC308" i="62"/>
  <c r="AE308" i="62" s="1"/>
  <c r="AC401" i="62"/>
  <c r="AE401" i="62" s="1"/>
  <c r="AC360" i="62"/>
  <c r="AE360" i="62" s="1"/>
  <c r="AC525" i="62"/>
  <c r="AE525" i="62" s="1"/>
  <c r="AC144" i="62"/>
  <c r="AE144" i="62" s="1"/>
  <c r="AC392" i="62"/>
  <c r="AE392" i="62" s="1"/>
  <c r="AC11" i="62"/>
  <c r="AE11" i="62" s="1"/>
  <c r="AC305" i="62"/>
  <c r="AE305" i="62" s="1"/>
  <c r="AC80" i="62"/>
  <c r="AE80" i="62" s="1"/>
  <c r="AC333" i="62"/>
  <c r="AE333" i="62" s="1"/>
  <c r="AC208" i="62"/>
  <c r="AE208" i="62" s="1"/>
  <c r="AC443" i="62"/>
  <c r="AE443" i="62" s="1"/>
  <c r="AC156" i="62"/>
  <c r="AE156" i="62" s="1"/>
  <c r="AC488" i="62"/>
  <c r="AE488" i="62" s="1"/>
  <c r="AC195" i="62"/>
  <c r="AE195" i="62" s="1"/>
  <c r="AC145" i="62"/>
  <c r="AE145" i="62" s="1"/>
  <c r="AC329" i="62"/>
  <c r="AE329" i="62" s="1"/>
  <c r="AC307" i="62"/>
  <c r="AE307" i="62" s="1"/>
  <c r="AC223" i="62"/>
  <c r="AE223" i="62" s="1"/>
  <c r="AC352" i="62"/>
  <c r="AE352" i="62" s="1"/>
  <c r="AC280" i="62"/>
  <c r="AE280" i="62" s="1"/>
  <c r="AC60" i="62"/>
  <c r="AE60" i="62" s="1"/>
  <c r="AC178" i="62"/>
  <c r="AE178" i="62" s="1"/>
  <c r="AC151" i="62"/>
  <c r="AE151" i="62" s="1"/>
  <c r="AC231" i="62"/>
  <c r="AE231" i="62" s="1"/>
  <c r="AC166" i="62"/>
  <c r="AE166" i="62" s="1"/>
  <c r="AC528" i="62"/>
  <c r="AE528" i="62" s="1"/>
  <c r="AC417" i="62"/>
  <c r="AE417" i="62" s="1"/>
  <c r="AC9" i="62"/>
  <c r="AE9" i="62" s="1"/>
  <c r="AC463" i="62"/>
  <c r="AE463" i="62" s="1"/>
  <c r="AC510" i="62"/>
  <c r="AE510" i="62" s="1"/>
  <c r="AC212" i="62"/>
  <c r="AE212" i="62" s="1"/>
  <c r="AC6" i="62"/>
  <c r="AE6" i="62" s="1"/>
  <c r="AC391" i="62"/>
  <c r="AE391" i="62" s="1"/>
  <c r="AC2" i="62"/>
  <c r="AE2" i="62" s="1"/>
  <c r="AE493" i="62"/>
  <c r="AE174" i="62"/>
  <c r="G10" i="59"/>
  <c r="H10" i="59"/>
  <c r="I12" i="59" l="1"/>
  <c r="J15" i="59"/>
  <c r="J14" i="59"/>
  <c r="J13" i="59"/>
  <c r="F19" i="5"/>
  <c r="E19" i="5"/>
  <c r="AE71" i="62"/>
  <c r="F16" i="5"/>
  <c r="F15" i="5"/>
  <c r="E16" i="5"/>
  <c r="E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tc={07DEF8EB-B78A-4C79-BDBA-B0C99BFE3CAE}</author>
    <author>tc={8023840B-4AD5-4E86-80FD-E80715DF8841}</author>
    <author>tc={C1569779-44B6-443C-AED1-16EEAB5284CC}</author>
    <author>tc={4ED6F0C1-23CA-4904-AE6F-6CEA4C2C6473}</author>
    <author>tc={17E5BB9B-2266-4A05-8B2C-1D58BF69DFA2}</author>
    <author>tc={3A94DDF0-4C19-4B91-B998-0D7FBEB0FF1B}</author>
    <author>tc={EC8532E5-5045-4DEB-A65C-C461F9C23954}</author>
    <author>tc={E4243E44-BE56-4C2D-8D25-8DFA42A69414}</author>
    <author>tc={8B406C55-2003-4143-B7FB-AFA79A499322}</author>
    <author>tc={6A67F432-DA8C-43ED-9A38-FDC496B5355D}</author>
    <author>tc={7CF9F111-B30F-4A16-A6F9-99C80034A61C}</author>
    <author>tc={4343D155-A454-4FA4-B797-6A08B3C58D51}</author>
    <author>tc={C8C83D13-2B73-4602-9484-DC4D1D3B64DE}</author>
    <author>tc={60BA9A7C-2A3C-4F7C-AAF4-42A7D42AF23F}</author>
    <author>tc={43B0E088-4384-4518-96B9-36D5D06EB07D}</author>
  </authors>
  <commentList>
    <comment ref="O1" authorId="0" shapeId="0" xr:uid="{07DEF8EB-B78A-4C79-BDBA-B0C99BFE3CAE}">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P1" authorId="1" shapeId="0" xr:uid="{8023840B-4AD5-4E86-80FD-E80715DF8841}">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Q1" authorId="2" shapeId="0" xr:uid="{C1569779-44B6-443C-AED1-16EEAB5284CC}">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R1" authorId="3" shapeId="0" xr:uid="{4ED6F0C1-23CA-4904-AE6F-6CEA4C2C6473}">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S1" authorId="4" shapeId="0" xr:uid="{17E5BB9B-2266-4A05-8B2C-1D58BF69DFA2}">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T1" authorId="5" shapeId="0" xr:uid="{3A94DDF0-4C19-4B91-B998-0D7FBEB0FF1B}">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U1" authorId="6" shapeId="0" xr:uid="{EC8532E5-5045-4DEB-A65C-C461F9C23954}">
      <text>
        <t>[Threaded comment]
Your version of Excel allows you to read this threaded comment; however, any edits to it will get removed if the file is opened in a newer version of Excel. Learn more: https://go.microsoft.com/fwlink/?linkid=870924
Comment:
    All exclusion criteria (EC-*) must be false to pass</t>
      </text>
    </comment>
    <comment ref="V1" authorId="7" shapeId="0" xr:uid="{E4243E44-BE56-4C2D-8D25-8DFA42A69414}">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X1" authorId="8" shapeId="0" xr:uid="{8B406C55-2003-4143-B7FB-AFA79A499322}">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Y1" authorId="9" shapeId="0" xr:uid="{6A67F432-DA8C-43ED-9A38-FDC496B5355D}">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Z1" authorId="10" shapeId="0" xr:uid="{7CF9F111-B30F-4A16-A6F9-99C80034A61C}">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AA1" authorId="11" shapeId="0" xr:uid="{4343D155-A454-4FA4-B797-6A08B3C58D51}">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 ref="AB1" authorId="12" shapeId="0" xr:uid="{C8C83D13-2B73-4602-9484-DC4D1D3B64DE}">
      <text>
        <t>[Threaded comment]
Your version of Excel allows you to read this threaded comment; however, any edits to it will get removed if the file is opened in a newer version of Excel. Learn more: https://go.microsoft.com/fwlink/?linkid=870924
Comment:
    All inclussion criteria (IC) must be true to pass</t>
      </text>
    </comment>
    <comment ref="AD1" authorId="13" shapeId="0" xr:uid="{60BA9A7C-2A3C-4F7C-AAF4-42A7D42AF23F}">
      <text>
        <t xml:space="preserve">[Threaded comment]
Your version of Excel allows you to read this threaded comment; however, any edits to it will get removed if the file is opened in a newer version of Excel. Learn more: https://go.microsoft.com/fwlink/?linkid=870924
Comment:
    E.g.:
=COUNTIF($A$2:A2, A2) = 1
How it works:
COUNTIF($A$2:A2, A2) counts how many times the value in A2 has appeared from the first row to the current row.
The first time it appears, the result is 1, so the formula returns TRUE.
For subsequent appearances, it returns &gt;1, so the formula returns FALSE.
</t>
      </text>
    </comment>
    <comment ref="AF1" authorId="14" shapeId="0" xr:uid="{43B0E088-4384-4518-96B9-36D5D06EB07D}">
      <text>
        <t>[Threaded comment]
Your version of Excel allows you to read this threaded comment; however, any edits to it will get removed if the file is opened in a newer version of Excel. Learn more: https://go.microsoft.com/fwlink/?linkid=870924
Comment:
    Double check abstract and tittle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tc={7A1AA0A3-5D0A-4DFC-9E8F-A851BB469E8B}</author>
    <author>tc={4AA258D9-FF37-4D9B-8D0A-E61303FA334C}</author>
    <author>tc={906B8140-4B1A-4808-90FD-110B93437772}</author>
    <author>tc={D3C3E5F8-AA78-48E2-8678-0F5F5E8B451B}</author>
    <author>tc={47CDB37A-87CA-4DB9-BB80-810660BFA4EA}</author>
    <author>tc={93001C12-9EF3-41FD-A476-2A0B0D57E320}</author>
    <author>tc={C29201B3-CCC6-4219-9051-D51573BC60A8}</author>
    <author>tc={33A2877D-7F3A-4BC3-AD52-A33A5A0275E3}</author>
  </authors>
  <commentList>
    <comment ref="F1" authorId="0" shapeId="0" xr:uid="{7A1AA0A3-5D0A-4DFC-9E8F-A851BB469E8B}">
      <text>
        <t>[Threaded comment]
Your version of Excel allows you to read this threaded comment; however, any edits to it will get removed if the file is opened in a newer version of Excel. Learn more: https://go.microsoft.com/fwlink/?linkid=870924
Comment:
    QF-01: References key or indexed sources on Dimensional Analysis? (Y /N ).</t>
      </text>
    </comment>
    <comment ref="G1" authorId="1" shapeId="0" xr:uid="{4AA258D9-FF37-4D9B-8D0A-E61303FA334C}">
      <text>
        <t>[Threaded comment]
Your version of Excel allows you to read this threaded comment; however, any edits to it will get removed if the file is opened in a newer version of Excel. Learn more: https://go.microsoft.com/fwlink/?linkid=870924
Comment:
    QF-02: Is Dimensional Analysis central to the document? (Y /N /P ).</t>
      </text>
    </comment>
    <comment ref="H1" authorId="2" shapeId="0" xr:uid="{906B8140-4B1A-4808-90FD-110B93437772}">
      <text>
        <t>[Threaded comment]
Your version of Excel allows you to read this threaded comment; however, any edits to it will get removed if the file is opened in a newer version of Excel. Learn more: https://go.microsoft.com/fwlink/?linkid=870924
Comment:
    QF-03: states an objective, research question, or modeling goal on Dimensional Analysis? (Y /N /P ).</t>
      </text>
    </comment>
    <comment ref="I1" authorId="3" shapeId="0" xr:uid="{D3C3E5F8-AA78-48E2-8678-0F5F5E8B451B}">
      <text>
        <t>[Threaded comment]
Your version of Excel allows you to read this threaded comment; however, any edits to it will get removed if the file is opened in a newer version of Excel. Learn more: https://go.microsoft.com/fwlink/?linkid=870924
Comment:
    QF-04: Describes or applies identifiable steps, rules, or computational procedures related to Dimensional Analysis? (Y /N /P ).</t>
      </text>
    </comment>
    <comment ref="J1" authorId="4" shapeId="0" xr:uid="{47CDB37A-87CA-4DB9-BB80-810660BFA4EA}">
      <text>
        <t>[Threaded comment]
Your version of Excel allows you to read this threaded comment; however, any edits to it will get removed if the file is opened in a newer version of Excel. Learn more: https://go.microsoft.com/fwlink/?linkid=870924
Comment:
    QF-05: Provides quantitative evidence, simulation results, or empirical validation to support the application of Dimensional Analysis? (Y /N /P ).</t>
      </text>
    </comment>
    <comment ref="K1" authorId="5" shapeId="0" xr:uid="{93001C12-9EF3-41FD-A476-2A0B0D57E320}">
      <text>
        <t>[Threaded comment]
Your version of Excel allows you to read this threaded comment; however, any edits to it will get removed if the file is opened in a newer version of Excel. Learn more: https://go.microsoft.com/fwlink/?linkid=870924
Comment:
    QF-06: Discusses limitations or challenges of applying Dimensional Analysis in the research context? (Y /N /P ).</t>
      </text>
    </comment>
    <comment ref="C5" authorId="6" shapeId="0" xr:uid="{C29201B3-CCC6-4219-9051-D51573BC60A8}">
      <text>
        <t>[Threaded comment]
Your version of Excel allows you to read this threaded comment; however, any edits to it will get removed if the file is opened in a newer version of Excel. Learn more: https://go.microsoft.com/fwlink/?linkid=870924
Comment:
    Although it introduces a novel analogy using energy and action, it doesn't include clear dimensional analysis procedures or empirical validation tied directly to dimensionless modeling.</t>
      </text>
    </comment>
    <comment ref="C9" authorId="7" shapeId="0" xr:uid="{33A2877D-7F3A-4BC3-AD52-A33A5A0275E3}">
      <text>
        <t>[Threaded comment]
Your version of Excel allows you to read this threaded comment; however, any edits to it will get removed if the file is opened in a newer version of Excel. Learn more: https://go.microsoft.com/fwlink/?linkid=870924
Comment:
    The paper is highly abstract and theoretical, using physics-inspired ideas, but it doesn't apply or validate standard dimensional analysis methods in a concrete or testable way.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tc={8350E28E-33E3-4D30-9E3C-DACC5D3F7AE6}</author>
    <author>tc={DBC7564B-B5A6-4A81-9783-BEF2C0A6F308}</author>
    <author>tc={F3DF5DCE-8B75-4D69-A7A0-FC66C0B17707}</author>
    <author>tc={50B93A7B-E754-4D59-9E68-3A4BAACB99F4}</author>
    <author>tc={80E80823-D57F-4FF6-99F0-2573969C0921}</author>
    <author>tc={023751BD-1DB0-4656-9423-CC804E8428FC}</author>
    <author>tc={8D4E3008-1AAD-4714-9C8D-516FF3DACDFB}</author>
    <author>tc={32901EC6-A977-4D79-8762-3C735AC39123}</author>
    <author>tc={7D9428EF-B99F-4256-A74C-9B20865395DE}</author>
    <author>tc={746A86D0-1CF7-4292-9F7C-58639261EFE2}</author>
    <author>tc={DC840D66-C882-442E-A2A9-4403F742DD96}</author>
  </authors>
  <commentList>
    <comment ref="B4" authorId="0" shapeId="0" xr:uid="{8350E28E-33E3-4D30-9E3C-DACC5D3F7AE6}">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B5" authorId="1" shapeId="0" xr:uid="{DBC7564B-B5A6-4A81-9783-BEF2C0A6F308}">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B6" authorId="2" shapeId="0" xr:uid="{F3DF5DCE-8B75-4D69-A7A0-FC66C0B17707}">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B7" authorId="3" shapeId="0" xr:uid="{50B93A7B-E754-4D59-9E68-3A4BAACB99F4}">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B8" authorId="4" shapeId="0" xr:uid="{80E80823-D57F-4FF6-99F0-2573969C0921}">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B9" authorId="5" shapeId="0" xr:uid="{023751BD-1DB0-4656-9423-CC804E8428FC}">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B10" authorId="6" shapeId="0" xr:uid="{8D4E3008-1AAD-4714-9C8D-516FF3DACDFB}">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B11" authorId="7" shapeId="0" xr:uid="{32901EC6-A977-4D79-8762-3C735AC39123}">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B12" authorId="8" shapeId="0" xr:uid="{7D9428EF-B99F-4256-A74C-9B20865395DE}">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B13" authorId="9" shapeId="0" xr:uid="{746A86D0-1CF7-4292-9F7C-58639261EFE2}">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B14" authorId="10" shapeId="0" xr:uid="{DC840D66-C882-442E-A2A9-4403F742DD96}">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tc={29355550-D669-4918-9E79-8F29E0E07119}</author>
  </authors>
  <commentList>
    <comment ref="H1" authorId="0" shapeId="0" xr:uid="{29355550-D669-4918-9E79-8F29E0E07119}">
      <text>
        <t xml:space="preserve">[Threaded comment]
Your version of Excel allows you to read this threaded comment; however, any edits to it will get removed if the file is opened in a newer version of Excel. Learn more: https://go.microsoft.com/fwlink/?linkid=870924
Comment:
    Legend for this Table:
"–" means no inference was made (i.e., item was marked ✅ in original table).
Text in each cell explains why the item was inferred.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C5E4AF-443A-4F13-A22E-1949AA904B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88D72B-EEB1-4FB8-AD8F-55CD182DEF2C}" name="WorksheetConnection_01 - SLR DA in ArchiSoft Summary - 2010-2024 (2020).xlsx!Table1" type="102" refreshedVersion="8" minRefreshableVersion="5">
    <extLst>
      <ext xmlns:x15="http://schemas.microsoft.com/office/spreadsheetml/2010/11/main" uri="{DE250136-89BD-433C-8126-D09CA5730AF9}">
        <x15:connection id="Table1">
          <x15:rangePr sourceName="_xlcn.WorksheetConnection_01SLRDAinArchiSoftSummary201020242020.xlsxTable11"/>
        </x15:connection>
      </ext>
    </extLst>
  </connection>
  <connection id="3" xr16:uid="{B6D79A90-E503-4512-BE4A-C492DA8ADDBF}" name="WorksheetConnection_01 - SLR DA in ArchiSoft Summary - 2010-2024 (2020).xlsx!Table128" type="102" refreshedVersion="8" minRefreshableVersion="5">
    <extLst>
      <ext xmlns:x15="http://schemas.microsoft.com/office/spreadsheetml/2010/11/main" uri="{DE250136-89BD-433C-8126-D09CA5730AF9}">
        <x15:connection id="Table128">
          <x15:rangePr sourceName="_xlcn.WorksheetConnection_01SLRDAinArchiSoftSummary201020242020.xlsxTable1281"/>
        </x15:connection>
      </ext>
    </extLst>
  </connection>
  <connection id="4" xr16:uid="{67FDC121-BEE7-4A54-8E34-ABAF545FD407}" name="WorksheetConnection_01 - SLR DA in ArchiSoft Summary - 2010-2024 (2020).xlsx!Table1332" type="102" refreshedVersion="8" minRefreshableVersion="5">
    <extLst>
      <ext xmlns:x15="http://schemas.microsoft.com/office/spreadsheetml/2010/11/main" uri="{DE250136-89BD-433C-8126-D09CA5730AF9}">
        <x15:connection id="Table1332">
          <x15:rangePr sourceName="_xlcn.WorksheetConnection_01SLRDAinArchiSoftSummary201020242020.xlsxTable13321"/>
        </x15:connection>
      </ext>
    </extLst>
  </connection>
  <connection id="5" xr16:uid="{F4E382DD-C4B6-4891-9215-D984F4F3CC32}" name="WorksheetConnection_01 - SLR DA in ArchiSoft Summary - 2010-2024 (2020).xlsx!Table133235" type="102" refreshedVersion="8" minRefreshableVersion="5">
    <extLst>
      <ext xmlns:x15="http://schemas.microsoft.com/office/spreadsheetml/2010/11/main" uri="{DE250136-89BD-433C-8126-D09CA5730AF9}">
        <x15:connection id="Table133235">
          <x15:rangePr sourceName="_xlcn.WorksheetConnection_01SLRDAinArchiSoftSummary201020242020.xlsxTable1332351"/>
        </x15:connection>
      </ext>
    </extLst>
  </connection>
  <connection id="6" xr16:uid="{A5556B8D-3A46-474D-BAB1-5D37766E0AA5}" name="WorksheetConnection_01 - SLR DA in ArchiSoft Summary - 2010-2024 (2020).xlsx!Table133237" type="102" refreshedVersion="8" minRefreshableVersion="5">
    <extLst>
      <ext xmlns:x15="http://schemas.microsoft.com/office/spreadsheetml/2010/11/main" uri="{DE250136-89BD-433C-8126-D09CA5730AF9}">
        <x15:connection id="Table133237">
          <x15:rangePr sourceName="_xlcn.WorksheetConnection_01SLRDAinArchiSoftSummary201020242020.xlsxTable133237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<sst xmlns="http://schemas.openxmlformats.org/spreadsheetml/2006/main" count="14484" uniqueCount="4215">
  <si>
    <t>IEEE Xplore</t>
  </si>
  <si>
    <t>SpringerLink</t>
  </si>
  <si>
    <t>ACM Digital Library</t>
  </si>
  <si>
    <t>Science Direct</t>
  </si>
  <si>
    <t>Column name</t>
  </si>
  <si>
    <t>Src Index</t>
  </si>
  <si>
    <t>Tgt Index</t>
  </si>
  <si>
    <t>Important</t>
  </si>
  <si>
    <t>Document Title</t>
  </si>
  <si>
    <t>Title</t>
  </si>
  <si>
    <t>Author</t>
  </si>
  <si>
    <t>Abstract</t>
  </si>
  <si>
    <t>Publication Title</t>
  </si>
  <si>
    <t>Abstract Note</t>
  </si>
  <si>
    <t>Publication Year</t>
  </si>
  <si>
    <t>Date</t>
  </si>
  <si>
    <t>DOI</t>
  </si>
  <si>
    <t>Manual Tags</t>
  </si>
  <si>
    <t>Item Type</t>
  </si>
  <si>
    <t>Editor</t>
  </si>
  <si>
    <t>Key</t>
  </si>
  <si>
    <t>ISBN</t>
  </si>
  <si>
    <t>ISSN</t>
  </si>
  <si>
    <t>Url</t>
  </si>
  <si>
    <t>Volume</t>
  </si>
  <si>
    <t>Pages</t>
  </si>
  <si>
    <t>Issue</t>
  </si>
  <si>
    <t>Series</t>
  </si>
  <si>
    <t>Publisher</t>
  </si>
  <si>
    <t>Journal Abbreviation</t>
  </si>
  <si>
    <t>Place</t>
  </si>
  <si>
    <t>Extra</t>
  </si>
  <si>
    <t>Short Title</t>
  </si>
  <si>
    <t>Language</t>
  </si>
  <si>
    <t>Rights</t>
  </si>
  <si>
    <t>Library Catalog</t>
  </si>
  <si>
    <t>File Attachments</t>
  </si>
  <si>
    <t>Link Attachments</t>
  </si>
  <si>
    <t>Automatic Tags</t>
  </si>
  <si>
    <t>Contributor</t>
  </si>
  <si>
    <t>Book Author</t>
  </si>
  <si>
    <t>Edition</t>
  </si>
  <si>
    <t>Conference Name</t>
  </si>
  <si>
    <t>Search String</t>
  </si>
  <si>
    <t>Period</t>
  </si>
  <si>
    <t>ACM</t>
  </si>
  <si>
    <t>Relevance</t>
  </si>
  <si>
    <t>ASME</t>
  </si>
  <si>
    <t>ScienceDirect</t>
  </si>
  <si>
    <t>Document Type</t>
  </si>
  <si>
    <t>ID</t>
  </si>
  <si>
    <t>Computer performance analysis and the Pi Theorem</t>
  </si>
  <si>
    <t>This paper applies the Pi Theorem of dimensional analysis to a representative set of examples from computer performance analysis. It is a survey paper that takes a different look at problems involving latency, bandwidth, cache-miss ratios, and the efficiency of parallel numerical algorithms. The Pi Theorem is the fundamental tool of dimensional analysis, and it applies to problems in computer performance analysis just as well as it does to problems in other sciences. Applying it requires the definition of a system of measurement appropriate for computer performance analysis with a consistent set of units and dimensions. Then a straightforward recipe for each specific problem reduces the number of independent variables to a smaller number of dimensionless parameters. Two machines with the same values of these parameters are self-similar and behave the same way. Self-similarity relationships emphasize how machines are the same rather than how they are different. The Pi Theorem is simple to state and simple to prove, using purely algebraic methods, but the results that follow from it are often surprising and not simple at all. The results are often unexpected but they almost always reveal something new about the problem at hand.</t>
  </si>
  <si>
    <t>Computer Science - Research and Development</t>
  </si>
  <si>
    <t>10.1007/s00450-010-0147-8</t>
  </si>
  <si>
    <t>Lecture Notes in Civil Engineering</t>
  </si>
  <si>
    <t>Lecture Notes in Computer Science</t>
  </si>
  <si>
    <t>Lecture Notes in Mechanical Engineering</t>
  </si>
  <si>
    <t>Springer Handbook of Robotics</t>
  </si>
  <si>
    <t>Springer Handbooks</t>
  </si>
  <si>
    <t>Springer Proceedings in Energy</t>
  </si>
  <si>
    <t>journalArticle</t>
  </si>
  <si>
    <t>conferencePaper</t>
  </si>
  <si>
    <t>book</t>
  </si>
  <si>
    <t>Wang, En; Luan, Dongming; Yang, Yongjian; Wang, Zihe; Dong, Pengmin; Li, Dawei; Liu, Wenbin; Wu, Jie</t>
  </si>
  <si>
    <t>Vehicular CrowdSensing (VCS) has become a powerful sensing paradigm by selecting users driving vehicles to perform tasks. In most existing research, the platform centrally allocates tasks according to the collected user information. We argue that the information collection process results in user privacy leakage, and the centralized allocation leads to a heavy computation complexity. We propose to apply a distributed task allocation method in the widely-used route navigation system. The navigation system recommends several routes to a user and each route may cover some tasks. Then, the user distributively selects a route according to the route profit (task reward minus route cost). Since the task reward is shared by users, the route selections of users may influence each other. Hence, it remains unclear how to design a distributed route navigation approach to reach an equilibrium state (i.e., each user is satisfied with the selected route), while guaranteeing a good total profit. To this end, we formulate the problem as a multi-user potential game and propose a distributed route navigation algorithm. The trace-based simulation results verify that the proposed algorithm achieves a Nash equilibrium, while achieving a total user profit performance close to that of the optimal solution.</t>
  </si>
  <si>
    <t>10.1145/3472456.3472498</t>
  </si>
  <si>
    <t>A Simple Concept for the Performance Analysis of Cluster-Computing</t>
  </si>
  <si>
    <t>Journal of Nuclear Engineering and Radiation Science</t>
  </si>
  <si>
    <t>Journal of Energy Resources Technology</t>
  </si>
  <si>
    <t>Journal of Fluids Engineering</t>
  </si>
  <si>
    <t>Journal of Engineering for Gas Turbines and Power</t>
  </si>
  <si>
    <t>Journal of Heat Transfer</t>
  </si>
  <si>
    <t>Operation</t>
  </si>
  <si>
    <t>Reason</t>
  </si>
  <si>
    <t>All</t>
  </si>
  <si>
    <t>Voyant Title</t>
  </si>
  <si>
    <t>Selected?</t>
  </si>
  <si>
    <t>YES</t>
  </si>
  <si>
    <t>PARTIALLY</t>
  </si>
  <si>
    <t>ASME Digital Collection</t>
  </si>
  <si>
    <t>PS-01</t>
  </si>
  <si>
    <t>PS-02</t>
  </si>
  <si>
    <t>PS-03</t>
  </si>
  <si>
    <t>Keywords</t>
  </si>
  <si>
    <t>Results</t>
  </si>
  <si>
    <t>Methodology</t>
  </si>
  <si>
    <t>Self-similarity of parallel machines</t>
  </si>
  <si>
    <t>Self-similarity is a property of physical systems that describes how to scale parameters such that dissimilar systems appear to be similar. Computer systems are self-similar if certain ratios of computational forces, also known as computational intensities, are equal. Two machines with different computational power, different network bandwidth and different inter-processor latency behave the same way if they have the same ratios of forces. For the parallel conjugate gradient algorithm studied in this paper, two machines are self-similar if and only if the ratio of one force describing latency effects to another force describing bandwidth effects is the same for both machines. For the two machines studied in this paper, this ratio, which we call the mixing coefficient, is invariant as problem size and processor count change. The two machines have the same mixing coefficient and belong to the same equivalence class.</t>
  </si>
  <si>
    <t>Parallel Computing</t>
  </si>
  <si>
    <t>This paper describes how to interpret a program’s performance in terms of its computational energy spectrum. High spikes in the spectrum correspond to important events during execution, such as cache misses, for example, and their positions show when they happen and how they effect other events. The area under the spectrum measures a program’s size in terms of the computational action norm, a measure of how efficiently it moves through computational phase space. The distance from one program to another is the area between their action curves. The measured energy spectra for a set of real programs executing on real hardware support the conjecture that the best program generates the least action, the Principle of Computational Least Action.</t>
  </si>
  <si>
    <t>The Journal of Supercomputing</t>
  </si>
  <si>
    <t>https://doi.org/10.1007/s11227-009-0273-x</t>
  </si>
  <si>
    <t>Max</t>
  </si>
  <si>
    <t>Min</t>
  </si>
  <si>
    <t>Average</t>
  </si>
  <si>
    <t>Readability Index</t>
  </si>
  <si>
    <t>analysis</t>
  </si>
  <si>
    <t>TOP 5 by default</t>
  </si>
  <si>
    <t>TOP 7 by custom</t>
  </si>
  <si>
    <t>Category</t>
  </si>
  <si>
    <t>Description</t>
  </si>
  <si>
    <t>Topics</t>
  </si>
  <si>
    <t>The main subjects or themes addressed in the document. This includes the specific areas of study, concepts, and issues that the document focuses on.</t>
  </si>
  <si>
    <t>Methods</t>
  </si>
  <si>
    <t>The techniques, procedures, and approaches used to conduct the research or analysis in the document. This includes experimental designs, computational methods, theoretical frameworks, and any specific methodologies applied.</t>
  </si>
  <si>
    <t>Tools</t>
  </si>
  <si>
    <t>The instruments, software, models, or systems used to carry out the research or analysis. This includes any hardware or software tools, simulation programs, analytical models, or frameworks utilized in the study.</t>
  </si>
  <si>
    <t>Outcomes</t>
  </si>
  <si>
    <t>The results, findings, and conclusions derived from the research or analysis. This includes quantitative data, qualitative insights, key discoveries, and any implications or recommendations presented in the document.</t>
  </si>
  <si>
    <t>CAT-01</t>
  </si>
  <si>
    <t>CAT-02</t>
  </si>
  <si>
    <t>CAT-03</t>
  </si>
  <si>
    <t>CAT-04</t>
  </si>
  <si>
    <t>Column Labels</t>
  </si>
  <si>
    <t>Grand Total</t>
  </si>
  <si>
    <t>Row Labels</t>
  </si>
  <si>
    <t>Lecture Notes in Electrical Engineering</t>
  </si>
  <si>
    <t>Communications in Computer and Information Science</t>
  </si>
  <si>
    <t>IFMBE Proceedings</t>
  </si>
  <si>
    <t>10.1007/978-3-642-38750-0_13</t>
  </si>
  <si>
    <t>Performance simulation of modular product architectures by model-based configuration</t>
  </si>
  <si>
    <t>Produktentwicklung und Konstruktionstechnik</t>
  </si>
  <si>
    <t/>
  </si>
  <si>
    <t>Journal of Mechanical Science and Technology</t>
  </si>
  <si>
    <t>Intelligent Systems Reference Library</t>
  </si>
  <si>
    <t>Studies in Systems, Decision and Control</t>
  </si>
  <si>
    <t>Performance Analysis of a Thermoelectric Generator Through Component in the Loop Simulation</t>
  </si>
  <si>
    <t>Methodology for bus structure torsion stiffness and natural vibration frequency prediction based on a dimensional analysis approach</t>
  </si>
  <si>
    <t>International Journal of Automotive Technology</t>
  </si>
  <si>
    <t>10.1007/s12239-014-0047-1</t>
  </si>
  <si>
    <t>Development of riverbank erosion rate predictor for natural channels using NARX-QR Factorization model: a case study of Sg. Bernam, Selangor, Malaysia</t>
  </si>
  <si>
    <t>Neural Computing and Applications</t>
  </si>
  <si>
    <t>10.1007/s00521-020-04835-5</t>
  </si>
  <si>
    <t>Cold Inflow-Free Solar Chimney</t>
  </si>
  <si>
    <t>This paper presents a method for wing aerostructural analysis and optimization, which needs much lower computational costs, while computes the wing drag and structural deformation with a level of accuracy comparable to the higher fidelity CFD and FEM tools. A quasi-three-dimensional aerodynamic solver is developed and connected to a finite beam element model for wing aerostructural optimization. In a quasi-three-dimensional approach an inviscid incompressible vortex lattice method is coupled with a viscous compressible airfoil analysis code for drag prediction of a three dimensional wing. The accuracy of the proposed method for wing drag prediction is validated by comparing its results with the results of a higher fidelity CFD analysis. The wing structural deformation as well as the stress distribution in the wingbox structure is computed using a finite beam element model. The Newton method is used to solve the coupled system. The sensitivities of the outputs, for example the wing drag, with respect to the inputs, for example the wing geometry, is computed by a combined use of the coupled adjoint method, automatic differentiation and the chain rule of differentiation. A gradient based optimization is performed using the proposed tool for minimizing the fuel weight of an A320 class aircraft. The optimization resulted in more than 10 % reduction in the aircraft fuel weight by optimizing the wing planform and airfoils shape as well as the wing internal structure.</t>
  </si>
  <si>
    <t>Remote sensing data and methods are widely deployed in order to contribute to the assessment of numerous components of earthquake risk. While for earthquake hazard-related investigations, the use of remotely sensed data is an established methodological element with a long research tradition, earthquake vulnerability–centred assessments incorporating remote sensing data are increasing primarily in recent years. This goes along with a changing perspective of the scientific community which considers the assessment of vulnerability and its constituent elements as a pivotal part of a comprehensive risk analysis. Thereby, the availability of new sensors systems enables an appreciable share of remote sensing first. In this manner, a survey of the interdisciplinary conceptual literature dealing with the scientific perception of risk, hazard and vulnerability reveals the demand for a comprehensive description of earthquake hazards as well as an assessment of the present and future conditions of the elements exposed. A review of earthquake-related remote sensing literature, realized both in a qualitative and quantitative manner, shows the already existing and published manifold capabilities of remote sensing contributing to assess earthquake risk. These include earthquake hazard-related analysis such as detection and measurement of lineaments and surface deformations in pre- and post-event applications. Furthermore, pre-event seismic vulnerability–centred assessment of the built and natural environment and damage assessments for post-event applications are presented. Based on the review and the discussion of scientific trends and current research projects, first steps towards a roadmap for remote sensing are drawn, explicitly taking scientific, technical, multi- and transdisciplinary as well as political perspectives into account, which is intended to open possible future research activities.</t>
  </si>
  <si>
    <t>International Journal of Computer Assisted Radiology and Surgery</t>
  </si>
  <si>
    <t>10.1007/s11548-022-02635-x</t>
  </si>
  <si>
    <t>ECR 2022 Book of Abstracts</t>
  </si>
  <si>
    <t>Insights into Imaging</t>
  </si>
  <si>
    <t>10.1186/s13244-022-01337-x</t>
  </si>
  <si>
    <t>Thermal and Energy Modeling of PCM-Enhanced Building Envelopes</t>
  </si>
  <si>
    <t>Program development for performance analysis of a steam turbine system with the use of overload valve</t>
  </si>
  <si>
    <t>Geothermal energy is one type of renewable source of energy that can be used as shallow geothermal system for the use of cooling and heating of residential and commercial buildings. In this paper, an intense review is carried out on geothermal heating and cooling for air conditioning with a focus on Earth-Air Heat Exchanger (EAHE) and Ground Source Heat Pump (GSHP) systems. The study is carried out to understand the factors which have a significant effect on the performance of the EAHE and GSHP systems. This paper also focuses on the hybrid work of geothermal heating and cooling system with other forms of energy and provides benefits for designing efficient GSHP and EAHE systems. This study indicates that the important parameters for EAHE and GSHP systems are the thermal conductivity of soil, the water content present in the ground will significantly improve the performance of the systems, and further benefits are discussed in this study.</t>
  </si>
  <si>
    <t>10.1007/s12206-016-1146-x</t>
  </si>
  <si>
    <t>The Linear Cutting Machine (LCM) test is known to be a reliable method for designing disc cutters by estimating the penetration performance of a Tunnel Boring Machine (TBM). The LCM test is a laboratory test that uses large-scale rock blocks to estimate the real-scale load on disc cutter; the LCM test offers many advantages, but the costs of preparing the rock samples and performing the laboratory test are too high. In addition, the test results from jointed rock blocks are rarely trustworthy because of the difficulty of performing the LCM test with this type of rock sample. To compensate for the failings of the laboratory test, many studies have been conducted to develop a suitable numerical model. However, few studies have investigated the mechanism of rock fragmentation as a function of the joint spacing and the joint direction. This paper presents the results of a Discrete Element Analysis (DEA) of the cutting power exerted on a TBM disc cutter at various joint dip angles, dip directions and spacings. The results show that the cutting power must be increased when the disc cutter advances in a direction opposite to the joint dip. The numerical analysis also shows that the cutting power of a disc cutter increases as the joint dip angle decreases and the joint spacing decreases. Comparing the relationship between the cutting power of the disc cutter and the distribution pattern of the rock joints with the LCM test results can be used to increase the reliability of TBM performance predictions.</t>
  </si>
  <si>
    <t>European Association of Nuclear Medicine October 20-23, 2021 Virtual</t>
  </si>
  <si>
    <t>European Journal of Nuclear Medicine and Molecular Imaging</t>
  </si>
  <si>
    <t>10.1007/s00259-021-05547-1</t>
  </si>
  <si>
    <t>Energy Consumption Analysis and Design of Energy-Aware WSN Agents in fUML</t>
  </si>
  <si>
    <t>Uncertain Multidisciplinary Design Optimization on Next Generation Subsea Production System by Using Surrogate Model and Interval Method</t>
  </si>
  <si>
    <t>China Ocean Engineering</t>
  </si>
  <si>
    <t>10.1007/s13344-021-0055-7</t>
  </si>
  <si>
    <t>This study is to explore the smart city information (SCI) processing technology based on the Internet of Things (IoT) and cloud computing, promoting the construction of smart cities in the direction of effective sharing and interconnection. In this study, a SCI system is constructed based on the information islands in the smart construction of various fields in smart cities. The smart environment monitoring, smart transportation, and smart epidemic prevention at the application layer of the SCI system are designed separately. A multi-objective optimization algorithm for cloud computing virtual machine resource allocation method (CC-VMRA method) is proposed, and the application of the IoT and cloud computing technology in the smart city information system is further analysed and simulated for the performance verification. The results show that the multi-objective optimization algorithm in the CC-VMRA method can greatly reduce the number of physical servers in the SCI system (less than 20), and the variance is not higher than 0.0024, which can enable the server cluster to achieve better load balancing effects. In addition, the packet loss rate of the Zigbee protocol used by the IoT gateway in the SCI system is far below the 0.1% indicator, and the delay is less than 10 ms. Therefore, the SCI system constructed by this study shows low latency and high utilization rate, which can provide experimental reference for the later construction of smart city.</t>
  </si>
  <si>
    <t>Environmental Science and Pollution Research</t>
  </si>
  <si>
    <t>A Survey of Free Software for the Design, Analysis, Modelling, and Simulation of an Unmanned Aerial Vehicle</t>
  </si>
  <si>
    <t>Archives of Computational Methods in Engineering</t>
  </si>
  <si>
    <t>10.1007/s11831-015-9147-y</t>
  </si>
  <si>
    <t>Virtual Energy Platform for Low Energy Building Operations</t>
  </si>
  <si>
    <t>Progress in Sustainable Energy Technologies Vol II</t>
  </si>
  <si>
    <t>State of the art</t>
  </si>
  <si>
    <t>Lessons learned from the Existing Building Energy Optimization workshop: An initiative for the analysis-driven retrofit decision making</t>
  </si>
  <si>
    <t>KSCE Journal of Civil Engineering</t>
  </si>
  <si>
    <t>10.1007/s12205-016-0727-7</t>
  </si>
  <si>
    <t>RETRACTED ARTICLE: Tuberculosis (TB) detection system using deep neural networks</t>
  </si>
  <si>
    <t>10.1007/s00521-018-3564-4</t>
  </si>
  <si>
    <t>Sport Sciences for Health</t>
  </si>
  <si>
    <t>10.1007/s11332-019-00578-6</t>
  </si>
  <si>
    <t>Intelligent Service Robotics</t>
  </si>
  <si>
    <t>10.1007/s11370-010-0080-5</t>
  </si>
  <si>
    <t>Software Interoperability for Energy Efficient Building Operations Based on the IFC Data Model Standard</t>
  </si>
  <si>
    <t>Micro Process and Quality Control of Plasma Spraying</t>
  </si>
  <si>
    <t>Springer Series in Advanced Manufacturing</t>
  </si>
  <si>
    <t>Using Bayesian network technology to predict the semiconductor manufacturing yield rate in IoT</t>
  </si>
  <si>
    <t>10.1007/s11227-021-03649-z</t>
  </si>
  <si>
    <t>Thirteen years of SysML: a systematic mapping study</t>
  </si>
  <si>
    <t>Software and Systems Modeling</t>
  </si>
  <si>
    <t>10.1007/s10270-019-00735-y</t>
  </si>
  <si>
    <t>Multi-objective optimization of thermochromic glazing based on daylight and energy performance evaluation</t>
  </si>
  <si>
    <t>Building Simulation</t>
  </si>
  <si>
    <t>10.1007/s12273-021-0778-7</t>
  </si>
  <si>
    <t>Analysing the Trade-Off Between Computational Performance and Representation Richness in Ontology-Based Systems</t>
  </si>
  <si>
    <t>Design and Analysis of a Single-Stage Transonic Centrifugal Turbine for organic Rankine cycle (ORC)</t>
  </si>
  <si>
    <t>Journal of Thermal Science</t>
  </si>
  <si>
    <t>10.1007/s11630-019-1079-7</t>
  </si>
  <si>
    <t>Evaluation of Hydrodynamic Performance of Quarter Circular Breakwater Using Soft Computing Techniques</t>
  </si>
  <si>
    <t>Embedded programming and real-time signal processing of swimming strokes</t>
  </si>
  <si>
    <t>Sports Engineering</t>
  </si>
  <si>
    <t>10.1007/s12283-011-0070-7</t>
  </si>
  <si>
    <t>CORAMOD: a checklist-oriented model-based requirements analysis approach</t>
  </si>
  <si>
    <t>Requirements Engineering</t>
  </si>
  <si>
    <t>10.1007/s00766-012-0154-3</t>
  </si>
  <si>
    <t>Quality of Service Support in RPL Networks: Standing State and Future Prospects</t>
  </si>
  <si>
    <t>Journal of Computer Science and Technology</t>
  </si>
  <si>
    <t>10.1007/s11390-022-1027-y</t>
  </si>
  <si>
    <t>Many efforts have been detected to investigate thermochromic (TC) glazing for improving building energy saving, while only a few approaches for daylight performance analysis. In this study, the performance of TC glazing is investigated based on multi-objective optimization for minimizing energy demand while maximizing daylight availability. The effects of five parameters including transition temperature, solar transmittance in clear state, solar transmittance modulation ability, luminous transmittance in clear state, and luminous modulation ability on the building energy consumption and useful daylighting illuminance (UDI300–3000) are examined. Linear Programming Technique for Multi-dimensional Analysis of Preference (LINMAP) is used for the decision-making of Pareto frontier. This research aims to explore the ideal thermochromic glazing by considering the daylight and energy performance of a typical office room, taking the weather condition of Xiamen, China as an example. Although it is impossible to achieve both optimal values of energy consumption and UDI300–3000 simultaneously, the proposed multi-objective optimization method could still provide low energy consumption with sufficient daylight. The non-dominated sorting of Pareto optimal solution (POS) demonstrated that the optimum building energy consumption and UDI300–3000 for single glazed windows are 46.64 kWh/m2 and 70.92%, respectively, while the values for double glazed windows are 44.40 kWh/m2 and 71.88%, respectively. The selected hypothetical TC windows can improve the building energy and daylighting performance simultaneously when compared with traditional clear single and double glazed windows. The presented framework provides a multi-objective optimization method to determine the most suitable TC glazing technologies for designers and architects during the design and retrofit procedure.</t>
  </si>
  <si>
    <t>An experimental study of group-by and aggregation on CPU-GPU processors</t>
  </si>
  <si>
    <t>Journal of Engineering and Applied Science</t>
  </si>
  <si>
    <t>10.1186/s44147-022-00108-1</t>
  </si>
  <si>
    <t>A study on human gait dynamics: modeling and simulations on OpenSim platform</t>
  </si>
  <si>
    <t>Multimedia Tools and Applications</t>
  </si>
  <si>
    <t>10.1007/s11042-016-4033-7</t>
  </si>
  <si>
    <t>Optimal design of computer experiments for surrogate models with dimensionless variables</t>
  </si>
  <si>
    <t>Structural and Multidisciplinary Optimization</t>
  </si>
  <si>
    <t>10.1007/s00158-017-1683-7</t>
  </si>
  <si>
    <t>Measuring the Quality of Life and the Construction of Social Indicators</t>
  </si>
  <si>
    <t>Handbook of Social Indicators and Quality of Life Research</t>
  </si>
  <si>
    <t>Review on solar sail technology</t>
  </si>
  <si>
    <t>Astrodynamics</t>
  </si>
  <si>
    <t>10.1007/s42064-019-0038-x</t>
  </si>
  <si>
    <t>Flying Robots</t>
  </si>
  <si>
    <t>A Rapid and Automatic Optimal Design Method for Six-Stage Axial-Flow Industry Compressor</t>
  </si>
  <si>
    <t>10.1007/s11630-021-1496-2</t>
  </si>
  <si>
    <t>Efficient Batched Synchronization in Dropbox-Like Cloud Storage Services</t>
  </si>
  <si>
    <t>Latest research progress for LBE coolant reactor of China initiative accelerator driven system project</t>
  </si>
  <si>
    <t>Frontiers in Energy</t>
  </si>
  <si>
    <t>10.1007/s11708-021-0760-1</t>
  </si>
  <si>
    <t>Genetic interactions effects for cancer disease identification using computational models: a review</t>
  </si>
  <si>
    <t>Medical &amp; Biological Engineering &amp; Computing</t>
  </si>
  <si>
    <t>10.1007/s11517-021-02343-9</t>
  </si>
  <si>
    <t>Methodology considering surface roughness in UV water disinfection reactors</t>
  </si>
  <si>
    <t>Chemical Papers</t>
  </si>
  <si>
    <t>10.1515/chempap-2016-0020</t>
  </si>
  <si>
    <t>Dynamic Access Control to Semantics-Aware Streamed Process Logs</t>
  </si>
  <si>
    <t>Journal on Data Semantics</t>
  </si>
  <si>
    <t>10.1007/s13740-019-00106-2</t>
  </si>
  <si>
    <t>Mechanistic evaluation of cracking in in-service asphalt pavements</t>
  </si>
  <si>
    <t>Materials and Structures</t>
  </si>
  <si>
    <t>10.1617/s11527-014-0307-6</t>
  </si>
  <si>
    <t>A comprehensive review of bio-inspired robot fish is presented in this paper with an emphasis on locomotion, actuation, and control methods. Different swimming modes of biological fish, such as Body and/or Caudal Fin propulsion (BCF) mode and Media and/or Paired Fin propulsion (MPF) mode, with their classification, are discussed in detail. Furthermore, the mechanics’ principles behind the locomotion, both kinematic and dynamic, are also introduced. In addition to dynamic modeling, motion control is also one of the key problems in the research of robot fish. In this paper, in addition to the classic control methodologies used for rigid robot fish, we also summarize the control approaches for soft robot fish, and the intelligent control based on machine learning that emerged in recent years. With basic ideas bear in mind, we will introduce two typical examples illustrating how to utilize these principles in the robot fish design. In the end, the potential research gaps and future research directions are summarized.</t>
  </si>
  <si>
    <t>Middleware for mobile medical data management with minimal latency</t>
  </si>
  <si>
    <t>This paper reviews solar sail trajectory design and dynamics, attitude control, and structural dynamics. Within the area of orbital dynamics, methods relevant to transfer trajectory design and non-Keplerian orbit generation are discussed. Within the area of attitude control, different control strategies, including utilisation of solar radiation pressure and conventional actuators, are discussed. Finally, the methods of modelling structural dynamics during and after deployment are discussed, before considering possible future trends in developing of solar sailing missions.</t>
  </si>
  <si>
    <t>Information Systems Frontiers</t>
  </si>
  <si>
    <t>10.1007/s10796-016-9729-8</t>
  </si>
  <si>
    <t>Smart city information processing under internet of things and cloud computing</t>
  </si>
  <si>
    <t>10.1007/s11227-021-03972-5</t>
  </si>
  <si>
    <t>A review of cavitation in hydraulic machinery</t>
  </si>
  <si>
    <t>10.1016/S1001-6058(16)60638-8</t>
  </si>
  <si>
    <t>A novel fall detection algorithm for elderly using SHIMMER wearable sensors</t>
  </si>
  <si>
    <t>Health and Technology</t>
  </si>
  <si>
    <t>10.1007/s12553-019-00298-4</t>
  </si>
  <si>
    <t>Comprehensive review on various parameters that influence the performance of parabolic trough collector</t>
  </si>
  <si>
    <t>A promise of mHealth is its capacity to facilitate the consumption of Electronic Health Record (EHR) data using mobile devices, which is central to promoting remote healthcare delivery. Our ongoing project, called SOPHRA, in collaboration with the City Hospital in Saskatoon, Canada, focuses on supporting care providers (e.g., physicians) in the collection/recording of medical data from patients remotely. A major challenge that needs to be addressed is the potential loss of communication between the mobile-clients and the health information system (HIS) during the transfer of the electronic health record (EHR). Overcoming this challenge will foster soft-real time medical data exchanges. However, the issue of communication loss can be as a result of the over-reliance on wireless networks such as Wi-Fi, which can sometimes be unstable. Thus, the goal of this work is to propose a mobile health (mHealth) architectural environment that can exploit the limited available bandwidth during the mobile medical data transfer. A middleware is proposed with the capability of managing different states of the medical data as the physicians updates the EHR. The work details the employment of the Bernoulli model as a means of determining and controlling different updates of the mHealth data for effective propagation.</t>
  </si>
  <si>
    <t>10.1007/s11356-021-13439-y</t>
  </si>
  <si>
    <t>Open Challenges in Smart Cities: Privacy and Security</t>
  </si>
  <si>
    <t>Security and Privacy Applications for Smart City Development</t>
  </si>
  <si>
    <t>Coupled adjoint aerostructural wing optimization using quasi-three-dimensional aerodynamic analysis</t>
  </si>
  <si>
    <t>This paper mainly summarizes the recent progresses for the cavitation study in the hydraulic machinery including turbo-pumps, hydro turbines, etc.. Especially, the newly developed numerical methods for simulating cavitating turbulent flows and the achievements with regard to the complicated flow features revealed by using advanced optical techniques as well as cavitation simulation are introduced so as to make a better understanding of the cavitating flow mechanism for hydraulic machinery. Since cavitation instabilities are also vital issue and rather harmful for the operation safety of hydro machines, we present the 1-D analysis method, which is identified to be very useful for engineering applications regarding the cavitating flows in inducers, turbine draft tubes, etc. Though both cavitation and hydraulic machinery are extensively discussed in literatures, one should be aware that a few problems still remains and are open for solution, such as the comprehensive understanding of cavitating turbulent flows especially inside hydro turbines, the unneglectable discrepancies between the numerical and experimental data, etc.. To further promote the study of cavitation in hydraulic machinery, some advanced topics such as a Density-Based solver suitable for highly compressible cavitating turbulent flows, a virtual cavitation tunnel, etc. are addressed for the future works.</t>
  </si>
  <si>
    <t>10.1007/s00158-016-1447-9</t>
  </si>
  <si>
    <t>The development of IP-based Internet of Things (IoT) networks would facilitate more effective end-to-end IP network architectures, but it remains a challenge. Network routing needs to be effectively addressed in the IoT environments of scarce computational and energy resources. Accordingly, the Internet Engineering Task Force (IETF) has specified the IPv6 Routing Protocol for Low Power and Lossy Network (RPL) to provide a bespoke IPv6-based routing framework for IoT networks. However, RPL comes with no Quality of Service (QoS) support which is an essential requirement for many IoT applications. The network research community has introduced a number of research proposals enhancing RPL with different QoS solutions. This paper presents a review of these proposed solutions and aims to establish a firm understanding of recent QoS developments for RPL and possible areas for future IoT routing research. The focus is on comprehending the protocol and networking properties that can affect QoS performance in RPL networks. Consideration is also given to different objective functions developed for addressing varying QoS aspects such as throughput, delay, and packet loss. RPL is also extended in a number of QoS solutions following different approaches at the MAC, network, and application layers. However, there is still a need for further developments to address effective QoS support, particularly for dynamic RPL networks.</t>
  </si>
  <si>
    <t>Coda and Critical Discussion: A Systemic Analysis of an Intelligent OLE</t>
  </si>
  <si>
    <t>Influences of knowledge spillover and utilization on the NIS performance: a multi-stage efficiency perspective</t>
  </si>
  <si>
    <t>Quality &amp; Quantity</t>
  </si>
  <si>
    <t>10.1007/s11135-014-0083-y</t>
  </si>
  <si>
    <t>Remote sensing contributing to assess earthquake risk: from a literature review towards a roadmap</t>
  </si>
  <si>
    <t>Natural Hazards</t>
  </si>
  <si>
    <t>10.1007/s11069-012-0322-2</t>
  </si>
  <si>
    <t>The objective of this paper is to analyze free software for the design, analysis, modelling, and simulation of an unmanned aerial vehicle (UAV). Free software is the best choice when the reduction of production costs is necessary; nevertheless, the quality of free software may vary. This paper probably does not include all of the free software, but tries to describe or mention at least the most interesting programs. The first part of this paper summarizes the essential knowledge about UAVs, including the fundamentals of flight mechanics and aerodynamics, and the structure of a UAV system. The second section generally explains the modelling and simulation of a UAV. In the main section, more than 50 free programs for the design, analysis, modelling, and simulation of a UAV are described. Although the selection of the free software has been focused on small subsonic UAVs, the software can also be used for other categories of aircraft in some cases; e.g. for MAVs and large gliders. The applications with an historical importance are also included. Finally, the results of the analysis are evaluated and discussed—a block diagram of the free software is presented, possible connections between the programs are outlined, and future improvements of the free software are suggested.</t>
  </si>
  <si>
    <t>The time of concentration application in studies around the world: a review</t>
  </si>
  <si>
    <t>10.1007/s11356-021-16790-2</t>
  </si>
  <si>
    <t>Aerodynamic Design Technologies for Turbines</t>
  </si>
  <si>
    <t>Axial Turbine Aerodynamics for Aero-engines</t>
  </si>
  <si>
    <t>A Review of Locomotion, Control, and Implementation of Robot Fish</t>
  </si>
  <si>
    <t>Journal of Intelligent &amp; Robotic Systems</t>
  </si>
  <si>
    <t>10.1007/s10846-022-01726-w</t>
  </si>
  <si>
    <t>Study the Effect of Divergent Section on Solar Chimney Performance</t>
  </si>
  <si>
    <t>Scientific Reports</t>
  </si>
  <si>
    <t>Whole-process performance management of government procurement: a quantitative analysis of 58 policy texts</t>
  </si>
  <si>
    <t>SN Business &amp; Economics</t>
  </si>
  <si>
    <t>10.1007/s43546-021-00168-0</t>
  </si>
  <si>
    <t>Journal of Electrical Engineering &amp; Technology</t>
  </si>
  <si>
    <t>Numerical analysis of the Nanjing Dashengguan Yangtze River Bridge subjected to non-uniform seismic excitations</t>
  </si>
  <si>
    <t>10.1007/s12206-011-0230-5</t>
  </si>
  <si>
    <t>Numerical study to estimate the cutting power on a disc cutter in jointed rock mass</t>
  </si>
  <si>
    <t>10.1007/s12205-015-2265-0</t>
  </si>
  <si>
    <t>Multi-attribute Utility Model Based on the Maximum Entropy Principle Applied in the Evaluation of the Financial Performance of Brazilian Banks</t>
  </si>
  <si>
    <t>Decision Models in Engineering and Management</t>
  </si>
  <si>
    <t>Performance and Cost Trade-Off in IaaS Environments: A Scientific Workflow Simulation Environment Case Study</t>
  </si>
  <si>
    <t>International Journal on Interactive Design and Manufacturing (IJIDeM)</t>
  </si>
  <si>
    <t>Journal of Global Optimization</t>
  </si>
  <si>
    <t>10.1007/s10898-012-0011-4</t>
  </si>
  <si>
    <t>Effects of an attached functionally graded layer on the electromechanical behaviors of piezoelectric semiconductor fibers</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</si>
  <si>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</si>
  <si>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Applied Mathematics and Mechanics</t>
  </si>
  <si>
    <t>10.1007/s10483-022-2900-5</t>
  </si>
  <si>
    <t>Coating Quality Control Based on State Optimization of Droplets and Splats</t>
  </si>
  <si>
    <t>A comprehensive review on experimental, numerical and optimization analysis of EAHE and GSHP systems</t>
  </si>
  <si>
    <t>10.1007/s11356-022-22228-0</t>
  </si>
  <si>
    <t>The International Journal of Advanced Manufacturing Technology</t>
  </si>
  <si>
    <t>In the era of the knowledge economy, one of the key issues is how to integrate and use intelligent information systems to collect data and make valuable predictions to support business decisions. Intelligent information systems use artificial intelligence to enhance system performance, giving the enterprise a competitive advantage. This paper uses ontology technology for user requirements analysis—defining the class, slot, and instance of the ontology—and then designs the system architecture based on that ontology. In accordance with the firm’s requirements, we build a data warehouse system that is integrated with different data sources within the enterprise and that supports a web-based interface in the Internet of Things (IoT). The system also supports the standard queries, reports, summary tables, and datasets required for data mining. The proposed data mining method for manufacturing industries that use Bayesian network incorporates Bayesian theory and graphical models and can predict causal and probabilistic relationships among a set of variables. Our results bring information system functionality closer to satisfying the real-world needs of business. The proposed system can reduce production cycle times, increase the speed and accuracy with which production information is analyzed, and offer predictions that can be used for better business decisions. Data mining technology can improve the efficiency of manufacturing processes by using feedback data to tune the manufacturing parameters and improve the accuracy of yield rate predictions, giving the firm a greater competitive advantage.</t>
  </si>
  <si>
    <t>Development of friction model for offset strip fin with separated viscous and inertial resistances</t>
  </si>
  <si>
    <t>10.1007/s12206-017-1149-2</t>
  </si>
  <si>
    <t>Overview of Heat Transfer Augmentation Techniques for Parabolic Solar Concentrator Receiver</t>
  </si>
  <si>
    <t>Wave-to-Wire Modelling of WECs</t>
  </si>
  <si>
    <t>Handbook of Ocean Wave Energy</t>
  </si>
  <si>
    <t>Hash-based group-by and aggregation is a fundamental operator in database systems. Modern discrete GPUs (graphics processing units) have been considered to accelerate the performance. However, the data transfer through the PCIe (peripheral component interconnect express) bus would reduce gains. On recent architectures, the GPU and the CPU (central processing unit) are built into the same chip which removes the data transmission and offers new performance opportunities. Yet there has been no systematic analysis of grouping and aggregation algorithms on such architectures. In this paper, we study the behaviors of various hash-based grouping and aggregation methods on coupled architectures to provide meaningful guidelines. We conduct an extensive experimental study and analysis on the single CPU, the coupled GPU, and both processors. Six dimensions are considered in analyzing the hashing methods carefully: (1) hashing scheme, (2) hash function, (3) data size, (4) group cardinality, (5) load factor, and (6) data distribution. Two additional dimensions are also explored: (7) shared and independent hash tables and (8) running on single processors and co-processing. We hope the results in our study could help database researchers to choose the right direction in terms of algorithm design and system optimization.</t>
  </si>
  <si>
    <t>Requirement development activities such as requirements analysis and modelling are well defined in software engineering. A model-based requirement development may result in significant improvements in engineering design. In current product development activities in this domain, not all requirements are consciously identified and modelled. This paper presents the checklist-oriented requirements analysis modelling (CORAMOD) approach. CORAMOD is a methodology for the use of model-based systems engineering for requirements analysis of complex products utilizing checklists, the simplest kind of rational design method. The model-based focuses the requirements analysis process on requirement modelling, whereas the checklist encourages a conscious and systematic approach to identify requirements. We illustrate the utility of CORAMOD artefacts by a comprehensive case study example and modelling with system modelling language (SysML). We suggest that visual accessibility of the SysML views facilitates the full participation of all stakeholders and enables the necessary dialogue and negotiation. The approach promotes tracing derived requirements to the customer need statement and enhances validation by model execution and simulation.</t>
  </si>
  <si>
    <t>The research outlined in this paper was conducted to allow real-time processing, transmission and presentation of data to swimming coaches and subsequently their swimmers in a training environment, focused on providing information relevant to strokes in free swimming. This was achieved using a wearable wireless sensor and embedded programming techniques, using accelerations involved in the swimming stroke to provide relevant features for coaches. Current methods used do not offer real-time response to coaches, which results in the lack of real-time feedback and significantly increased post-session analysis time. Filtering and signal processing algorithms are described here, which allow real-time data analysis to be embedded within a wireless sensor node. The system significantly reduces the time for processing acquired data and has delivered a novel monitoring device suitable for operation within the harsh environment of the pool.</t>
  </si>
  <si>
    <t>This paper presents a method for constructing optimal design of experiments (DoE) intended for building surrogate models using dimensionless (or non-dimensional) variables. In order to increase the fidelity of the model obtained by regression, the DoE needs to optimally cover the dimensionless space. However, in order to generate the data for the regression, one still needs a DoE for the physical variables, in order to carry out the simulations. Thus, there exist two spaces, each one needing a DoE. Since the dimensionless space is always smaller than the physical one, the challenge for building a DoE is that the relation between the two spaces is not bijective. Moreover, each space usually has its own domain constraints, which renders them not-surjective. This means that it is impossible to design the DoE in one space and then automatically generate the corresponding DoE in the other space while satisfying the constraints from both spaces. The solution proposed in the paper transforms the computation of the DoE into an optimization problem formulated in terms of a space-filling criterion (maximizing the minimum distance between neighboring points). An approach is proposed for efficiently solving this optimization problem in a two steps procedure. The method is particularly well suited for building surrogates in terms of dimensionless variables spanning several orders of magnitude (e.g. power laws). The paper also proposes some variations of the method; one when more control is needed on the number of levels on each non-dimensional variable and another one when a good distribution of the DoE is desired in the logarithmic scale. The DoE construction method is illustrated on three case studies. A purely numerical case illustrates each step of the method and two other, mechanical and thermal, case studies illustrate the results in different configurations and different practical aspects.</t>
  </si>
  <si>
    <t>With the increasing challenges facing planetary exploration missions and the resultant increase in the performance requirements for planetary rovers, terramechanics (wheel–soil interaction mechanics) is playing an important role in the development of these rovers. As an extension of the conventional terramechanics theory for terrestrial vehicles, the terramechanics theory for planetary rovers, which is becoming a new research hotspot, is unique and puts forward many new challenging problems. This paper first discusses the significance of the study of wheel–soil interaction mechanics of planetary rovers and summarizes the differences between planetary rovers and terrestrial vehicles and the problems arising thereof. The application of terramechanics to the development of planetary rovers can be divided into two phases (the R&amp;D phase and exploration phase for rovers) corresponding to the high-fidelity and simplified terramechanics models. This paper also describes the current research status by providing an introduction to classical terramechanics and the experimental, theoretical, and numerical researches on terramechanics for planetary rovers. The application status of the terramechanics for planetary rovers is analyzed from the aspects of rover design, performance evaluation, planetary soil parameter identification, dynamics simulation, mobility control, and path planning. Finally, the key issues for future research are discussed. The current planetary rovers are actually advanced wheeled mobile robots (WMRs), developed employing cutting-edge technologies from different fields. The terramechanics for planetary rovers is expected to present new challenges and applications for WMRs, making it possible to develop WMRs using the concepts of mechanics and dynamics.</t>
  </si>
  <si>
    <t>This study presents a novel and comprehensive model development technique to predict the riverbank erosion rate for a natural channel using a Nonlinear AutoRegressive model with eXogenous inputs and QR factorization parameter estimation, known as the NARX-QR Factorization model. The model was developed based on a 12-month extensive field measurement at Sg. Bernam. This study established the governing factors and derived dependent and independent variables for riverbank erosion using dimensional analysis, based on the Buckingham PI theorem. Two functional relationships were derived from dimensional analysis incorporating the factors governing riverbank erosion. The functional relationships include parameters of hydraulic characteristics of the channel, riverbank geometry and soil characteristics. Parameter estimation was conducted using a linear least squares technique to quantify riverbank erosion rates. The significant independent variables and fourteen models with several numbers of hidden layers were set as the input parameters to the NARX-QR Factorization model. The model performance analysis shows that Models 1 and 9, developed based on the proposed NARX-QR Factorization model, have the highest R2 at 75% and 91%, respectively. Model 1 performed the best with accuracies for training and testing datasets of 75% and 73%, respectively. Additionally, the scatter plot of Model 1 is uniformly distributed along the line of perfect agreement. Therefore, it is concluded that the NARX-QR Factorization model developed in this study performed well in estimating the riverbank erosion rate, particularly for a natural river similar to Sg. Bernam.</t>
  </si>
  <si>
    <t>Shaking table model tests of concrete containment vessel (CCV) for CPR1000 nuclear power plant</t>
  </si>
  <si>
    <t>Stochastic modeling of dynamic right-sizing for energy-efficiency in cloud data centers</t>
  </si>
  <si>
    <t>Energetic and exergetic performance analysis of the vapor compression refrigeration system using adaptive neuro-fuzzy inference system approach</t>
  </si>
  <si>
    <t>An applicability of ANFIS approach for depicting energetic performance of VCRS using mixture of R134a and LPG as refrigerant</t>
  </si>
  <si>
    <t>Enabling machine learning-ready HPC ensembles with Merlin</t>
  </si>
  <si>
    <t>Fluid flow and thermal performance of the pulsating heat pipes facilitated with solar collectors: Experiments, theories and GABPNN machine learning</t>
  </si>
  <si>
    <t>Utilizing Buckingham Pi theorem and multiple regression analysis in scaling up direct contact membrane distillation processes</t>
  </si>
  <si>
    <t>Development of a digital twin of a tablet that mimics a real solid dosage form: Differences in the dissolution profile in conventional mini-USP II and a biorelevant colon model</t>
  </si>
  <si>
    <t>An insight into the similarity approach to predict the maximum efficiency of organic Rankine cycle turbines</t>
  </si>
  <si>
    <t>An efficient correlation for heat and mass transfer effectiveness in tumble-type clothes dryer drums</t>
  </si>
  <si>
    <t>Empirical correlations for heat transfer in a silver nanofluid-based direct absorption solar collector</t>
  </si>
  <si>
    <t>Energy improvement and performance prediction of desiccant coated dehumidifiers based on dimensional and scaling analysis</t>
  </si>
  <si>
    <t>Sustainable aircraft design — A review on optimization methods for electric propulsion with derived optimal number of propulsors</t>
  </si>
  <si>
    <t>Thermoelectric transformation and illuminative performance analysis of a novel LED-MGVC device</t>
  </si>
  <si>
    <t>Designing an effective P2P system for a VoD system to exploit the multicast communication</t>
  </si>
  <si>
    <t>Modeling for prediction of design parameters for micro-hydro Archimedean screw turbines</t>
  </si>
  <si>
    <t>Performance analysis and optimization of a box-hull wave energy converter concept</t>
  </si>
  <si>
    <t>Hybrid ANFIS–PSO approach for predicting optimum parameters of a protective spur dike</t>
  </si>
  <si>
    <t>Ontology and context based recommendation system using Neuro-Fuzzy Classification</t>
  </si>
  <si>
    <t>A technical survey on Terramechanics models for tire–terrain interaction used in modeling and simulation of wheeled vehicles</t>
  </si>
  <si>
    <t>Evolutionary fuzzy SVR modeling of weld residual stress</t>
  </si>
  <si>
    <t>Visual analysis of action using machine learning and distributed expectation-maximization algorithm</t>
  </si>
  <si>
    <t>Methodology for automatic detection of lung nodules in computerized tomography images</t>
  </si>
  <si>
    <t>A novel criterion based on slip ratio to assess the flow behavior of W/O emulsions within centrifugal pumps</t>
  </si>
  <si>
    <t>Numrich, Robert W.; Heroux, Michael A.</t>
  </si>
  <si>
    <t>Liu, Jun; Kong, Jianwei; Kong, Xianjing</t>
  </si>
  <si>
    <t>Shen, Dian; Luo, Junzhou; Dong, Fang; Fei, Xiang; Wang, Wei; Jin, Guoqing; Li, Weidong</t>
  </si>
  <si>
    <t>Gill, Jatinder; Singh, Jagdev</t>
  </si>
  <si>
    <t>Peterson, J. Luc; Bay, Ben; Koning, Joe; Robinson, Peter; Semler, Jessica; White, Jeremy; Anirudh, Rushil; Athey, Kevin; Bremer, Peer-Timo; Di Natale, Francesco; Fox, David; Gaffney, Jim A.; Jacobs, Sam A.; Kailkhura, Bhavya; Kustowski, Bogdan; Langer, Steven; Spears, Brian; Thiagarajan, Jayaraman; Van Essen, Brian; Yeom, Jae-Seung</t>
  </si>
  <si>
    <t>Wang, Rong-Tsu; Wang, Jung-Chang</t>
  </si>
  <si>
    <t>Wang, Wei-Wei; Zhang, Hong-Liang; Song, Yong-Juan; Song, Jia-Wei; Shi, Dun-Ke; Zhao, Fu-Yun; Cai, Yang</t>
  </si>
  <si>
    <t>Khafajah, Heba; Hassan Ali, Mohamed I.; Thomas, Navya; Janajreh, Isam; Arafat, Hassan A.</t>
  </si>
  <si>
    <t>Schütt, M.; Stamatopoulos, K.; Batchelor, H.K.; Simmons, M.J.H.; Alexiadis, A.</t>
  </si>
  <si>
    <t>Masi, Massimo; Da Lio, Luca; Lazzaretto, Andrea</t>
  </si>
  <si>
    <t>Gluesenkamp, Kyle R.; Boudreaux, Philip; Patel, Viral K.; Goodman, Dakota; Shen, Bo</t>
  </si>
  <si>
    <t>Karami, M.; Bozorgi, M.; Delfani, S.; Akhavan-Behabadi, M.A.</t>
  </si>
  <si>
    <t>Chen, W.D.; Vivekh, P.; Liu, M.Z.; Kumja, M.; Chua, K.J.</t>
  </si>
  <si>
    <t>Pelz, Peter F.; Leise, Philipp; Meck, Marvin</t>
  </si>
  <si>
    <t>Wang, Jung-Chang</t>
  </si>
  <si>
    <t>Yang, X.Y.; Cores, F.; Hernández, P.; Ripoll, A.; Luque, E.</t>
  </si>
  <si>
    <t>Shahverdi, Kazem</t>
  </si>
  <si>
    <t>Bódai, Tamás; Srinil, Narakorn</t>
  </si>
  <si>
    <t>Basser, Hossein; Karami, Hojat; Shamshirband, Shahaboddin; Akib, Shatirah; Amirmojahedi, Mohsen; Ahmad, Rodina; Jahangirzadeh, Afshin; Javidnia, Hossein</t>
  </si>
  <si>
    <t>Razia Sulthana, A.; Ramasamy, Subburaj</t>
  </si>
  <si>
    <t>Taheri, Sh.; Sandu, C.; Taheri, S.; Pinto, E.; Gorsich, D.</t>
  </si>
  <si>
    <t>Bulgarelli, Natan Augusto Vieira; Biazussi, Jorge Luiz; Monte Verde, William; Perles, Carlos Eduardo; de Castro, Marcelo Souza; Bannwart, Antonio Carlos</t>
  </si>
  <si>
    <t>Edwin Raja Dhas, J.; Kumanan, Somasundaram</t>
  </si>
  <si>
    <t>Mao, Feng; Han, ShiHao</t>
  </si>
  <si>
    <t>LUO, Xian-wu; JI, Bin; TSUJIMOTO, Yoshinobu</t>
  </si>
  <si>
    <t>da Silva Sousa, João Rodrigo Ferreira; Silva, Aristófanes Corrěa; de Paiva, Anselmo Cardoso; Nunes, Rodolfo Acatauassú</t>
  </si>
  <si>
    <t>Containment vessel of nuclear power plant is the last barrier to prevent the leakage of radioactive materials, so the seismic performance is of high importance. In order to investigate the seismic performance of the CPR1000 prestressed concrete containment vessel (PCCV) structure under design and beyond-design basis earthquake, a 1/20 scale concrete containment vessel (CCV) model was designed and constructed on the shaking table based on the similitude requirements from the Buckingham's π-Theorem. The horizontal and vertical earthquake waves generated from RG1.60 spectrum were selected as the input earthquake waves in the shaking table model test, and the earthquake waves with peak ground acceleration (PGA) 0.2g, 0.3g, 0.4g, 0.5g, 0.7g, 0.9g and 1.2g respectively were loaded step by step until the macroscopic failure occurred in the model containment vessel. The dynamic responses of the model CCV were obtained from the acceleration sensors and resistance strain gages. The model test results showed that the maximum acceleration magnification factor of the model CCV was 1.974 with PGA of 0.2g, which indicated that the CCV had a good seismic-resistant behavior under 0.2g earthquake. Until the second last test case with the horizontal peak earthquake motion of 0.9g (corresponding to 0.9g for the prototype structure), the fundamental frequency of the model CCV only decreased slightly and the maximum tensile strains at all monitoring points were much smaller than the ultimate tensile strain. It meant that the model CCV as a whole was within the elastic range. In the last case (1.2g), the model fundamental frequency decreased steeply. At the same time, the maximum tensile strains at the heel of the cylinder wall far exceeded the ultimate tensile strain and a circle of cracks occurred at the cylinder wall heel. It meant rupture failure had occurred and the cylinder wall heel of the CCV was the weak region. It agreed well with the numerical analysis results and the visual inspection and camera record at the test site. Although a circle of concrete cracks appeared around the cylinder wall foot, the model CCV still remained integral as a whole and neither cracking parts dislocation nor collapse occurred. Because the test model was a plain concrete structure and the model test results should be conservative estimation, it can be concluded that the prototype PCCV for CPR1000 nuclear power plant had sufficient seismic safety margin.</t>
  </si>
  <si>
    <t>Large data centers are usually built to support increasing computational and data storage demand of growing global business and industry, which consume an enormous amount of energy, at a huge cost to both business and the environment. However, much of that energy is wasted to maintain excess service capacity during periods of low load. In this paper, we investigate the problem of “right-sizing” data center for energy-efficiency through virtualization which allows consolidation of workloads into smaller number of servers while dynamically powering off the idle ones. In view of the dynamic nature of data centers, we propose a stochastic model based on Queueing theory to capture the main characteristics. Solving this model, we notice that there exists a tradeoff between the energy consumption and performance. We hereby develop a BFGS based algorithm to optimize the tradeoff by searching for the optimal system parameter values for the data center operators to “right-size” the data centers. We implement our Stochastic Right-sizing Model (SRM) and deploy it in the real-world cloud data center. Experiments with two real-world workload traces show that SRM can significantly reduce the energy consumption while maintaining high performance.</t>
  </si>
  <si>
    <t>According to Kyoto protocol R134a must be phased out soon due to its high global warming potential of 1430. In this work, an experimental investigation has made with R134a and LPG refrigerant mixture (composed of R134a and LPG in the ratio of 28:72 by weight) as an alternative to R134a in a vapor compression refrigeration system. Performance tests performed under different evaporator and condenser temperatures with controlled ambient conditions. The results showed that the R134a and LPG refrigerant mixture has higher values of coefficient of performance and exergy efficiency as compared to R134a by about 10.57–15.28% and 6.60–11.40%, respectively. The applicability of adaptive neuro-fuzzy inference system (ANFIS) to predict COP, Total Exergy destruction and Exergy efficiency of R134a/LPG system also investigated. For this aim, some of the experimental data utilized for training, an ANFIS model for the system developed. The ANFIS predictions agreed well with the experimental results with an absolute fraction of variance (R2) in the range of 0.994–0.998, a root mean square error (RMSE) in the range of 0.0018–0.1907 and mean absolute percentage error (MAPE) in the range of 0.103–0.897%. The results suggest that the ANFIS approach can be used successfully for predicting the performance of vapor compression refrigeration systems.</t>
  </si>
  <si>
    <t>In this work, an energy analysis of vapor compression refrigeration system (VCRS) using R134a and LPG refrigerant mixture as an alternative to R134a is carried out. Performance tests were performed with different evaporator and condenser temperatures under controlled ambient conditions. The results showed that R134a and LPG refrigerant mixture has higher coefficient of performance than R134a by about 15.1–17.82%. Mathematical and ANFIS models validated by experimental data were developed to predict the energetic performance of VCRS. It was found that mathematical and ANFIS models predictions agreed well with experimental results and brought out the absolute fraction of variance in range of (0.9253–0.9567 and 0.9953–0.9961), root mean square error in range of (0.0167–7.688 and 0.0018–1.025) and mean absolute percentage error in range of (0.606–2.243 % and 0.103–0.362 %) respectively. The results suggest that ANFIS models show better statistical prediction efficiency.</t>
  </si>
  <si>
    <t>With the growing complexity of computational and experimental facilities, many scientific researchers are turning to machine learning (ML) techniques to analyze large scale ensemble data. With complexities such as multi-component workflows, heterogeneous machine architectures, parallel file systems, and batch scheduling, care must be taken to facilitate this analysis in a high performance computing (HPC) environment. In this paper, we present Merlin, a workflow framework to enable large ML-friendly ensembles of scientific HPC simulations. By augmenting traditional HPC with distributed compute technologies, Merlin aims to lower the barrier for scientific subject matter experts to incorporate ML into their analysis. As a producer–consumer workflow model, Merlin enables multi-machine, cross-batch job, dynamically allocated yet persistent workflows capable of utilizing surge-compute resources. Key features of Merlin are a flexible HPC-centric interface, low per-task overhead, multi-tiered fault recovery, and a hierarchical sampling algorithm that allows for O(N) task execution and O(NlnN) task queuing to ensembles of millions of tasks. In addition to Merlin’s design, we test the algorithm’s performance in an HPC center and demonstrate the ability to enqueue 40 million simulations in 100 s, with a 30 millisecond per-task overhead that is independent of ensemble size. Finally, we describe some example applications that Merlin has enabled on leadership-class HPC resources, such as the ML-augmented optimization of nuclear fusion experiments and the calibration of infectious disease models to study the progression of and possible mitigation strategies for COVID-19.</t>
  </si>
  <si>
    <t>Solar energy could be effectively exploited and transferred by the solar collectors, where thermal transport efficiency was inhibited by actual operations and applications. In present research, solar collector combined with pulsating heat pipes (PHP) was proposed to enhance solar energy conversion and management. Fluid temperature oscillation, flow patterns and motions, heat transfer mechanisms inside present facility were comprehensively investigated, which aimed to suitably determine the flow stability of working fluid for PHPs, such that the whole system performance could be fully optimized. Firstly, an experimental investigation was comprehensively conducted to obtain the flow motions, temperature oscillation, and thermal resistance of PHPs, under multi-parameter conditions. Our results indicated that heat transfer performance was promoted with an increase in thermally driven force, accompanied by which low frequency with “small amplitude” transformed to high frequency with “bulk amplitude”. In addition, filling ratio of 25% even a minimum input power generally results in dry-out phenomena, superior liquid-vapor patterns and heat transfer performance were observed as filling ratio was 60%. Following that, theoretical modeling results confirmed that, within the critical pipe diameter, larger saturated vapor pressure and lower surface tension were significantly beneficial for the application of PHPs-solar collector. Considering dimensionless parameters and experimental data, Genetic Algorithm-Back Propagation Neural Network (GA-BPNN) was further built to predict the heat transfer performance of PHPs, which was in great agreement with the experimental data. Optimal filling ratios were further confirmed depending on the best Ku performance, within average deviation being no more than 10%. Present theoretical and experimental researches could facilitate the optimization and application of PHP- solar collectors, greatly exploiting solar energy for buildings.</t>
  </si>
  <si>
    <t>Predicting the performance of a full-scale direct contact membrane distillation (DCMD) module based on experimental lab-scale results is rather difficult, since the DCMD performance is dependent on many different process parameters. Hence, there is a need for a methodology to perform DCMD system up-scaling based on lab-scale experimental results. In this study, we devise an approach to scale up the performance of DCMD systems by using the Buckingham's Pi theorem to group the DCMD process parameters into eight relevant dimensionless groups. Experimental data obtained from literature at various module dimensions were used to evaluate the developed dimensionless groups. An experimentally validated computational fluid dynamics (CFD) model was also developed and used to extend the coverage of operational parameters beyond the available experimental data. Then, two empirical dimensionless correlations were created, using multiple nonlinear regression analysis, and then validated, to enable the prediction of flux and pressure drop in DCMD systems at any scale.</t>
  </si>
  <si>
    <t>The performance of colon-targeted solid dosage forms is commonly assessed using standardised pharmacopeial dissolution apparatuses like the USP II or the miniaturised replica, the mini-USP II. However, these fail to replicate the hydrodynamics and shear stresses in the colonic environment, which is crucial for the tablet's drug release process. In this work, computer simulations are used to create a digital twin of a dissolution apparatus and to develop a method to create a digital twin of a tablet that behaves realistically. These models are used to investigate the drug release profiles and shear rates acting on a tablet at different paddle speeds in the mini-USP II and biorelevant colon models to understand how the mini-USP II can be operated to achieve more realistic (i.e., in vivo) hydrodynamic conditions. The behaviour of the tablet and the motility patterns used in the simulations are derived from experimental and in vivo data, respectively, to obtain profound insights into the tablet's disintegration/drug release processes. We recommend an “on-off” operating mode in the mini-USP II to generate shear rate peaks, which would better reflect the in vivo conditions of the human colon instead of constant paddle speed.</t>
  </si>
  <si>
    <t>This work deals with the prediction of the maximum efficiency achievable by turbines for Organic Rankine Cycle (ORC) systems by means of similarity principles. At present, this is a key topic in the preliminary design optimization procedures of these systems. The dimensional analysis applied to the most general ORC turbines scenario helps obtain the functional relationship between maximum turbine efficiency and the most relevant design variables within the general framework of the flow similarity. Aim of the work is to search for the less wide and more convenient set of independent similarity parameters to increase the accuracy of turbine efficiency data in the optimization of ORC systems. Results show that the strict flow similarity does not hold if the same design is used for different working fluids, because real gas compressibility effects cannot be disregarded for most of the fluids usually adopted in ORC systems. On the other hand, a “quasi-similarity” approach can be applied to the design of low volume expansion ratios ORC turbines using the size parameter (SP), volume expansion ratio (VR) and the compressibility factor (Z) as predictors of turbine efficiency. Accordingly, two original correlations for the SP-VR-Z map of optimized axial turbine stages are suggested.</t>
  </si>
  <si>
    <t>A heat and mass transfer effectiveness definition relevant to clothes dryers is developed in this work. A correlation is presented for determining the effectiveness of heat and mass transfer in a horizontal-axis, tumble-type clothes dryer drum with axial airflow. The correlation is a function of four measurable quantities: air mass flow rate, cloth mass, air mass in the drum, and the fall time experienced by a cloth falling the full height (i.e. diameter) of the drum. The Buckingham Pi Theorem is applied to the problem in order to derive dimensionless terms upon which the effectiveness depends. Empirical data from several dryers are used to derive an empirical correlation as a function of the dimensionless variables. Three cloth types were investigated, and a separate empirical correlation is proposed for each. Together, the drum effectiveness concept and the correlation presented provide a new, more accurate, computationally efficient, and readily implemented framework for modeling and simulating clothes dryers. It is relevant to conventional gas and electric clothes drying appliances, vapor compression heat pump dryers, and thermoelectric heat pump clothes dryers. With appropriate empirical inputs, the framework is extensible to any thermal-evaporative cloth drying systems, including radial-flow horizontal axis tumble drying drums.</t>
  </si>
  <si>
    <t>In this paper, the experimental results of the performance test of a direct absorption solar collector using PVP (polyvinylpyrrolidone) coated silver nanofluid as working fluid were obtained at different operating conditions such as different nanofluid volume fractions, different tilt angles, and different rate of flows. The dimensional analysis technique was utilized to develop an empirical correlation for collector efficiency. Also an empirical correlation is introduced for calculating Nusselt number in terms of Reynolds and Prandtl numbers to specify the amount of heat loss in direct absorption solar collector. Also, a comparison between experimental and correlated results was carried out. The results showed that the bias errors were 2.46% and 5.98% for Nusselt number and collector efficiency, respectively. Consequently, Average Standard Deviation (ASD) values reached 7.31% and 18.04% for both, respectively. The correlations presented can be used in calculating Nusselt number and collector efficiency for performance analysis of direct absorption solar collectors. It helps to enhance design calculations of this new type of solar collectors.</t>
  </si>
  <si>
    <t>The evolution of an in-depth understanding and accurate prediction of the dehumidification performance of a solid desiccant coated heat exchanger dehumidifier (SDHED) is severely limited by the unbalanced and unidentified relationships between the product air's thermal conditions and the combined effect of the geometrical parameters under varying operating conditions. Therefore, this paper employs dimensional and scaling analysis (DASA) to unravel the key underlying relationships, leading to improved prediction and optimization of the SDHED’s performance. Firstly, a theoretical model is developed based on the fundamental principles and experimentally validated by employing a SDHED system prototype. Secondly, a DASA is conducted to identify key dimensionless parameters. Two dimensionless variables, δd/δf and β, are found to significantly impact the product air’s properties. Thirdly, new correlations are established to predict the dehumidifier’s outlet humidity and temperature with R2 = 0.965. The results also indicate that the design parameters, H/L and δd/δf, have significant effects on both latent effectiveness and removed latent energy performance of the SDHED. The removed latent energy can be enhanced from 3.9 kW to 8.5 kW when δd/δf and H/L are reduced to 0.1 and 0.04, respectively. In sum, the developed correlations and model present themselves as invaluable tools to facilitate improved design and engineering of SDHED systems.</t>
  </si>
  <si>
    <t>The high environmental impact of conventional aircraft can be considerably reduced using hybrid- or fully-electrical propulsion systems with distributed propulsors. It results in an increased efficiency for a higher number of propulsors, where different effects like boundary layer ingestion, propulsors-structure interactions, or component failures affect the overall design decisions. Hence, a distributed electric propulsion layout leads to an increasing demand for an overall integrated system design process in which optimization methods play an important role. In this review study, first, we give an overview of embedded propulsion, where boundary layer ingestion was heavily examined. Second, we present distributed propulsion and its combination with embedded propulsion. Third, we give a detailed overview of optimization methods in the conceptual and preliminary design stage. We illustrate the benefits of the usage of integrated optimization methods by presenting a study and answer the question of how many propulsors would be optimal for a distributed electric aircraft to maximize the overall efficiency in cruise. The formulated constrained optimization model is derived from the application of first principles, allometric scaling, and dimensional analysis. The solution of the optimization problem yields the design rule that the optimal number of propulsors increases with the aircraft mass to the power of 0.29. As uncertainty is always present in the design process and especially in earlier design stages, we explicitly present approaches to master this uncertainty by presenting an overview of sensitivity analysis methods.</t>
  </si>
  <si>
    <t>Energy-efficient, small and lightweight high-power light-emitting diodes (Hi-LEDs) are combined with a thermo-generation module (TGM) to transform the heat power generated by the LED into electric energy in the present paper. Variation in the dielectric copper and solder layer thickness in the printed circuit board (PCB) composite was found to affect the thermal performance of the Hi-LEDs lighting system, and a vapor chamber (VC) was shown to provide excellent heat dissipation performance when used with Hi-LEDs. Therefore, VC and PCB (VCPCB) were combined for integration with the Hi-LEDs package system (micro-generator with LED vapor chamber-based plate, LED-MGVC) for performance and illumination comparison. This study analyzes the performance of a novel LED-MGVC device using experimental and illumination-analysis methods with VCTM V1.0. Results depict that the LED-MGVC system provides significant improvement for thermal performance and illumination and thermoelectric properties.</t>
  </si>
  <si>
    <t>A distributed video-on-demand system (DVoD) with multiple server-nodes is a cost-effective and fault-tolerant solution for a high scalable enterprise video-on-demand (VoD) system. However, such a server-oriented design is highly vulnerable to workload variations given that the service capacity is limited. Peer-to-Peer (P2P) has been introduced as an architectural solution with self-growing capacity. However, the characteristics of a pure P2P system such as the peer transient nature and high network overhead make this kind of architecture unsuitable for a fully interactive VoD system. In this paper, we propose a new efficient integrated VoD architecture, called DPn2Pm, that combines DVoD with a P2P system and multicast communications. The DVoD’s server-nodes provide a minimum required quality of service (QoS) and the P2P system is able to offer the mechanism to increase the system service capacity according to client demands. Multicast communication, wherever it is possible, is effectively exploited by our P2P system. In our design, each client is able to send video information to a set of m clients using only one multicast channel. Furthermore, the collaboration mechanism is able to coordinate a set of clients to create one collaboration group to replace the server, providing an extensive, efficient and low network-overhead collaboration mechanism from n-peers to m-peers. Regardless of the video the client is watching, our P2P scheme allows every active client to collaborate with the server. The P2P scheme is complemented with recovery mechanisms that are able to replace the failed client before affecting the QoS, offering continuous playback. The proposed approach has been broadly evaluated, firstly using a mathematical model to derive the theoretical performance and secondly using a simulation environment to analyze the system’s dynamic behavior, the VCR interaction impact and the client failures. Comparing DPn2Pm with other DVoD architectures and the most relevant P2P delivery policies, we show that our design is an improvement on previous solutions, providing a higher scalability.</t>
  </si>
  <si>
    <t>The present research aimed to develop a model for predicting the optimal efficiency of Archimedes Screw Turbines (ASTs) under different conditions using Response Surface Methodology (RSM). In RSM, the effect of several independent parameters (inputs) on a response parameter (output) is investigated. Among different geometric and flow parameters of an AST, screw’s outer diameter, blade number, inclination angle, rotation speed, available head, and flow were used to define the efficiency of ASTs. The well-known Buckingham Pi theorem was used to describe non-dimensional relationships between independent and response parameters. A Face-Centered Central Composite Design response surface was used for the investigation. To this end, the desired ranges of dimensionless effective parameters were considered. Computational Fluid Dynamics (CFD) was employed to determine AST’s efficiency in the considered ranges. Finally, a quadratic prediction model was developed, with R2 of 0.9755 and a maximum P-value of 0.0001. The maximum value of the relative error was 4.75%, and the maximum efficiency was obtained as 83.4% while blade number, inclination angle, dimensionless diameter were 4, 27°, and 0.731, respectively. The accuracy of the developed model, which is only valid for small laboratory-scale Archimedes screws due to the utilized laboratory-scale screw data, was reasonable.</t>
  </si>
  <si>
    <t>In this paper we consider a wave energy converter concept which is created by linking a box barge to the mechanical reference by linear dampers. The response to incident wave action in terms of power take-off is expressed explicitly as the solution of a linear frequency-domain model. The simplicity of the model combined with the possibility of the application of theory allows for a nested, and so manageable, procedure of optimization. We find that for any geometry, i.e., a combination of e.g. the breadth-to-length and breadth-to-draught aspect ratios of the box, the optimum is characterized by resonance at least in one of the two degrees of freedom, heave or pitch. Furthermore, optimal geometries turn out to be extremal: either long attenuator-type or wide terminator-type devices perform the best. We find also that optimal wavelengths, which are comparable to the device length in case of attenuators, emerge either due to the progressively increasing buoyancy restoring force characteristic, or due to the finite bandwidth of irregular waves. In particular, diffraction forces are more significant under optimal conditions for performance in irregular seas in comparison with conditions necessary for the most intensive displacement response of the free-floating box barge exposed to regular waves.</t>
  </si>
  <si>
    <t>In this study a new approach was proposed to determine optimum parameters of a protective spur dike to mitigate scouring depth amount around existing main spur dikes. The studied parameters were angle of the protective spur dike relative to the flume wall, its length, and its distance from the main spur dikes, flow intensity, and the diameters of the sediment particles that were explored to find the optimum amounts. In prediction phase, a novel hybrid approach was developed, combining adaptive-network-based fuzzy inference system and particle swarm optimization (ANFIS–PSO) to predict protective spur dike's parameters in order to control scouring around a series of spur dikes. The results indicated that the accuracy of the proposed method is increased significantly compared to other approaches. In addition, the effectiveness of the developed method was confirmed using the available data.</t>
  </si>
  <si>
    <t>Recommendation Systems (RS) identify the products of likely interest to the user. In earlier studies, the recommendation systems classify the reviews of products as positive or negative, verbatim on the features contained in the reviews, without reference to their context. In this paper, we develop an Ontology and Context Based Recommendation System (OCBRS) to assess the context of and determine the opinion of the review. We propose a Neuro-Fuzzy Classification approach using fuzzy rules to extract the context of the review. This approach automatically classifies the reviews under the respective fuzzy rule. Ontology facilitates a hierarchical and systematic methodology to group the context and acts as repository of context. The proposed approach appears to improve the accuracy of the RS.</t>
  </si>
  <si>
    <t>Accurate and efficient tire models for deformable terrain operations are essential for performing vehicle simulations. A direct application of an on-road tire model to simulate tire behavior on a deformable terrain such as soft soil is not possible. The methods for modeling and evaluation of performance of the wheeled vehicles on deformable terrains are influenced by different terrain properties in addition to design and operational parameters. These methods are ranged from very simple empirical methods to highly complex finite element methods. This survey covers the most used models that have been developed for wheeled vehicles in off-road applications. The emphasize is on the models that have made a significant contribution in advancement of techniques for characterizing soil, tire, soil–tire interaction, experimental analysis, model parameterization and model validation. A description is given for selected studies to familiarize the reader with the general terminologies, formulations and modeling approaches. More importantly, two summary tables are given for three groups of models in which the overall features of each model are reviewed and compared to other models. These tables can be used to understand the general picture of the available techniques, and facilitate selecting the appropriate model for future applications.</t>
  </si>
  <si>
    <t>Residual stresses are an integral part of the total stress acting on any component in service. It is important to determine and/or predict the magnitude, nature and direction of the residual stress to estimate the life of important engineering parts, particularly welded components. Researchers have developed many direct measuring techniques for welding residual stress. Intelligent techniques have been developed to predict residual stresses to meet the demands of advanced manufacturing planning. This research paper explores the development of Finite Element model and evolutionary fuzzy support vector regression model for the prediction of residual stress in welding. Residual stress model is developed using Finite Element Simulation. Results from Finite Element Method (FEM) model are used to train and test the developed Fuzzy Support Vector Regression model tuned with Genetic Algorithm (FSVRGA) using K-fold cross validation method. The performance of the developed model is compared with Support Vector Regression model and Fuzzy Support Vector Regression model. The proposed and developed model is superior in terms of computational speed and accuracy. Developed models are validated and reported. The developed model finds scope in setting the initial weld process parameters.</t>
  </si>
  <si>
    <t>We propose the novel visual analysis system Video of Things (VoT) using machine learning and a distributed Expectation-Maximization (EM) method. The VoT-enabled approach is proposed to perform a visual analysis of action in the context of wireless sensor systems. For the technical impact analysis of VoT, we used the EM algorithm. Furthermore, we investigate the notion of merging the clustered grid with the uniform filter in the target tracking of the distributed EM of particle filtering. We grid the network monitoring region with the technical impact analysis of VoT, then clusters the whole sensor nodes, build the system structure using a real scenario of visual actions in the VoT, and thoroughly analyze the system implementation process. Finally, we present investigations to validate the performance of the proposed research approach with a technical impact analysis of VoT. According to the study findings, the proposed VoT-based system can play an essential role in the recognition and technical impact analysis of table tennis activity.</t>
  </si>
  <si>
    <t>Lung cancer is a disease with significant prevalence in several countries around the world. Its difficult treatment and rapid progression make the mortality rates among people affected by this illness to be very high. Aiming to offer a computational alternative for helping in detection of nodules, serving as a second opinion to the specialists, this work proposes a totally automatic methodology based on successive detection refining stages. The automated lung nodules detection scheme consists of six stages: thorax extraction, lung extraction, lung reconstruction, structures extraction, tubular structures elimination, and false positive reduction. In the thorax extraction stage all the artifacts external to the patient’s body are discarded. Lung extraction stage is responsible for the identification of the lung parenchyma. The objective of the lung reconstruction stage is to prevent incorrect elimination of portions belonging to the parenchyma. Structures extraction stage comprises the selection of dense structures from inside the lung parenchyma. The next stage, tubular structures elimination eliminates a great part of the pulmonary trees. Finally, the false positive stage selects only structures with great probability to be nodule. Each of the several stages has very specific objectives in detection of particular cases of lung nodules, ensuring good matching rates even in difficult detection situations. We use 33 exams with diversified diagnosis and slices numbers for validating the methodology. We obtained a false positive per exam rate of 0.42 and false negative rate of 0.15. The total classification sensitivity obtained, measured out of the nodule candidates, was 84.84%. The specificity achieved was 96.15% and the total accuracy of the method was 95.21%.</t>
  </si>
  <si>
    <t>Water-in-oil emulsions usually present complex rheological behavior that depends on the physicochemical properties of both phases, the presence of surfactants, and the flow conditions. Thereby, this paper aims to propose a criterion to characterize the rheological behavior of stable and unstable water-in-oil emulsions within the centrifugal pumps. This criterion is based on the slip ratio between the dispersed and continuous phases. For this, the droplet size distribution was measured at the ESP outlet and the slip ratio was estimated based on the centrifugal buoyancy-induced flow. A new model was proposed to determine the Sauter mean diameter for different systems of the water-in-oil emulsion flows within the ESP based on operational conditions, which presents good agreement with the experimental data (12.6% of error). Finally, a new dimensionless number parameter named Slip Relevance number was proposed to separate the different emulsion flow behaviors within the ESP and its critical value was obtained.</t>
  </si>
  <si>
    <t>10.1016/j.parco.2010.11.003</t>
  </si>
  <si>
    <t>10.1016/j.pnucene.2016.08.016</t>
  </si>
  <si>
    <t>10.1016/j.future.2014.09.012</t>
  </si>
  <si>
    <t>10.1016/j.expthermflusci.2017.06.003</t>
  </si>
  <si>
    <t>10.1016/j.ijrefrig.2017.10.012</t>
  </si>
  <si>
    <t>10.1016/j.future.2022.01.024</t>
  </si>
  <si>
    <t>10.1016/j.renene.2022.10.062</t>
  </si>
  <si>
    <t>10.1016/j.desal.2022.115606</t>
  </si>
  <si>
    <t>10.1016/j.ejps.2022.106310</t>
  </si>
  <si>
    <t>10.1016/j.energy.2020.117278</t>
  </si>
  <si>
    <t>10.1016/j.energy.2019.01.146</t>
  </si>
  <si>
    <t>10.1016/j.seta.2018.05.001</t>
  </si>
  <si>
    <t>10.1016/j.apenergy.2021.117571</t>
  </si>
  <si>
    <t>10.1016/j.paerosci.2021.100714</t>
  </si>
  <si>
    <t>10.1016/j.icheatmasstransfer.2013.08.008</t>
  </si>
  <si>
    <t>10.1016/j.jpdc.2010.07.007</t>
  </si>
  <si>
    <t>10.1016/j.seta.2021.101554</t>
  </si>
  <si>
    <t>10.1016/j.renene.2015.03.040</t>
  </si>
  <si>
    <t>10.1016/j.asoc.2015.02.011</t>
  </si>
  <si>
    <t>10.1016/j.compeleceng.2018.01.034</t>
  </si>
  <si>
    <t>10.1016/j.jterra.2014.08.003</t>
  </si>
  <si>
    <t>10.1016/j.asoc.2016.01.050</t>
  </si>
  <si>
    <t>10.1016/j.compeleceng.2022.108293</t>
  </si>
  <si>
    <t>10.1016/j.cmpb.2009.07.006</t>
  </si>
  <si>
    <t>10.1016/j.ces.2021.117050</t>
  </si>
  <si>
    <t>Fast Defense System Against Attacks in Software Defined Networks</t>
  </si>
  <si>
    <t>AI-Assisted Framework for Green-Routing and Load Balancing in Hybrid Software-Defined Networking: Proposal, Challenges and Future Perspective</t>
  </si>
  <si>
    <t>A Game Theoretical Based System Using Holt-Winters and Genetic Algorithm With Fuzzy Logic for DoS/DDoS Mitigation on SDN Networks</t>
  </si>
  <si>
    <t>Frequency Event Detection and Mitigation in Power Systems: A Systematic Literature Review</t>
  </si>
  <si>
    <t>A Survey on Multiuser SWIPT Communications for 5G+</t>
  </si>
  <si>
    <t>SCSE 2022 Conference Proceedings</t>
  </si>
  <si>
    <t>2018 Index IEEE Journal of Selected Topics in Signal Processing Vol. 12</t>
  </si>
  <si>
    <t>Table of Contents</t>
  </si>
  <si>
    <t>ICCCA 2018 Paper Presentation</t>
  </si>
  <si>
    <t>Table of contents</t>
  </si>
  <si>
    <t>2018 Index IEEE Transactions on Power Delivery Vol. 33</t>
  </si>
  <si>
    <t>Final Program</t>
  </si>
  <si>
    <t>CICED 2022 Conference Proceeding</t>
  </si>
  <si>
    <t>R. Etengu; S. C. Tan; L. C. Kwang; F. M. Abbou; T. C. Chuah</t>
  </si>
  <si>
    <t>U. Farooq; R. B. Bass</t>
  </si>
  <si>
    <t>With the ever-growing data traffic in computer networks nowadays, the management of large-scale networks is a challenge for guaranteeing the quality of the provided services. This is due to the increasingly usage of connected applications, such as Internet of Things and cloud computing environments. Software-defined networking (SDN) is a new paradigm that aims to make this management process easier by centralizing the configuration of all network devices into a single programmable central controller. However, as any centralized service, this architecture is susceptible to security vulnerabilities, such as distributed denial of service (DDoS) and port scan attacks. Thus, security methods are necessary to guarantee the normal operation of SDN's central controller. Furthermore, networks are transporting an increasingly amount of information day by day, which could mean data loss in case of long network unavailability. For this reason, security mechanisms must operate online, with fast-responding countermeasures to mitigate the impact of the detected attacks over the SDN. In this paper, we present a fast SDN defense system against DDoS and port scan attacks, which runs directly into the central controller and uses a game theoretical approach for attack mitigation. For the detection, we compare three different approaches, particle swarm optimization, multi-layer perceptron neural network, and discrete wavelet transform. We test our approach over IP flow data generated over Mininet network emulator, along with floodlight controller, and the presented defense system achieved good outcomes for both detection and mitigation processes.</t>
  </si>
  <si>
    <t>The explosive growth of IP networks, the advent of cloud computing, and the rapid progress in wireless communications witnessed today reflect significant progress towards meeting the explosive data traffic demands. Consequently, communications service providers should deploy efficient and intelligent network solutions to accommodate the huge traffic demands and to ease the capacity pressure on their network infrastructure. Besides, vendors should develop novel energy-efficient networks to reduce network utility costs and carbon footprint. Software-defined networking (SDN) provides a suitable solution, however, complete SDN deployment is currently unachievable in the short-term. An alternative is the hybrid SDN/open shortest path forwarding (OSPF) network, which allows the deployment of SDN in legacy networks. Nevertheless, hybrid SDN/OSPF also faces several technical, economic and organizational challenges. Although many energy-efficiency routing solutions exist in hybrid SDN/OSPF networks, they are generic and reactive by design. Moreover, these solutions are characterized by manual control plane forwarding configurations, leading to sub-optimal performance. The recent promising combination of SDN and artificial intelligence (AI) techniques such as machine learning (ML) and deep learning (DL) in traffic management and control provides tremendous opportunities. In this paper, we first provide a review of the most recent optimization approaches for global energy-efficient routing and load balancing. Next, we investigate a scalable and intelligent integrated architectural framework that leverages deep reinforcement learning (DRL) techniques to realize predictive and rate adaptive energy-efficient routing with guaranteed quality of service (QoS), in transitional hybrid SDN/OSPF networks. Based on the need to minimize global network energy consumption and improve link performance, this paper provides key research insights into the current progress in hybrid SDN/OSPF, ML and AI in the hope of stimulating more research.</t>
  </si>
  <si>
    <t>The ever expanding the usage of cloud computing environments, connected applications and Internet of Things-based devices have progressively increased the amount of data that travels through our networks. Software-defined network (SDN) is an emergent paradigm that aims to support next-generation networks through its flexible and powerful management mechanisms. One of the biggest threats faced by these services nowadays is security management. Attacks based on the denial of service (DoS) are particularly efficient against this paradigm due to its centralized control characteristic. Once this controlling system receives a massive amount of malicious requests, the overall performance of the network operation is impaired. Although several researches propose to address this problem, most of them are reactive approaches, detecting the attacks and warning the network administrators, i.e., after the network is already compromised. This paper presents an autonomic DoS/DDoS defensive approach for SDNs called Game Theory (GT)-Holt-Winters for Digital Signature (HWDS), which unites the anomaly detection and identification provided by an HWDS system with an autonomous decision-making model based on GT. Real collected data and simulated attacks are used by the system to measure its effectiveness and efficiency. Furthermore, we also use a heuristic Fuzzy-GADS method for anomaly detection instead of HWDS, aiming to compare the achieved performance and evaluate the behavior of the presented game theoretical approaches a standalone mitigation module.</t>
  </si>
  <si>
    <t>Modern power systems characterized by complex topologies require accurate situational awareness to maintain an adequate level of reliability. Since they are large and spread over wide geographical areas, it is inevitable that failures will occur. Various generation and transmission disturbances, such as generator and transmission line tripping and load disconnection, give rise to a mismatch between generation and demand, which manifest as frequency events. These events can take the form of negligible frequency deviations or more severe emergencies that can precipitate cascading outages, depending on the severity of the disturbance and efficacy of remedial action schema. The impacts of such events have become more critical recently due to increased levels of renewable penetration and distributed energy resources, which have caused a decline in system synchronous inertia. Due to the repercussions, it is indispensable to arrest such disturbances on time by activating primary frequency control measures. In this paper, a comprehensive systematic literature review is presented on the techniques used for event detection in power systems and the methods of primary frequency response in modern power systems. The paper also highlights the impacts of severe frequency events within power systems.</t>
  </si>
  <si>
    <t>Increasing number of devices connected to the networks, applications and demands of new generation wireless communications cause very high energy consumption resulting in large amount of carbon emission. Thus, energy harvesting solutions together with accomplishing information transmission are required for energy efficient communications of new wireless communications generations such as 5G and 6G (i.e., 5G+). As such, due to the promise of energy efficient green communications, simultaneous wireless information and power transfer (SWIPT) techniques are expected to be indispensable component of 5G+. In this survey, the literature of multiuser SWIPT communications is reviewed for 5G+. Different multiuser SWIPT scenarios including multi-antenna communications, cooperative communications, network coding, communications security, and unmanned aerial vehicle (UAV)-enabled communication systems based on multiuser diversity and multiple access methods are thoroughly reviewed. The experimental studies are also discussed.</t>
  </si>
  <si>
    <t>Presents the introductory welcome message from the conference proceedings. May include the conference officers' congratulations to all involved with the conference event and publication of the proceedings record.</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</si>
  <si>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</si>
  <si>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Presents the table of contents/splash page of the proceedings record.</t>
  </si>
  <si>
    <t>Conference proceedings front matter may contain various advertisements, welcome messages, committee or program information, and other miscellaneous conference information. This may in some cases also include the cover art, table of contents, copyright sta</t>
  </si>
  <si>
    <t>Presents the 2018 subject/author index for this publication.</t>
  </si>
  <si>
    <t>Provides a schedule of conference events and a listing of which papers were presented in each session.</t>
  </si>
  <si>
    <t>Presents the front cover, title page, or splash screen of the proceedings record.</t>
  </si>
  <si>
    <t>10.1109/ACCESS.2018.2878576</t>
  </si>
  <si>
    <t>10.1109/ACCESS.2020.3022291</t>
  </si>
  <si>
    <t>10.1109/ACCESS.2017.2702341</t>
  </si>
  <si>
    <t>10.1109/ACCESS.2022.3180349</t>
  </si>
  <si>
    <t>10.1109/ACCESS.2022.3212774</t>
  </si>
  <si>
    <t>10.1109/SCSE56529.2022.9905133</t>
  </si>
  <si>
    <t>10.1109/JSTSP.2018.2886649</t>
  </si>
  <si>
    <t>10.1109/ISPA-BDCloud-SocialCom-SustainCom51426.2020.00004</t>
  </si>
  <si>
    <t>10.1109/CCAA.2018.8777625</t>
  </si>
  <si>
    <t>10.1109/ICMA.2018.8484738</t>
  </si>
  <si>
    <t>10.1109/TPWRD.2018.2890521</t>
  </si>
  <si>
    <t>10.1109/ICUAS48674.2020.9214039</t>
  </si>
  <si>
    <t>10.1109/CICED56215.2022.9929149</t>
  </si>
  <si>
    <t>10.1145/2749246.2749269</t>
  </si>
  <si>
    <t>10.1145/1785455.1785468</t>
  </si>
  <si>
    <t>10.1145/3290605.3300290</t>
  </si>
  <si>
    <t>10.1145/2724525.2724573</t>
  </si>
  <si>
    <t>10.1145/2447481.2447483</t>
  </si>
  <si>
    <t>10.1145/3022227.3022229</t>
  </si>
  <si>
    <t>Luu, Huong; Winslett, Marianne; Gropp, William; Ross, Robert; Carns, Philip; Harms, Kevin; Prabhat, Mr; Byna, Suren; Yao, Yushu</t>
  </si>
  <si>
    <t>Roux, François; Dietrich, Gilles; Doix, Aude-Clémence</t>
  </si>
  <si>
    <t>Gulay, Emrecan; Lucero, Andrés</t>
  </si>
  <si>
    <t>Bodzay, Andrew; Hendren, Laurie</t>
  </si>
  <si>
    <t>Planthaber, Gary; Stonebraker, Michael; Frew, James</t>
  </si>
  <si>
    <t>Tang, Shanshan; Wan, Dingsheng; Zhu, Yuelong; Yao, Jianguo</t>
  </si>
  <si>
    <t>A multiplatform study of I/O behavior on petascale supercomputers</t>
  </si>
  <si>
    <t>Skier-ski system model and development of a computer simulation aiming to improve skier's performance and ski</t>
  </si>
  <si>
    <t>AspectMatlab++: annotations, types, and aspects for scientists</t>
  </si>
  <si>
    <t>EarthDB: scalable analysis of MODIS data using SciDB</t>
  </si>
  <si>
    <t>Frag-shells cube based on hierarchical dimension encoding tree</t>
  </si>
  <si>
    <t>We examine the I/O behavior of thousands of supercomputing applications "in the wild," by analyzing the Darshan logs of over a million jobs representing a combined total of six years of I/O behavior across three leading high-performance computing platforms. We mined these logs to analyze the I/O behavior of applications across all their runs on a platform; the evolution of an application's I/O behavior across time, and across platforms; and the I/O behavior of a platform's entire workload. Our analysis techniques can help developers and platform owners improve I/O performance and I/O system utilization, by quickly identifying underperforming applications and offering early intervention to save system resources. We summarize our observations regarding how jobs perform I/O and the throughput they attain in practice.</t>
  </si>
  <si>
    <t>Background. Based on personal experience of ski teaching, ski training and ski competing, we have noticed that some gaps exist between classical models describing body-techniques and actual motor acts made by performing athletes. The evolution of new parabolic shaped skis with new mechanical and geometric characteristics increase these differences even more. Generally, scientific research focuses on situations where skiers are separated from their skis. Also, many specialized magazines, handbooks and papers print articles with similar epistemology. In this paper, we describe the development of a three-dimensional analysis to model the skier-skis' system. We subsequently used the model to propose an evaluation template to coaches that includes eight techniques and three observable consequences in order to make objective evaluations of their athletes' body-techniques. Once the system is modeled, we can develop a computer simulation in the form of a jumping jack, respecting degrees of freedom of the model. We can manipulate movement of each body segment or skis' gears' characteristics to detect performance variations. The purpose of this project is to elaborate assumptions to improve performance and propose experimental protocols to coaches to enable them to evaluate performance. This computer simulation also involves board and wheeled sports.Methods. Eleven elite alpine skiers participated. Video cameras were used to observe motor acts in alpine skiers in two tasks: slalom and giant slalom turns. Kinematic data were input into the 3D Vision software. Two on-board balances were used to measure the six components of ski-boots→skis torques. All data sources were then synchronized.Findings. We found correlations between force and torque measurements, the progression of center of pressure and the eight body-techniques. Based on these results, we created a technological model of the skier-ski system. Then, we have made a reading template and a model to coach young alpine skiers in clubs and world cup alpine skiers and, we have obtained results demonstrating the usefulness of our research.Interpretation. These results suggest that it is now possible to create a three-dimensional simulator of an alpine skier. This tool is able to compare competitors' body-techniques to detect the most performing body-techniques. Additionally, it is potentially helpful to consider and evaluate new techniques and ski characteristics.</t>
  </si>
  <si>
    <t>As design thinking shifted away from conventional methods with the rapid adoption of computer-aided design and fabrication technologies, architects have been seeking ways to initiate a comprehensive dialogue between the virtual and the material realms. Current methodologies do not offer embodied workflows that utilize the feedback obtained through a subsequent transition process between physical and digital design. Therefore, narrowing the separation between these two platforms remains as a research problem. This literature review elaborates the divide between physical and digital design, testing and manufacturing techniques in the morphological process of architectural form. We first review the digital transformation in the architectural design discourse. Then, we proceed by introducing a variety of methods that are integrating digital and physical workflows and suggesting an alternative approach. Our work unveils that there is a need for empirical research with a focus on integrated approaches to create intuitively embodied experiences for architectural designers.</t>
  </si>
  <si>
    <t>In this paper we present extensions to an aspect oriented compiler developed for MATLAB. These extensions are intended to support important functionality for scientists, and include pattern matching on annotations, and types of variables, as well as new manners of exposing context. We provide use-cases of these features in the form of several general-use aspects which focus on solving issues that arise from use of dynamically-typed languages. We also detail performance enhancements to the ASPECTMATLAB compiler which result in an order of magnitude in performance gains.</t>
  </si>
  <si>
    <t>Earth scientists are increasingly experiencing difficulties with analyzing rapidly growing volumes of complex data. Those who must perform analysis directly on low-level National Aeronautics and Space Administration (NASA) Moderate Resolution Imaging Spectroradiometer (MODIS) Level 1B calibrated and geolocated data, for example, encounter an arcane, high-volume data set that is burdensome to make use of. Instead, Earth scientists typically opt to use higher-level "canned" products provided by NASA. However, when these higher-level products fail to meet the requirements of a particular project, a cruel dilemma arises: cope with data products that don't exactly meet the project's needs or spend an enormous amount of resources extracting what is needed from the unadulterated low-level data. In this paper, we present EarthDB, a system that eliminates this dilemma by offering the following contributions:1. Enabling painless importing of MODIS Level 1B data into SciDB, a highly scalable science-oriented database platform that abstracts away the complexity of distributed storage and analysis of complex multi-dimensional data,2. Defining a schema that unifies storage and representation of MODIS Level 1B data, regardless of its source file,3. Supporting fast filtering and analysis of MODIS data through the use of an intuitive, high-level query language rather than complex procedural programming and,4. Providing the ability to easily define and reconfigure entire analysis pipelines within the SciDB database, allowing for rapid ad-hoc analysis. To demonstrate this ability, we provide sample benchmarks for the construction of true-color (RGB) and Normalized Difference Vegetative Index (NDVI) images from raw MODIS Level 1B data using relatively simple queries with scalable performance.</t>
  </si>
  <si>
    <t>Pre-computation of data cube can greatly improve the performance of OLAP (online analytical processing). There are a lot of effective pre-computation methods of data cube. But in practice, appropriate pre-computation method for the characteristics of data set plays a crucial role in improving the efficiency of data cube pre-computation.In view of the high-dimensional and hierarchical dimension of water census data characteristic, Frag-Shells cube based on hierarchical dimension encoding tree has been proposed in this paper. In order to improve the retrieval efficiency and reduce redundant information in hierarchical dimensions, we have proposed hierarchical dimension encoding tree (HDE-Tree) to index the hierarchical dimension in Frag-Shells cube. In order to increase the efficiency of cube construction, improved Frag-Shells cube calculation method has been used to compute the tuples of non-hierarchical dimension fragments. In order to compress the size of data cube, the TID-List compression method has been used to decrease the storage cost of inverted index in each tuple. Experiments show that the Frag-Shells cube based on hierarchical dimension encoding tree can reduce the construction time and storage cost of data cube which has high-dimensional and dimensions hierarchical figures.</t>
  </si>
  <si>
    <t>Proceedings of the 24th international symposium on high-performance parallel and distributed computing</t>
  </si>
  <si>
    <t>Proceedings of the 14th international conference on modularity</t>
  </si>
  <si>
    <t>Proceedings of the 1st ACM SIGSPATIAL international workshop on analytics for big geospatial data</t>
  </si>
  <si>
    <t>Desavale, R. G.</t>
  </si>
  <si>
    <t>Zhou, Dengji; Wei, Tingting; Ma, Shixi; Zhang, Huisheng; Huang, Di; Jiang, Ping; Lu, Zhenhua</t>
  </si>
  <si>
    <t>Xie, Hong; Yang, Bo; Zhang, Shuyi; Song, Moru</t>
  </si>
  <si>
    <t>Ighodaro, Osarobo; Akhihiero, David</t>
  </si>
  <si>
    <t>Micheli, D.; Pinamonti, P.; Reini, M.; Taccani, R.</t>
  </si>
  <si>
    <t>Brahim, Taoufik</t>
  </si>
  <si>
    <t>Karami, Rahim; Rasul, M. G.; Khan, M. M. K.</t>
  </si>
  <si>
    <t>Jamadar, I. M.</t>
  </si>
  <si>
    <t>Papadopoulos, Konstantinos I.; Nasoulis, Christos P.; Ntouvelos, Elissaios G.; Gkoutzamanis, Vasilis G.; Kalfas, Anestis I.</t>
  </si>
  <si>
    <t>Hoseinzadeh, Siamak; Garcia, Davide Astiaso</t>
  </si>
  <si>
    <t>Hand, Brian; Kelly, Ger; Cashman, Andrew</t>
  </si>
  <si>
    <t>Challa, Ravi; Yim, Solomon C.</t>
  </si>
  <si>
    <t>Shaw, Avinash; Mahajan, Heramb P.; Hassan, Tasnim</t>
  </si>
  <si>
    <t>Zhu, Bo; Wang, Xiang; Luo, Liang; Zhang, Nong; Liu, Xijian</t>
  </si>
  <si>
    <t>Cobb, Mitchell; Deodhar, Nihar; Vermillion, Christopher</t>
  </si>
  <si>
    <t>Zainith, Prabhakar; Mishra, Niraj Kumar</t>
  </si>
  <si>
    <t>Najib, A.; Orfi, J.; Alansary, H.; Ali, E.</t>
  </si>
  <si>
    <t>Valmiki, M. M.; Karaki, Wafaa; Li, Peiwen; Lew, Jon Van; Chan, Cholik; Stephens, Jake</t>
  </si>
  <si>
    <t>Karimi Sadaghiyani, Omid; pourmahmoud, Nader; Mirzaee, Iraj</t>
  </si>
  <si>
    <t>Tamura, Akinori; Takahashi, Shiro; Nakata, Hiroyuki; Takota, Akio</t>
  </si>
  <si>
    <t>Miller, Veronica B.; Schaefer, Laura A.</t>
  </si>
  <si>
    <t>Ohshima, Hiroyuki; Asayama, Tai; Furukawa, Tomohiro; Tanaka, Masaaki; Uchibori, Akihiro; Takata, Takashi; Seki, Akiyuki; Enuma, Yasuhiro</t>
  </si>
  <si>
    <t>Siddiqui, Ayaz; Naik, Kartik; Cobb, Mitchell; Granlund, Kenneth; Vermillion, Chris</t>
  </si>
  <si>
    <t>Comer, Adam L.; Kipouros, Timoleon; Stewart Cant, R.</t>
  </si>
  <si>
    <t>Zhang, Binbin; Jaiswal, Prakhar; Rai, Rahul; Nelaturi, Saigopal</t>
  </si>
  <si>
    <t>Lopes, Nicholas C.; Chao, Yang; Dasarla, Vinusha; Sullivan, Neil P.; Ricklick, Mark A.; Boetcher, Sandra K. S.</t>
  </si>
  <si>
    <t>Zhang, Fan; Yuan, Shouqi; Fu, Qiang; Pei, Ji; Böhle, Martin; Jiang, Xusong</t>
  </si>
  <si>
    <t>Daqaq, Mohammed F.; Bibo, Amin; Akhtar, Imran; Alhadidi, Ali H.; Panyam, Meghashyam; Caldwell, Benjamin; Noel, Jamie</t>
  </si>
  <si>
    <t>Liu, Z.; Braun, J.; Paniagua, G.</t>
  </si>
  <si>
    <t>Okonkwo, Eric C.; Abid, Muhammad; Ratlamwala, Tahir A. H.</t>
  </si>
  <si>
    <t>Fan, Jizhuang; Xu, Tian; Fang, Qianqian; Zhao, Jie; Zhu, Yanhe</t>
  </si>
  <si>
    <t>Bahaidaraha, Haitham M.; Mohamed, Mohand H.; Mokheimer, Esmail M. A.</t>
  </si>
  <si>
    <t>Goulos, Ioannis; Ali, Fakhre; Tzanidakis, Konstantinos; Pachidis, Vassilios; d'Ippolito, Roberto</t>
  </si>
  <si>
    <t>Sahu, Bijoyraj; Taylor, Curtis R.; Leang, Kam K.</t>
  </si>
  <si>
    <t>Dynamics Characteristics and Diagnosis of a Rotor-Bearing's System Through a Dimensional Analysis Approach: An Experimental Study</t>
  </si>
  <si>
    <t>Study on Meta-Modeling Method for Performance Analysis of Digital Power Plant</t>
  </si>
  <si>
    <t>Performance Analysis and Improvement of a Centrifugal Compressor Based on Partial Similarity Principle</t>
  </si>
  <si>
    <t>Modeling and Performance Analysis of a Small Horizontal Axis Wind Turbine</t>
  </si>
  <si>
    <t>Performance Analysis and Working Fluid Optimization of a Cogenerative Organic Rankine Cycle Plant</t>
  </si>
  <si>
    <t>A Novel Approach for Performance Analysis of Air–Air Wickless Heat Pipe Heat Exchanger</t>
  </si>
  <si>
    <t>An Empirical and Computational Fluid Dynamics Analysis of Combustion Performance of a Diesel Engine Fueled With Tomato Seed Oil Biodiesel</t>
  </si>
  <si>
    <t>Vibration Characteristics Diagnosis and Estimation of Fault Sizes in Rolling Contact Bearings: A Model-Based Approach</t>
  </si>
  <si>
    <t>Power Flow Optimization for a Hybrid-Electric Propulsion System</t>
  </si>
  <si>
    <t>Numerical Analysis of Thermal, Fluid, and Electrical Performance of a Photovoltaic Thermal Collector at New Micro-Channels Geometry</t>
  </si>
  <si>
    <t>Employing Computational Fluid Dynamics to Derive Beddoes–Leishman Model Airfoil Parameters for Vertical Axis Wind Turbines</t>
  </si>
  <si>
    <t>Finite Element and Smoothed Particle Hydrodynamics Modeling of Fluid–Structure Interaction Using a Unified Computational Methodology</t>
  </si>
  <si>
    <t>A Practical Analysis Framework for Assessment of Printed Circuit Heat Exchangers in High-Temperature Nuclear Service</t>
  </si>
  <si>
    <t>Influence of Lubricant Supply on Thermal and Efficient Performances of a Gear Reducer for Electric Vehicles</t>
  </si>
  <si>
    <t>Lab-Scale Experimental Characterization and Dynamic Scaling Assessment for Closed-Loop Crosswind Flight of Airborne Wind Energy Systems</t>
  </si>
  <si>
    <t>Evaluation of Thermal Performance of Conically Shaped Micro Helical Tubes Using Non-Newtonian Nanofluids–A Numerical Study</t>
  </si>
  <si>
    <t>Application of the Buckingham Π Theorem to Model the Multiple Effect Vacuum Membrane Distillation</t>
  </si>
  <si>
    <t>Experimental Investigation of Thermal Storage Processes in a Thermocline Tank</t>
  </si>
  <si>
    <t>Numerical Simulation Coupled With MCRT Method to Study the Effect of Plug Diameter and Its Position on Outlet Temperature and the Efficiency of LS-2 Parabolic Trough Collector</t>
  </si>
  <si>
    <t>A Numerical Analysis Method of Impurity Precipitation on Mesh Wire of Cold Trap in Fast Breeder Reactor</t>
  </si>
  <si>
    <t>Dynamic Modeling of Hydrokinetic Energy Extraction</t>
  </si>
  <si>
    <t>ARKADIA—For the Innovation of Advanced Nuclear Reactor Design</t>
  </si>
  <si>
    <t>Lab-Scale, Closed-Loop Experimental Characterization, Model Refinement, and Validation of a Hydrokinetic Energy-Harvesting Ocean Kite</t>
  </si>
  <si>
    <t>Multi-objective Numerical Investigation of a Generic Airblast Injector Design</t>
  </si>
  <si>
    <t>Additive Manufacturing of Functionally Graded Material Objects: A Review</t>
  </si>
  <si>
    <t>Comprehensive Review of Heat Transfer Correlations of Supercritical CO2 in Straight Tubes Near the Critical Point: A Historical Perspective</t>
  </si>
  <si>
    <t>Cavitation-Induced Unsteady Flow Characteristics in the First Stage of a Centrifugal Charging Pump</t>
  </si>
  <si>
    <t>Micropower Generation Using Cross-Flow Instabilities: A Review of the Literature and Its Implications</t>
  </si>
  <si>
    <t>Characterization of a Supersonic Turbine Downstream of a Rotating Detonation Combustor</t>
  </si>
  <si>
    <t>Numerical Analysis of Heat Transfer Enhancement in a Parabolic Trough Collector Based on Geometry Modifications and Working Fluid Usage</t>
  </si>
  <si>
    <t>A Novel Style Design of a Permanent-Magnetic Adsorption Mechanism for a Wall-Climbing Robot</t>
  </si>
  <si>
    <t>Solar-Assisted Liquid Desiccant Dehumidification Using Hollow-Fiber and Parallel-Plate Membrane Dehumidifiers: Comparative Analysis</t>
  </si>
  <si>
    <t>A Multidisciplinary Approach for the Comprehensive Assessment of Integrated Rotorcraft–Powerplant Systems at Mission Level</t>
  </si>
  <si>
    <t>Emerging Challenges of Microactuators for Nanoscale Positioning, Assembly, and Manipulation</t>
  </si>
  <si>
    <t>Journal of Computational and Nonlinear Dynamics</t>
  </si>
  <si>
    <t>Journal of Thermal Science and Engineering Applications</t>
  </si>
  <si>
    <t>Journal of Nondestructive Evaluation, Diagnostics and Prognostics of Engineering Systems</t>
  </si>
  <si>
    <t>Journal of Solar Energy Engineering</t>
  </si>
  <si>
    <t>Journal of Offshore Mechanics and Arctic Engineering</t>
  </si>
  <si>
    <t>Journal of Pressure Vessel Technology</t>
  </si>
  <si>
    <t>Journal of Mechanisms and Robotics</t>
  </si>
  <si>
    <t>Journal of Tribology</t>
  </si>
  <si>
    <t>Journal of Dynamic Systems, Measurement, and Control</t>
  </si>
  <si>
    <t>Journal of Computing and Information Science in Engineering</t>
  </si>
  <si>
    <t>Journal of Vibration and Acoustics</t>
  </si>
  <si>
    <t>Journal of Manufacturing Science and Engineering</t>
  </si>
  <si>
    <t>10.1115/1.4041828</t>
  </si>
  <si>
    <t>10.1115/1.4044765</t>
  </si>
  <si>
    <t>10.1115/1.4046925</t>
  </si>
  <si>
    <t>10.1115/1.4047972</t>
  </si>
  <si>
    <t>10.1115/1.4023098</t>
  </si>
  <si>
    <t>10.1115/1.4054210</t>
  </si>
  <si>
    <t>10.1115/1.4055470</t>
  </si>
  <si>
    <t>10.1115/1.4051176</t>
  </si>
  <si>
    <t>10.1115/1.4055478</t>
  </si>
  <si>
    <t>10.1115/1.4052672</t>
  </si>
  <si>
    <t>10.1115/1.4049716</t>
  </si>
  <si>
    <t>10.1115/1.4038939</t>
  </si>
  <si>
    <t>10.1115/1.4052697</t>
  </si>
  <si>
    <t>10.1115/1.4052681</t>
  </si>
  <si>
    <t>10.1115/1.4038650</t>
  </si>
  <si>
    <t>10.1115/1.4054643</t>
  </si>
  <si>
    <t>10.1115/1.4051450</t>
  </si>
  <si>
    <t>10.1115/1.4006962</t>
  </si>
  <si>
    <t>10.1115/1.4024475</t>
  </si>
  <si>
    <t>10.1115/1.4039037</t>
  </si>
  <si>
    <t>10.1115/1.4002431</t>
  </si>
  <si>
    <t>10.1115/1.4054726</t>
  </si>
  <si>
    <t>10.1115/1.4047825</t>
  </si>
  <si>
    <t>10.1115/1.4032737</t>
  </si>
  <si>
    <t>10.1115/1.4039683</t>
  </si>
  <si>
    <t>10.1115/1.4055345</t>
  </si>
  <si>
    <t>10.1115/1.4034362</t>
  </si>
  <si>
    <t>10.1115/1.4042521</t>
  </si>
  <si>
    <t>10.1115/1.4040815</t>
  </si>
  <si>
    <t>10.1115/1.4040076</t>
  </si>
  <si>
    <t>10.1115/1.4045655</t>
  </si>
  <si>
    <t>10.1115/1.4044020</t>
  </si>
  <si>
    <t>10.1115/1.4028181</t>
  </si>
  <si>
    <t>10.1115/1.4001662</t>
  </si>
  <si>
    <t>In this work, vibration characteristic diagnosis of misalignment rotor in loosely fitted bearing is investigated using dimensional analysis (DA) approach. A comprehensive empirical model (EM) using nondimensional parameters is developed to diagnose the rotor-bearing system, and EM model has been validated through an experimental setup developed in-house. Experiments are performed for various defects such as misalignment and bearing looseness. The EM results can be used to monitor the real-time conditions of the rotor-bearing system. This work also presents the effect of misalignment and bearing looseness under various load and speed conditions. Further, work has been extended to predict the combined effect of bearing looseness and misalignment. It has been found that EM model predictions of the vibration amplitude are better when compared to experimental results.</t>
  </si>
  <si>
    <t>Digital power plant is the theory and method to improve the operating quality of power plant by quantifying, analyzing, controlling, and deciding the physical and working objects of power plants in the whole life cycle. And the foundation of digital power plant is system modeling and performance analysis. However, there are some problems in the process of modeling establishment and performance analysis. For instance, each component has different dimensions and different types of mathematical description, and the data or information used for modeling are defined differently and belong to different enterprises, who do not want to share their information. Meta-modeling is a potential method to solve these problems. It defines the specification to describe different kinds of elements and the relationship between different elements. In this paper, the collaborative modeling and simulation platform for digital power plant has been established based on the meta-modeling method and the performance of the target power plant has been analyzed from different aspects via field data. The meta-modeling method consists of three parts: syntax definition, model development, and algorithm definition. In the comparative study between the meta-model and the traditional model, maximum average errors of the two methods are 8.72% and 4.74%, which reveals the high accuracy of the meta-modeling-based model. The result shows that the modeling and simulation platform for power plants can be used to reduce costs, decrease equipment failure rate, and improve plant output, so as to guarantee the safety and increase economics.</t>
  </si>
  <si>
    <t>In this paper, with the help of partial similarity principle, aerodynamic performance of a centrifugal compressor in a turbocharger unit is analyzed and improved based on a low-speed large-scaled model. In order to achieve flow similarity between the scaled compressor and the prototype, tip clearance and diffuser outlet diameter have been modified further. It is observed from the numerical results that the relative error between the scaled compressor and the prototype is less than 0.8%. It means that the flow field of the scaled compressor is similar to the prototype though the Reynolds number is neglected during the scaling process. Furthermore, the large-scaled impeller has been improved by analyzing the numerical results, and then, the improved impeller is scaled down back to the smaller one by using the partial similarity principle, which geometric dimensions have the same level as those of the prototype but performance is improved obviously. Meanwhile, the experiment results are used to validate the method.</t>
  </si>
  <si>
    <t>Wind energy is increasingly becoming a major discussion amongst renewable energy sources due to its sustainability, reduced impact on the environment, and being significantly cheaper than conventional fossil fuels. Researchers have been particularly concerned with studying improved design and optimization using computational technique and experimentation. This research aims at designing blades for a small horizontal axis wind turbine for low Reynolds number using blade element momentum theory and using computational fluid dynamics (cfd) and experiment to analyze its performance. Two airfoils (SG6050 and SG6043) were selected for different regions of the blade span. Four turbulent models were used in predicting its performance. The performance was analyzed for wind speeds between 2 m/s and 7 m/s. Studies showed that the blade is capable of generating power up to 241 W with a power coefficient of 34.3% at a speed of 6 m/s. The computed power coefficient is in good agreement with experimental results of 33.7%.</t>
  </si>
  <si>
    <t>Wickless heat pipe heat exchangers (HPHE) consistently showed instabilities and omits many experimental tests. The performance of a heat pipe is governed by many parameters, and the effects of which may influence each other. The objective of this paper is to develop a new approach for an air–air heat pipe heat exchanger that takes into consideration the effect of heat transfer coefficients, saturation temperature, and thermal resistances inside the heat pipes as well as maximum heat transfer limit. The approach is based on analyzing inner heat pipe parameters with HPHE external working conditions. Results are also assessed for higher heat capacities ratio and found that the thermal resistances inside a heat pipe are a limiting factor, leading the HPHE system to perform poorly in particular for Cr ≤ 1. Overall heat transfer coefficients at HPHE sides as well as HPHE effectiveness as a function of Cr are assessed. Trying to follow the Chaudourne (1992, “The Heat Pipe Heat Exchangers: Design, Technology and Applications,” Design and Operation of Heat Exchangers, Springer, Berlin, Heidelberg, pp. 386–396) profile for conventional heat exchangers, HPHE effectiveness is determined and limited to 0.5 number of transferred units. The established model is verified by the existing literature and demonstrates numerical results that agree with the experimental data within a 2.86% error.</t>
  </si>
  <si>
    <t>Tomato seed oil biodiesel (TSOB) could be considered as a second-generation and clean-burning renewable substitute for petroleum diesel. It is about 72% by weight of tomato waste, which contains an average of 24% oil. This paper investigated the effects of four different diesel–TSOB blends on the combustion performance of an indirect injection (IDI) diesel engine. In-cylinder pressure (CP) and combustion parameters at five different engine loads and seven speeds were experimentally measured. Then for 2D computational fluid dynamics (CFD) simulation of the emissions and combustion processes, avl fire software was used and the results were evaluated with experimental data. The purpose of the study was to determine the combustion process and its effects on the performance and emissions of the engine. The outcomes for B10 at 100% load addressed that the peak CP of about 67 MPa was found at 1200 revolutions per minute (rpm) which occurred at 13 deg after top dead center (ATDC), while at 2200 rpm the peak CP was 69 MPa and occurred at 1 deg ATDC, and at 2400 rpm the peak CP was found to be about 66 MPa which occurred approximately at the top dead center (TDC). The simulated results found that the peak in-cylinder temperature of 1600 deg K corresponds to the 10% TSOB blend (B10) and the longest mixing-controlled period occurs for B10 at 27 deg crank angle (CA). The simulation also showed that B5 had the longest jet penetration of about 44 mm (at about 100 deg CA) in comparison to 43 mm for B20, 41 mm for B10, and 39.8 mm for B0 (pure diesel) which occurred at less than 100 deg CA. The longest jet penetration duration was found to be about 44 mm for B5 at about 100 deg CA. The results showed that B10 has the biggest accumulative heat release (approximately 1900 J) and the highest fuel energy efficiency. The 2D CFD simulation revealed that the unburnt equivalence ratio in the main combustion chamber is lesser than in the spherical combustion chamber.</t>
  </si>
  <si>
    <t>A novel model-based technique is presented in this paper for the estimation of the fault size in different components of rolling contact bearings. A detailed dimensional analysis of the problem is carried out and an experimental methodology using the Box–Behnken design is applied to generate the experimental data set. First, the analysis of the vibration acceleration amplitude at fault frequency, its dependence on the bearing operating, and fault parameters using the obtained vibration data set are carried out by statistical analysis of variance. Numerical equations are developed then using the experimental data set for the correlation of the vibration acceleration amplitude in the frequency domain with the fault sizes based on the developed dimensionless terms. A hybrid backpropagation neural network integrating genetic algorithm is also developed to check the computational performance of the developed model equations. Validation of the proposed method is carried experimentally also for three seeded defect sizes on the outer race, inner race, and rolling element. The maximum model accuracy observed is for the inner race defect case with a predictive accuracy of 99.44% and for the roller defect case, it is 98.77%. The deviance observed for the model predictive performance is maximum for the outer race defect case with the least accuracy of 90.47% amongst all.</t>
  </si>
  <si>
    <t>This study deals with the optimization of performance for a hybrid-electric propulsion system. It focuses on the modeling and power management frameworks, while evaluation is done on a single flight basis. The main objective is to extract the maximum out of the novel powertrain archetype. Two hybridization factors are considered. The pair helps to describe the degree of hybridization at the power supply and power consumption levels. Their revised mathematical definition facilitates a unique method of hybrid-electric propulsion system modeling that maximizes the conveyed amount of information. An in-house computational tool is developed. It employs a genetic algorithm optimizer in the interest of managing power usage during flight. Energy consumption is set as the objective function. The operation of a 19-seater, commuter aircraft is investigated. Turbo-electric, series-hybrid, parallel-hybrid, and series-parallel variants are derived from a generic composition. An analysis on their optimized performance, with different technological readiness levels for 2020 and 2035, is aimed at identifying where each system performs best. Considering 2020 technology, it does not yield a viable hybrid-electric configuration, without suffering significant payload penalties. Architectures relying on mechanical propulsors show promise of 15% reduction to energy consumption, accounting for 2035 readiness levels. The concepts of Boundary Layer Ingestion and Distributed Propulsion display the potential to boost electrified propulsion. The series-hybrid and series-parallel configurations are the primary beneficiaries of these concepts, displaying up to 30% reduction in fuel and 20% reduction in energy consumption.</t>
  </si>
  <si>
    <t>In this article, different paths (direct, spiral, and curved) for water flow in a photovoltaic/thermal (PV/T) system are studied, and they are compared together. The intensity of radiation to the cell surface is taken 800 W/m2, and the fluid flow is considered to be laminar in the micro-channels. The PV cell absorbing radiation is of an aluminum type. The numerical solution of the three geometries is carried out using the finite volume method using ansys-fluent software. The pressure decomposition, momentum and energy discretization, and the solution of the pressure–velocity coupling are performed based on the standard method, the second-order upwind method, and the semi-implicit method for pressure-linked equations (SIMPLE) method, respectively. The convergence factor is considered to be respected and for continuity and energy equations. The results indicate that the cell surface temperature and the outlet fluid temperature decrease by increasing the Reynolds (Re) number. Moreover, electricity efficiency increases with the increased Reynolds number. The curved path has the highest electrical efficiency in comparison to other two paths. The decrease in fluid pressure of the curved path in Re = 600 is 4% and 1.3% higher than the direct and spiral paths, respectively.</t>
  </si>
  <si>
    <t>The blades of a vertical axis wind turbine (VAWT) experience large variations in the angle of attack at low tip-speed ratios and induce blade force oscillation. These unsteady aerodynamic effects must be considered in the VAWT aerodynamic modelling methodology by utilizing a dynamic stall model. The Beddoes–Leishman (B–L) dynamic stall model is a popular method to simulate the unsteady VAWT blade dynamic stall aerodynamics. However, a limitation of the B–L dynamic stall model is the number of the airfoil dependent parameters derived from both steady and unsteady experimental measurements. In this paper, a methodology is described to compute these B–L dynamic stall model airfoil coefficients utilizing a computational fluid dynamics (CFD) model. This method permits the calculation of the blade dynamic stall characteristics over a range of reduced pitch rates by employing a user-defined sliding mesh motion technique. Furthermore, the variation in the blade Reynolds number is accounted for by conducting simulations at the maximum and minimum VAWT envelope operating limits. Aerodynamic blade force experimental measurements are used to compare the predictions from a low-order model with airfoil data extracted CFD and experiments. This approach expands the applicability of the B–L dynamic stall model for large-scale VAWTs.</t>
  </si>
  <si>
    <t>This study illustrates a comparison of two numerical methods under a unified computational platform for solving fluid–structure interaction (FSI) problems. The first is an arbitrary Lagrangian–Eulerian (ALE)-based fluid model coupled to a structural finite element (FE) method (ALE-FE/FE), and the second is a smoothed particle hydrodynamics (SPH) method coupled to the same structural FE code (SPH/FE). The predictive capabilities and computational efficiency of both the numerical methods are evaluated and validated against a canonical problem of a rapidly varying flow past an elastic gate for which experimental data are available. In both numerical solutions, the fluid flow is governed by the Navier–Stokes equation, and the elastic gate is modeled as a flexible structure. Numerical simulation results show that the ALE-FE/FE continuum approach not only captures the dynamic behavior properly but also predicts the water-free surface profiles and the elastic gate deformations accurately. On the other hand, the coupled purely Lagrangian approach of the SPH/FE under an identical computational platform is found to be less accurate and efficient in predicting the dynamics of the elastic gate motion and the water-free surface profiles.</t>
  </si>
  <si>
    <t>Printed circuit heat exchangers (PCHEs) have high thermal efficiency because of the numerous minuscule channels. These minuscule channels result in a high thermal exchange area per unit volume, making PCHE a top contender for an intermediate heat exchanger (IHX) in high-temperature reactors. Thousands of minuscule channels make finite element analysis of the PCHE computationally infeasible. A two-dimensional analysis is usually performed for the PCHE core, which cannot simulate the local channel level responses reasonably because of the absence of global constraint influence. At present, there is no analysis technique available in the ASME Code or literature that is computationally efficient and suitable for engineers to estimate PCHE local responses. A novel but practical two-step analysis framework is proposed for performing PCHE analysis. In the first step, the channeled core is replaced by orthotropic solids with similar stiffness to simulate the global thermomechanical elastic responses of the PCHE. In the second step, local submodel analysis with detailed channel geometry and loading is performed using the elastic-perfectly plastic (EPP) material model. The proposed two-step analysis technique provides a unique capability to estimate the channel corner responses to be used for PCHE performance assessment. This study first developed a methodology for calculating the elastic orthotropic properties of the PCHE core. Next, the two-step analysis is performed for a realistic size PCHE core, and different issues observed in the results are scrutinized and resolved. Finally, a practical finite element analysis framework for PCHEs in high-temperature nuclear service is recommended.</t>
  </si>
  <si>
    <t>The amount of lubricating oil in a gear reducer greatly influences components’ temperature and efficiency of the reducer. A thermal network simulation model of a gear reducer for electric vehicles based on amesim software was built for thermal and efficiency analysis of the reducer, where heat production and transfer processes of each component in the reducer are considered. Moreover, secondary development submodels were developed to calculate the convection coefficients in real time based on different lubricating oil temperatures and working conditions. Next, the experiments were conducted to verify the developed model regarding transmission efficiency and lubricating oil equilibrium temperature in the reducer. The deviation between the numerical and experimental results is less than 5%, which indicates high accuracy of the developed thermal network model. Thereafter, efficiency and heat balance simulation tests under different working conditions were performed to determine an optimal lubricating oil supply, which is 14 mm gear-oil-immersion oil supply in this study. Finally, a comparison between the reducer with the optimal oil supply and that with normally used 22 mm gear-oil-immersion supply in the NEDC cycles in low temperature was done. The reducer with the optimal oil supply shows 1.032% energy saving. The method presented in this article provides a good guide to design and optimization of the gear reducer for electrical vehicles.</t>
  </si>
  <si>
    <t>This paper presents the experimental validation and dynamic similarity analysis for a lab-scale version of an airborne wind energy (AWE) system executing closed-loop motion control. Execution of crosswind flight patterns, achieved in this work through the asymmetric motion of three tethers, enables dramatic increases in energy generation compared with stationary operation. Achievement of crosswind flight in the lab-scale experimental framework described herein allows for rapid, inexpensive, and dynamically scalable characterization of new control algorithms without recourse to expensive full-scale prototyping. We first present the experimental setup, then derive dynamic scaling relationships necessary for the lab-scale behavior to match the full-scale behavior. We then validate dynamic equivalence of crosswind flight over a range of different scale models of the Altaeros Buoyant airborne turbine (BAT). This work is the first example of successful lab-scale control and measurement of crosswind motion for an AWE system across a range of flow speeds and system scales. The results demonstrate that crosswind flight can achieve significantly more power production than stationary operation, while also validating dynamic scaling laws under closed-loop control.</t>
  </si>
  <si>
    <t>Nowadays, the cooling and heating of micro-thermal devices have received a growing interest. To improve the thermal management of these micro-thermal devices, various efforts are being made by the researchers. In the present study, conically shaped micro helical tubes are used to investigate the coil side heat transfer rate and friction factor of non-Newtonian nanofluids under laminar flow conditions. For the numerical analysis, single-phase approach with commercial software ansys-fluent-19 has been utilized. Investigations encompass generalized Reynold numbers ranging from 306 to 2159 and four different curvature ratios (0.066, 0.076, 0.088, and 0.1) of conically shaped micro helical tubes. The inner diameter of the helical tube is 2 mm and contains 20 turns. Al2O3-based non-Newtonian nanofluids with volume concentrations of 0.0%, 0.1%, and 0.2% having base fluid of aqueous solution of carboxymethyl-cellulose (CMC) are used as the working fluid (hot) for the coil side, while in the shell side cold water is used. The results from numerical investigation are validated and found in good agreement with earlier experimental results. The results show that with the increase in the curvature ratio of conically coiled tubes both heat transfer rate and friction factor increase by 46% and 98% respectively, for base fluid at a curvature ratio of 0.1. Also, the present study reveals that adding nanoparticles to the base fluid enhances the heat transfer rate to a maximum value of 40%. Moreover, the maximum value of thermal performance factor (TPF) is found to be 1.52.</t>
  </si>
  <si>
    <t>This study aims to develop a dimensionless model of the vacuum multi-effect membrane distillation (V-MEMD) system through which a preliminary prediction of the most critical performance indicators can be attained. The Buckingham Π theorem was utilized to define dimensionless parameters that enable the predicted relationships associated with independent input parameters to describe the essential performance indicators of the V-MEMD system. The obtained simplified model reduces the design parameters from ten to two effective dimensionless parameters to realize the realistic and actual behavior of the designated system. The self-sustained model can be used as a short-cut tool for design and performance analysis to avoid time-consuming experimentations and complicated theoretical models. The compatibility of the generated model is assessed by matching the expected response of the output dimensionless parameters of recovery ratio (Π6) and gain output ratio (GOR, Π12) to variations in the pressure ratio and cooling process. The model is validated with other works, and discrepancies are found to be within ±8% and ±0.8 for the recovery ratio and GOR, respectively. Furthermore, the specific thermal energy consumption (STEC) is correlated to the GOR assuming constant vaporization enthalpy and density of the distillate water. The correlation can predict STEC within 5% accuracy over various operating conditions for the supplied hot water.</t>
  </si>
  <si>
    <t>A fast breeder reactor (FBR) is considered as the promising technology in terms of load reduction on the environment, because the FBR has capability to improve usage efficiency of uranium resources and can reduce high-level radioactive waste which needs to be managed for millions of years. A cold trap is one of the important components in the FBR to control the impurity concentration of the liquid sodium. For accurate evaluation of the cold trap performance, we have been proposing the three-dimensional (3D) numerical analysis method of the cold trap. In this method, the evaluation of the impurity precipitation phenomena on the surface of the mesh wire of the cold trap is the key. For this, the numerical analysis method which is based on the lattice kinetic scheme (LKS) has been proposed. In order to apply the LKS to the impurity precipitation simulation of the cold trap, two models (the low Reynolds number model and the impurity precipitation model) have been developed. In this paper, we focused on the validation of these models. To confirm the validity of the low Reynolds number model, the Chapman–Enskog analysis was applied to the low Reynolds number model. As a result, it has been theoretically confirmed that the low Reynolds number model can recover the correct macroscopic equations (incompressible Navier–Stokes equations) with small error. The low Reynolds number model was also validated by the numerical simulation of two-dimensional (2D) channel flow problem with the low Reynolds number conditions which correspond to the actual cold trap conditions. These results have confirmed that the error of the low Reynolds number model is ten times smaller than that of the original LKS. The validity of the impurity precipitation model was investigated by the comparison to the precipitation experiments. In this comparison, the mesh convergence study was also conducted. These results have confirmed that the proposed impurity precipitation model can simulate the impurity precipitation phenomena on the surface of the mesh wire. It has been also confirmed that the proposed impurity precipitation model can simulate the impurity precipitation phenomenon regardless of the cell size which were tested in this investigation.</t>
  </si>
  <si>
    <t>The world is facing an imminent energy crisis. In order to sustain our energy supply, it is necessary to advance renewable technologies. Despite this urgency, however, it is paramount to consider the larger environmental effects associated with using renewable resources. Hydropower, in the past, has been seen as a viable resource to examine, given that its basics of mechanical to electrical energy conversion seem to have little effect on the environment. Discrete analysis of dams and in-stream diversion set-ups, although, has shown otherwise. Modifications to river flows and changes in temperature (from increased and decreased flows) cause adverse effects to fish and other marine life because of changes in their adaptive habitat. Recent research has focused on kinetic energy extraction in river flows, which may prove to be more sustainable, as this type of extraction does not involve a large reservoir or large flow modification. The field of hydrokinetic energy extraction is immature; little is known about the devices’ performance in the river environment and their risk of impingement, fouling, and suspension of sediments. The governing principles of hydrokinetic energy extraction are presented, along with a two-dimensional computational fluid dynamics (CFD) model of the system. Power extraction methods are compared and CFD model validation is presented. It is clear that more research is required in hydrokinetic energy extraction with an emphasis toward lower environmental and ecological impacts.</t>
  </si>
  <si>
    <t>This paper describes the outline and development plan for “Advanced Reactor Knowledge- and Artificial Intelligence (AI)-aided design integration approach through the whole plant lifecycle (ARKADIA),” which the Japan Atomic Energy Agency has begun developing to transform advanced nuclear reactor design to meet expectations of a safe, economic, and sustainable carbon-free energy source. ARKADIA will realize AI-aided integrated numerical analysis to offer the best possible solutions for any challenge that could arise in the design and operation of a nuclear plant, including optimization of safety equipment as well as structures, systems, and components. State-of-the-art numerical simulation technologies and a knowledge base that stores data and insights from past nuclear reactor development projects and R&amp;amp;D are integrated with AI. In the first phase of development, ARKADIA-design and ARKADIA-safety will be constructed individually, with the first target of a sodium-cooled reactor. In a subsequent phase, everything will be integrated into a single entity that is technology inclusive and applicable not only to advanced rectors with a variety of concepts, coolants, configurations, and output levels but also to existing light-water reactors.</t>
  </si>
  <si>
    <t>This paper presents a study wherein we experimentally characterize the dynamics and control system of a lab-scale ocean kite, and then refine, validate, and extrapolate this model for use in a full-scale system. Ocean kite systems, which harvest tidal and ocean current resources through high-efficiency cross-current motion, enable energy extraction with an order of magnitude less material (and cost) than stationary systems with the same rated power output. However, an ocean kite represents a nascent technology that is characterized by relatively complex dynamics and requires sophisticated control algorithms. In order to characterize the dynamics and control of ocean kite systems rapidly, at a relatively low cost, the authors have developed a lab-scale, closed-loop prototyping environment for characterizing tethered systems, whereby 3D printed systems are tethered and flown in a water channel environment. While this system has been shown to be capable of yielding similar dynamic characteristics to some full-scale systems, there are also fundamental limitations to the geometric scales and flow speeds within the water channel environment, making many other real-world scenarios impossible to replicate from the standpoint of dynamic similarity. To address these scenarios, we show how the lab-scale framework is used to refine and validate a scalable dynamic model of a tethered system, which can then be extrapolated to full-scale operation. In this work, we present an extensive case study of this model refinement, validation, and extrapolation on an ocean kite system intended for operation in the Gulf Stream or similar current environments.</t>
  </si>
  <si>
    <t>In combustor design for aero-engines, engineers face multiple opposing objectives with strict constraints. The trend toward lean direct injection (LDI) combustors suggests a growing emphasis on injector design to balance these objectives. Decades of empirical and analytical work have produced low-order methods, including semi-empirical and semi-analytical correlations and models of combustors and their components, but detailed modeling of injector and combustor behavior requires computational fluid dynamics (CFD). In this study, an application of low-order methods and published guidelines yielded generic injector and combustor geometries, as well as CFD boundary conditions of parameterized injector designs. Moreover, semi-empirical correlations combined with a numerical spray combustion solver provided injector design evaluations in terms of pattern factor, thermoacoustic performance, and certain emissions. Automation and parallel coordinate visualization enabled exploration of the dual-swirler airblast injector design space, which is often neglected in published combustor design studies.</t>
  </si>
  <si>
    <t>Functionally graded materials (FGM) have recently attracted a lot of research attention in the wake of the recent prominence of additive manufacturing (AM) technologies. The continuously varying spatial composition profile of two or more materials affords FGM to possess properties of multiple different materials simultaneously. Emerging AM technologies enable manufacturing complex shapes with customized multifunctional material properties in an additive fashion. In this paper, we focus on providing an overview of research at the intersection of AM techniques and FGM objects. We specifically discuss FGM modeling representation schemes and outline a classification system to classify existing FGM representation methods. We also highlight the key aspects such as the part orientation, slicing, and path planning processes that are essential for fabricating FGM object through the use of multimaterial AM techniques.</t>
  </si>
  <si>
    <t>An exhaustive review was undertaken to assemble all available correlations for supercritical CO2 in straight, round tubes of any orientation, with special attention paid to how the wildly varying fluid properties near the critical point are handled. The assemblage of correlations, along with subsequent discussion, is presented from a historical perspective, starting from pioneering work on the topic in the 1950s to the modern day. Despite the growing sophistication of sCO2 heat transfer correlations, modern correlations are still only generally applicable over a relatively small range of operating conditions, and there has not been a substantial increase in predictive capabilities. Recently, researchers have turned to machine learning as a tool for next-generation heat transfer prediction. An overview of the state-of-the-art predicting sCO2 heat transfer using machine learning methods, such as artificial neural networks, is also presented.</t>
  </si>
  <si>
    <t>Cavitation is the main factor that causes reliability problems in centrifugal charging pumps (CCPs) in nuclear power plants. In this study, the cavitation-induced unsteady flow characteristics of a CPR1000 CCP were investigated by numerical and experimental methods. The vapor distribution in the impeller, velocity fluctuation, and pressure fluctuation results in the time and frequency domains were considered for several typical monitoring points in the impeller and volute. The pressure fluctuations in the impeller occurred at an impeller rotating frequency of fR and its integer harmonics, whereas those in the volute mainly occurred at an impeller blade-passing frequency of fB and its integer harmonics. The absolute error between the simulated and measured NPSHr was 3.6%, and that between the calculated and measured head was 2.9%, validating the simulation of the cavitation performances of a CCP.</t>
  </si>
  <si>
    <t>Emergence of increasingly smaller electromechanical systems with submilli-Watt power consumption led to the development of scalable micropower generators (MPGs) that harness ambient energy to provide electrical power on a very small scale. A flow MPG is one particular type which converts the momentum of an incident flow into electrical output. Traditionally, flow energy is harnessed using rotary-type generators whose performance has been shown to drop as their size decreases. To overcome this issue, oscillating flow MPGs were proposed. Unlike rotary-type generators which rely upon a constant aerodynamic force to produce a deflection or rotation, oscillating flow MPGs take advantage of cross-flow instabilities to provide a periodic forcing which can be used to transform the momentum of the moving fluid into mechanical motion. The mechanical motion is then transformed into electricity using an electromechanical transduction element. The purpose of this review article is to summarize important research carried out during the past decade on flow micropower generation using cross-flow instabilities. The summarized research is categorized according to the different instabilities used to excite mechanical motion: galloping, flutter, vortex shedding, and wake-galloping. Under each category, the fundamental mechanism responsible for the instability is explained, and the basic mathematical equations governing the motion of the generator are presented. The main design parameters affecting the performance of the generator are identified, and the pros and cons of each method are highlighted. Possible directions of future research which could help to improve the efficacy of flow MPGs are also discussed.</t>
  </si>
  <si>
    <t>Rotating detonation combustors (RDCs) offer theoretically a significant total pressure increase, which may result in enhanced cycle efficiency. The fluctuating exhaust of RDC, however, induces low supersonic flow and large flow angle fluctuations at several kHz, which affects the performance of the downstream turbine. In this paper, a numerical methodology is proposed to characterize a supersonic turbine exposed to fluctuations from RDC without any dilution. The inlet conditions of the turbine were extracted from a three-dimensional (3D) unsteady Reynolds-averaged Navier–Stokes simulation of a nozzle attached to a rotating detonation combustor, optimized for minimum flow fluctuations and a mass-flow averaged Mach number of 2 at the nozzle outlet. In a first step, a supersonic turbine able to handle steady Mach 2 inflow was designed based on a method of characteristics solver and total pressure loss was assessed. Afterward, unsteady simulations of eight stator passages exposed to periodic oblique shocks were performed. Total pressure loss was evaluated for several oblique shock frequencies and amplitudes. The unsteady stator outlet profile was extracted and used as inlet condition for the unsteady rotor simulations. Finally, a full stage unsteady simulation was performed to characterize the flow field across the entire turbine stage. Power extraction, airfoil base pressure, and total pressure losses were assessed, which enabled the estimation of the loss mechanisms in supersonic turbine exposed to large unsteady inlet conditions.</t>
  </si>
  <si>
    <t>The parabolic trough collector (PTC) is one of the most widely deployed concentrating solar power technology in the world. This study aims at improving the operational efficiency of the commercially available LS-2 solar collector by increasing the convective heat transfer coefficient inside the receiver tube. The two main factors affecting this parameter are the properties of the working fluid and the inner geometry of the receiver tube. An investigation was carried out on six different working fluids: pressurized water, supercritical CO2, Therminol VP-1, and the addition of CuO, Fe3O4, and Al2O3 nanoparticles to Therminol VP-1. Furthermore, the influence of a converging-diverging tube with sine geometry is investigated because this geometry increases the heat transfer surface and enhances turbulent flow within the receiver. The results showed that of all the fluids investigated, the Al2O3/Oil nanofluid provides the best improvement of 0.22% to thermal efficiency, while the modified geometry accounted for a 1.13% increase in efficiency. Other parameters investigated include the exergy efficiency, heat transfer coefficient, outlet temperatures, and pressure drop. The analysis and modeling of a parabolic trough receiver are implemented in engineering equation solver (EES).</t>
  </si>
  <si>
    <t>Magnetic adsorption mechanisms are widely used for wall-climbing robots to manipulate a locomotive on the surface of a magnetic conducting metal. However, the reported magnetic adsorption mechanisms are subject to the problems such as the lack of adsorption capability, the weakness of kinematic performance, and the overwhelming detaching force. To solve the problems, a novel style of a permanent-magnetic adsorption mechanism using an electromagnetic method and internal force compensation principle is detailed in this work. Specifically, a permanent magnet, an electromagnet, and a nonlinear spring are configurated to achieve a reliable adsorption function by using the minimal detaching force. Following that, the results obtained from both the finite element analysis and the experiments carried out by using a prototype demonstrated its effectiveness. It does not only have a rapid and controllable adsorption-detachment capacity in reference to the magnetic conducting surface but also has low power consumption, large adsorption force, and reliable and safe performance.</t>
  </si>
  <si>
    <t>In hot and humid climates, air conditioning is an energy-intensive process due to the latent heat load. A unitary air conditioner system is proposed, here, to reduce the latent heat of the humid air using a liquid desiccant followed by an evaporative cooling system. The heat liberated by the desiccant is removed by a solution to the solution heat exchanger. To restore the concentration of the liquid desiccant, the desiccant solution is regenerated by any low-temperature heat source such as solar energy. In order to make the system compact, the membrane heat exchanger is used for the dehumidifier and regenerator. This paper presents the numerical investigation of heat and mass transfer characteristics of a selected membrane dehumidifier under different climatic parameters. Membrane-based parallel-plate and hollow-fiber exchangers are used for this application. A parallel-plate heat-and-mass exchanger (contactor) is composed of a series of plate-type membrane sheets to form channels. On the other hand, hollow-fiber membranes are packed in a shell to form a shell-and-tube heat-and-mass exchanger. The two streams of both contactors are in a counter parallel flow, separated by micro-porous semi-permeable hydrophobic membranes. In this research, the equations governing the transport of heat and mass between the two streams along with the membrane effect in both contactors are solved numerically. The results are compared at different number-of-transfer units (NTU) on the airside and thermal capacity ratios. It is found that the hollow fiber is more efficient than the parallel plate.</t>
  </si>
  <si>
    <t>The development of manufacturing tools and processes capable of precisely positioning and manipulating nanoscale components and materials is still in its embryonic stage. Microactuators are emerging as important tools capable of precisely positioning and manipulating nanoscale components and materials. This paper provides a summary of the state-of-the-art in the design, fabrication, and application of microactuators for nanoscale manufacturing and assembly. Key characteristics and design models of electrothermal and electrostatic microactuators are described and compared. Specific design requirements for their functionality at the nanoscale are discussed. The results demonstrate the limitations of existing microactuator designs and key challenges associated with their design, modeling, and performance characterization for nanoscale positioning, assembly, and manipulation.</t>
  </si>
  <si>
    <t>dimension*</t>
  </si>
  <si>
    <t>2010-2020 and 
2010-2024</t>
  </si>
  <si>
    <t>"performance analysis" AND ("pi theorem" OR "dimensional analysis") AND software AND (architecture OR develop)</t>
  </si>
  <si>
    <t>("Full Text &amp; Metadata":"performance analysis") AND ("Full Text &amp; Metadata":"pi theorem" OR "Full Text &amp; Metadata":"dimensional analysis") AND ("Full Text &amp; Metadata":software) AND ("Full Text &amp; Metadata":architecture OR "Full Text &amp; Metadata":develop)</t>
  </si>
  <si>
    <t>("performance analysis") AND ("pi theorem" OR "dimensional analysis") AND "software" AND ("architecture" OR "develop")</t>
  </si>
  <si>
    <t>Research Papers (7)
Alternative Energy Sources (2)
Gas Turbines: Combustion, Fuels, and Emissions (2)
CFD and VIV (1)
Design Innovation Paper (1)</t>
  </si>
  <si>
    <t>Article (28)
Research article (23)
Chapter (17)
Conference paper (8)
Review article (3)</t>
  </si>
  <si>
    <t>Count @2020</t>
  </si>
  <si>
    <t>Count @2024</t>
  </si>
  <si>
    <t>Source</t>
  </si>
  <si>
    <t>Publication Topics</t>
  </si>
  <si>
    <t>Sort By</t>
  </si>
  <si>
    <t>2020 (2)
2019 (7)
2018 (3)
2017 (2)
2016 (9)</t>
  </si>
  <si>
    <t>2024 (11)
2023 (19)
2022 (12)
2021 (13)
2020 (2)</t>
  </si>
  <si>
    <t>Article (73)
Research article (57)
Chapter (27)
Conference paper (11)
Review article (11)</t>
  </si>
  <si>
    <t xml:space="preserve">Research-Article (15)
Research Papers (3)
Design Innovation Paper (1)
Review Articles (1)
Special Issue On Nanomanufacturing (1) </t>
  </si>
  <si>
    <t>Research-Article (20)
Research Papers (12)
Design Innovation Paper (2)
Review Articles (2)
Technical Briefs (2)</t>
  </si>
  <si>
    <t>Research Papers (15)
Alternative Energy Sources (3)
Design Innovation Paper (2)
Energy Systems Analysis (2)
Fluid-Structure Interaction (2)</t>
  </si>
  <si>
    <t>2024 (2)
2023 (3)
2022 (6)
2021 (6)
2020 (4)</t>
  </si>
  <si>
    <t>2020 (4)
2019 (3)
2018 (7)
2017 (0)
2016 (2)</t>
  </si>
  <si>
    <t>2024 (46)
2023 (29)
2022 (11)
2021 (4)
2020 (2)</t>
  </si>
  <si>
    <t>2020 (2)
2019 (3)
2018 (2)
2017 (4)
2016 (6)</t>
  </si>
  <si>
    <t>Research Article (43)
Review Article (3)</t>
  </si>
  <si>
    <t>Ad Hoc Networks (2)
Applied Soft Computing (2)
Computers and Electrical Engineering (2)
Future Generation Computer Systems (2)
Neural Computing and Applications (2)</t>
  </si>
  <si>
    <t xml:space="preserve">Applied Soft Computing (2)
Neural Computing and Applications (2)
Structural and Multidisciplinary Optimization (2)
Computer Methods and Programs in Biomedicine (1)
Computers and Electrical Engineering (1) </t>
  </si>
  <si>
    <t xml:space="preserve">    Research Article (15)
    Review Article (1) </t>
  </si>
  <si>
    <t>Manuscript Type</t>
  </si>
  <si>
    <t>Engineering fluid dynamics (12)
Computational fluid dynamics (9)
Energy management (8)
Thermal process engineering (8)
Building information modelling (7)</t>
  </si>
  <si>
    <t>Energy management (6)
Engineering fluid dynamics (6)
Building information modelling (5)
Computational fluid dynamics (5)
Solid mechanics (4)</t>
  </si>
  <si>
    <t>Numrich, Robert W.</t>
  </si>
  <si>
    <t>Saadon, Azlinda; Abdullah, Jazuri; Muhammad, Nur Shazwani; Ariffin, Junaidah</t>
  </si>
  <si>
    <t>en</t>
  </si>
  <si>
    <t>Vogeltanz, Tomáš</t>
  </si>
  <si>
    <t>Ding, Liang; Deng, Zongquan; Gao, Haibo; Nagatani, Keiji; Yoshida, Kazuya</t>
  </si>
  <si>
    <t>Planetary rovers’ wheel–soil interaction mechanics: new challenges and applications for wheeled mobile robots</t>
  </si>
  <si>
    <t>Hong, Xiaoqiang; Shi, Feng; Wang, Shaosen; Yang, Xuan; Yang, Yue</t>
  </si>
  <si>
    <t>Le Sage, T.; Bindel, A.; Conway, P. P.; Justham, L. M.; Slawson, S. E.; West, A. A.</t>
  </si>
  <si>
    <t>Brace, William; Ekman, Kalevi</t>
  </si>
  <si>
    <t>Alsukayti, Ibrahim S.</t>
  </si>
  <si>
    <t>Gong, Shengping; Macdonald, Malcolm</t>
  </si>
  <si>
    <t>Luan, Hua; Chang, Lei</t>
  </si>
  <si>
    <t>Lomotey, Richard K.; Deters, Ralph</t>
  </si>
  <si>
    <t>Su, Peng; Chen, Yuanyuan; Lu, Mengmeng</t>
  </si>
  <si>
    <t>Jian, Xinyu; Zou, Ting</t>
  </si>
  <si>
    <t>Geiß, Christian; Taubenböck, Hannes</t>
  </si>
  <si>
    <t>Noman, Syed; Tirumalachetty, Harinarayana; Athikesavan, Muthu Manokar</t>
  </si>
  <si>
    <t>Choi, Sung-Oong; Lee, Seung-Joong</t>
  </si>
  <si>
    <t>Journal of Hydrodynamics, Ser. B</t>
  </si>
  <si>
    <t>Zhang, Yingying; Yu, Penghao; Sun, Baorui; Zhou, Yi; Chen, Peijian; Xu, Junhao; Zhao, Yushuai</t>
  </si>
  <si>
    <t>Shaking Table Test on Composite Isolation System of High-speed Railway Station with Integrated Station-Bridge Structure</t>
  </si>
  <si>
    <t>10.1007/s12205-023-0542-x</t>
  </si>
  <si>
    <t>This paper investigated the seismic performance of a typical “Integrated Station-Bridge high-speed railway station structure with a composite isolation system. The influential mechanism of the structure with isolation system was analyzed based on shaking table tests, mainly investigating on the failure mode, acceleration response and displacement response. Besides, a parameter optimization method of isolation layer for long-span structures was proposed based on genetic algorithm to better enhance the isolation performance of the large-span structure. The research revealed that there was no obvious damage to the composite isolation system under the PGA = 0.82 g. The nature frequency of the structure with isolation system is only 12.5% of that of non-isolation structure. The first three natural vibration frequency of the structure with isolation system only reduce 3.4%, 3.2%, 6.14% after the PGA = 1.27 g, that of the non-isolation structure reduce by more than 20%. The acceleration amplification factor of each layer of composite isolation system is less than 1, in particular, that of truss is about 0.3. The displacement response and acceleration response of the structure with isolation system have been reduced by about 90%. The proposed optimization method of isolation layer parameters provides an important reference for the isolation design for high-speed railway stations.</t>
  </si>
  <si>
    <t>Li, Linhao; Chen, Ke; Wang, Jun; Jiang, Zehao</t>
  </si>
  <si>
    <t>Parametric Structural Calculation of Shield Linings for Large-Diameter Tunnels Based on the Shell-Spring Model</t>
  </si>
  <si>
    <t>10.1007/s12205-023-2327-7</t>
  </si>
  <si>
    <t>Structural calculations are essential for segmental lining design, especially in shield tunnels with large diameters. Compared with the conventional 2D structural calculation models, the 3D shell-spring model can explicitly represent detailed structural features such as joints and shields. This study proposes a parametric shell-spring modeling method (PSSMM) that can realize segment typesetting, joint setting, and load arrangement in an automatic and intelligent manner for parametric structural calculation. The PSSMM is applied to a large-diameter tunnel design project for verification. The results show that the PSSMM is feasible for the structural calculation of shield tunnel linings and has advantages over existing methods in modeling efficiency and result visualization. Moreover, the PSSMM can effectively reflect the joint performance effect, which shows that the PSSMM can be adapted to advanced tunnel lining design.</t>
  </si>
  <si>
    <t>Nandy, Anup; Chakraborty, Pavan</t>
  </si>
  <si>
    <t>Multimedia Tools Appl.</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</si>
  <si>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</si>
  <si>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Dinesh Jackson Samuel, R.; Rajesh Kanna, B.</t>
  </si>
  <si>
    <t>Neural Comput. Appl.</t>
  </si>
  <si>
    <t>Microscopy is a rapid diagnosis method for many infectious diseases like tuberculosis (TB). In TB bacilli identification, specimens are stained using Ziehl–Neelsen or Auramine dye&amp;nbsp;and are examined by technicians thoroughly for any infectious microbes. For pathological study, the images of these microbes are captured using microscopes and image processing is applied for further analysis. However, choosing 100 field of views (FOV) randomly from a 2 × 1&amp;nbsp;cm square area of sputum specimen may lead to inconsistency in specificity. The examination of specimens is a tedious process, and it requires especially skilled technicians for screening the sputum smear samples. The proposed tuberculosis detection system consists of two subsystems—a data acquisition system and a recognition system. In the data acquisition system, a motorized microscopic stage is designed and developed to automate the acquisition of all FOVs. Here the microscopic stage movement is motorized and scanning patterns are defined by the user for specimen examination. After the acquisition of all FOVs, data are passed to the recognition system. In the recognition system, transfer learning method is implemented by customizing the Inception V3 DeepNet model. This model learns from the pre-trained weights of Inception V3 and classifies the data using support vector machine (SVM) from the transferred knowledge. For training and testing the customized Inception V3 model, a public TB dataset (Shah et al. in J Med Imaging 4(2):027503, 2017. https://doi-org.ezproxy.uniandes.edu.co/10.1117/1.jmi.4.2.027503) and our own acquired microscopic digital dataset are used for analysis. In this&amp;nbsp;model, the fixed feature representations are taken from the top stack layer of Inception V3 DeepNet and are classified using SVM. This model attains an accuracy of 95.05%, thereby reducing the dependency on skilled technicians in the screening process and increasing sensitivity and specificity.</t>
  </si>
  <si>
    <t>Elham, Ali; Tooren, Michel J.</t>
  </si>
  <si>
    <t>Struct. Multidiscip. Optim.</t>
  </si>
  <si>
    <t>Zhang, Xiaolu; Cui, Lei; Shen, Wuqiang; Zeng, Jijun; Du, Li; He, Haoyang; Cheng, Long</t>
  </si>
  <si>
    <t>File processing security detection in multi-cloud environments: a process mining approach</t>
  </si>
  <si>
    <t>J. Cloud Comput.</t>
  </si>
  <si>
    <t>10.1186/s13677-023-00474-y</t>
  </si>
  <si>
    <t>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</si>
  <si>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Fang, Xiaodong; Chang, Chan; Liu, Genggeng</t>
  </si>
  <si>
    <t>J. Supercomput.</t>
  </si>
  <si>
    <t>Bernstein, Daniel J.</t>
  </si>
  <si>
    <t>Cryptographic Competitions</t>
  </si>
  <si>
    <t>J. Cryptol.</t>
  </si>
  <si>
    <t>10.1007/s00145-023-09467-1</t>
  </si>
  <si>
    <t>Competitions are widely viewed as the safest way to select cryptographic algorithms. This paper surveys procedures that have been used in cryptographic competitions, and analyzes the extent to which those procedures reduce security risks.</t>
  </si>
  <si>
    <t>Leida, Marcello; Ceravolo, Paolo; Damiani, Ernesto; Asal, Rasool; Colombo, Maurizio</t>
  </si>
  <si>
    <t>bookSection</t>
  </si>
  <si>
    <t>Advances in Solar Power Generation and Energy Harvesting: Select Proceedings of ESPGEH 2019</t>
  </si>
  <si>
    <t>Computational Science – ICCS 2019: 19th International Conference, Faro, Portugal, June 12–14, 2019, Proceedings, Part V</t>
  </si>
  <si>
    <t>Proceedings of the Fourth International Conference in Ocean Engineering (ICOE2018): Volume 2</t>
  </si>
  <si>
    <t>Wang, Naian; Sun, Xiaojin; Huang, Diangui</t>
  </si>
  <si>
    <t>Mehmood, Amir; Nadeem, Adnan; Ashraf, Muhammad; Alghamdi, Turki; Siddiqui, Muhammad Shoaib</t>
  </si>
  <si>
    <t>Kang, Soo Young; Lee, Jeong Jin; Kim, Tong Seop; Park, Seong Jin; Hong, Gi Won; Ahn, Jun Ho</t>
  </si>
  <si>
    <t>SISMES XI NATIONAL CONGRESS: Bologna, 27–29 September 2019</t>
  </si>
  <si>
    <t>CARS 2018—Computer Assisted Radiology and Surgery Proceedings of the 32nd International Congress and Exhibition Berlin, Germany, June 20–23, 2018</t>
  </si>
  <si>
    <t>10.1007/s11548-018-1766-y</t>
  </si>
  <si>
    <t>Kim, Taek Keun</t>
  </si>
  <si>
    <t>Kim, Sangchul; Kim, Sean Hay</t>
  </si>
  <si>
    <t>Ocean Engineering &amp; Oceanography</t>
  </si>
  <si>
    <t>Sultan, Tipu; Cho, Jin-Soo</t>
  </si>
  <si>
    <t>AbstractWater disinfection making use of an ultraviolet (UV) reactor is an attractive procedure because it does not produce any by-products. In this work, the effects of pipe roughness on the performance of a closed-conduit water disinfection UV reactor were investigated. In order to incorporate the surface roughness effects, a simple, stable, highly accurate model, better than any iterative approximation, was adopted in the numerical simulations. The analysis was carried out on the basis of two performance indicators: reduction equivalent dose (RED) and system dose distribution. The analysis was performed using a commercial computational fluid dynamics (CFD) tool (ANSYS Fluent). The fluence rate within the UV reactor was calculated using UVCalc3D. The pipe surface roughness resulted in longer pathogen residence times and higher dose distribution among the pathogens. The effect of pipe surface roughness on RED depends on the Reynolds number and relative roughness. Pipe surface roughness plays an important role because UV reactors for water disinfection operate at moderate Reynolds numbers. In addition, the positioning of the UV lamp in the reactor plays an important role in determining the RED of the reactor. Search criteria for lamp-positioning are also proposed in the current work. The proposed CFD methodology can be used to analyse the performance of closed-conduit reactors for water disinfection by UV.</t>
  </si>
  <si>
    <t>Zou, Zhengping; Wang, Songtao; Liu, Huoxing; Zhang, Weihao</t>
  </si>
  <si>
    <t>Cloud Computing and Services Science: 5th International Conference, CLOSER 2015, Lisbon, Portugal, May 20-22, 2015, Revised Selected Papers</t>
  </si>
  <si>
    <t>Modelling Foundations and Applications: 11th European Conference, ECMFA 2015, Held as Part of STAF 2015, L`Aquila, Italy, July 20-24, 2015. Proceedings</t>
  </si>
  <si>
    <t>Engineering Materials and Processes</t>
  </si>
  <si>
    <t>Kośny, Jan</t>
  </si>
  <si>
    <t>PCM-Enhanced Building Components: An Application of Phase Change Materials in Building Envelopes and Internal Structures</t>
  </si>
  <si>
    <t>Gauchía, A.; Olmeda, E.; Boada, M. J. L.; Boada, B. L.; Díaz, V.</t>
  </si>
  <si>
    <t>Progress in Sustainable Energy Technologies Vol II: Creating Sustainable Development</t>
  </si>
  <si>
    <t>Decision Engineering</t>
  </si>
  <si>
    <t>Kredel, Heinz; Richling, Sabine; Kruse, Jan Philipp; Strohmaier, Erich; Kruse, Hans-Günther</t>
  </si>
  <si>
    <t>Supercomputing: 28th International Supercomputing Conference, ISC 2013, Leipzig, Germany, June 16-20, 2013. Proceedings</t>
  </si>
  <si>
    <t>Chang, Chia-Chin</t>
  </si>
  <si>
    <t>Proceedings of the FISITA 2012 World Automotive Congress: Volume 2: Advanced Internal Combustion Engines (II)</t>
  </si>
  <si>
    <t>Park, Hong Joon; Eslaminia, Mehran; Kim, Y. Richard</t>
  </si>
  <si>
    <t>Dias, Sofia B.; Diniz, José A.; Hadjileontiadis, Leontios J.</t>
  </si>
  <si>
    <t>Towards an Intelligent Learning Management System Under Blended Learning: Trends, Profiles and Modeling Perspectives</t>
  </si>
  <si>
    <t>Middleware 2013: ACM/IFIP/USENIX 14th International Middleware Conference, Beijing, China, December 9-13, 2013, Proceedings</t>
  </si>
  <si>
    <t>Sergio, Galván; Carlos, Rubio; Pacheco, Jesús; Gildardo, Solorio; Georgina, Carbajal</t>
  </si>
  <si>
    <t>Optimization methodology assessment for the inlet velocity profile of a hydraulic turbine draft tube: part II—performance evaluation of draft tube model</t>
  </si>
  <si>
    <t>Xia, Chaoyi; Zhong, Tieyi</t>
  </si>
  <si>
    <t>Sim, Jung-Bo; Chang, Ou Sek; Yook, Se-Jin; Kim, Young Won</t>
  </si>
  <si>
    <t>Partial similarity modeling for the performance of an axial turbine</t>
  </si>
  <si>
    <t>10.1007/s12206-024-0937-8</t>
  </si>
  <si>
    <t>Total Load Transport Model for Sand Bed Rivers</t>
  </si>
  <si>
    <t>Riverine, Estuarine and Marine Hydraulics: Proceedings of Congress of the International Association for Hydraulic Environmental Engineering and Research-Asia Pacific Division</t>
  </si>
  <si>
    <t>Nair, Deepthy S.; Mol, M. Beena</t>
  </si>
  <si>
    <t>Enhancing seismic performance prediction of RC frames using MFF-ANN model approach</t>
  </si>
  <si>
    <t>10.1007/s11042-023-16931-4</t>
  </si>
  <si>
    <t>IoT System for Elbow Angle Assessment Applied to Orthosis Device</t>
  </si>
  <si>
    <t>IX Latin American Congress on Biomedical Engineering and XXVIII Brazilian Congress on Biomedical Engineering: Proceedings of CLAIB and CBEB 2022, October 24–28, 2022, Florianópolis, Brazil—Volume 4: Clinical Engineering and Health Technologies</t>
  </si>
  <si>
    <t>Major Research Achievements</t>
  </si>
  <si>
    <t>Reports of China’s Basic Research</t>
  </si>
  <si>
    <t>The Fundamental Research for Trustworthy Software</t>
  </si>
  <si>
    <t>Shepard, Zachary; Meyer, D. M. L.; Kurtz, Kayla; Julien, Asa; Oyanedel-Craver, Vinka; Maranda, Lucie</t>
  </si>
  <si>
    <t>Testing for biofilm release as a function of simulated ship speed using a calibrated water jet device</t>
  </si>
  <si>
    <t>Journal of Coatings Technology and Research</t>
  </si>
  <si>
    <t>10.1007/s11998-024-00934-3</t>
  </si>
  <si>
    <t>AbstractBiofouling release coatings (BRCs) have received attention for their potential to limit the negative impacts of biofouling on marine shipping. The calibrated water jet (CWJ, patent # US 8,984,958 B1) can be used to study the effectiveness of BRCs as a function of ship speed. Using a balance of force and linear momentum, we examined the theory and application of the CWJ for simulating the effect of ship speed on biofilm release for surfaces fouled under (1) laboratory and (2) natural conditions. Greater fouling release corresponded with an increase in CWJ pressure and, therefore, simulated ship speed for the surfaces coated with HullKote. The effectiveness of the CWJ was further confirmed for biofilm release from glass fouled naturally by submersion in flow-through seawater. A scaling analysis confirms that the results of these small-scale experiments are applicable to larger-scale biofouling release from ship hulls. This study is the first to utilize the pressure of a CWJ to quantify biofouling release as a function of simulated ship speed.</t>
  </si>
  <si>
    <t>Abu Salem, Karim; Palaia, Giuseppe; Carini, Marco; Méheut, Michaël; Maganzi, Marco; Falcone, Carmine</t>
  </si>
  <si>
    <t>A CFD-Based Collaborative Approach for Box-Wing Aircraft Aerodynamic Assessment: The PARSIFAL Study Case</t>
  </si>
  <si>
    <t>Aerotecnica Missili &amp; Spazio</t>
  </si>
  <si>
    <t>10.1007/s42496-023-00172-7</t>
  </si>
  <si>
    <t>AbstractThis article presents a detailed aerodynamic investigation on a transport aircraft with a box-wing lifting system. The aerodynamic development of this configuration is presented through the description of the collaborative and multi-fidelity design approach that took place within PARSIFAL, an European project aiming to develop the box-wing configuration for a civil transonic aircraft. The article starts from an accurate description of the collaborative methodological framework employed and offers an overview of the development of the box-wing aerodynamics together with the highlight on its most significant characteristics and aerodynamic features identified. The design development is detailed step by step, with specific focus on the challenges faced, starting from the conceptual investigations up to the most advanced evaluations. Significant focus is given to the assessment of the aerodynamic performance in transonic flight for the box-wing lifting system, and to the design solutions provided to overcome issues related to this flight regime, such as drag rise and flow separation. In addition, the high-fidelity shape optimisation techniques employed in the advanced stage of the design process are detailed; these allow to define a final configuration with improved aerodynamic performance.</t>
  </si>
  <si>
    <t>Machine Learning-Based Automated Irrigation for Indoor: Review and a Case Study</t>
  </si>
  <si>
    <t>Advances in Communication, Devices and Networking: Proceedings of ICCDN 2022</t>
  </si>
  <si>
    <t>M&amp;S Bok Core Areas and the Big Picture</t>
  </si>
  <si>
    <t>Simulation Foundations, Methods and Applications</t>
  </si>
  <si>
    <t>Body of Knowledge for Modeling and Simulation: A Handbook by the Society for Modeling and Simulation International</t>
  </si>
  <si>
    <t>Kumar, Sanjit; Agarwal, Mayank; Deshpande, Vishal; Cooper, James R.; Khosravi, Khabat; Rathnayake, Namal; Hoshino, Yukinobu; Kantamaneni, Komali; Rathnayake, Upaka</t>
  </si>
  <si>
    <t>AI-driven predictions of geophysical river flows with vegetation</t>
  </si>
  <si>
    <t>10.1038/s41598-024-67269-2</t>
  </si>
  <si>
    <t>AbstractIn river research, forecasting flow velocity accurately in vegetated channels is a significant challenge. The forecasting performance of various independent and hybrid machine learning (ML) models are thus quantified for the first time in this work. Utilizing flow velocity measurements in both natural and laboratory flume experiments, we assess the efficacy of four distinct standalone machine learning techniques—Kstar, M5P, reduced error pruning tree (REPT) and random forest (RF) models. In addition, we also test for eight types of hybrid ML algorithms trained with an Additive Regression (AR) and Bagging (BA) (AR-Kstar, AR-M5P, AR-REPT, AR-RF, BA-Kstar, BA-M5P, BA-REPT and BA-RF). Findings from a comparison of their predictive capabilities, along with a sensitivity analysis of the influencing factors, indicated: (1) Vegetation height emerged as the most sensitive parameter for determining the flow velocity; (2) all ML models displayed outperforming empirical equations; (3) nearly all ML algorithms worked optimal when the model was built using all of the input parameters. Overall, the findings showed that hybrid ML algorithms outperform regular ML algorithms and empirical equations at forecasting flow velocity. AR-M5P (R2 = 0.954, R = 0.977, NSE = 0.954, MAE = 0.042, MSE = 0.003, and PBias = 1.466) turned out to be the optimal model for forecasting of flow velocity in vegetated-rivers.</t>
  </si>
  <si>
    <t>Saha, Subhankar; Maity, Saikat Ranjan; Dey, Sudip</t>
  </si>
  <si>
    <t>Prediction of WEDM Performances Using Clustering Techniques in ANFIS During Machining of A286 Superalloy</t>
  </si>
  <si>
    <t>Journal of The Institution of Engineers (India): Series C</t>
  </si>
  <si>
    <t>10.1007/s40032-023-00922-3</t>
  </si>
  <si>
    <t>Deshpande, Yogesh V.; Ayer, S.; Agrawal, T.; Agrawal, V.; Madankar, T. A.; Barve, P. S.</t>
  </si>
  <si>
    <t>Application of Smart Strategies for Sustainable Manufacturing of Conventional Machining Process: A Review</t>
  </si>
  <si>
    <t>10.1007/s40032-023-00995-0</t>
  </si>
  <si>
    <t>Wu, Jia-hao; Zhen, Xing-wei; Liu, Gang; Huang, Yi</t>
  </si>
  <si>
    <t>Ismail, Kamal A. R.; Lino, Fatima A. M.; De Almeida, Odenir; Teggar, Mohamed; Scalon, Vicente Luiz; Okita, Willian M.</t>
  </si>
  <si>
    <t>Review on Small Horizontal-Axis Wind Turbines</t>
  </si>
  <si>
    <t>Arabian Journal for Science and Engineering</t>
  </si>
  <si>
    <t>10.1007/s13369-023-08314-6</t>
  </si>
  <si>
    <t>Dambietz, Florian M.</t>
  </si>
  <si>
    <t>Asdaghi, Hoda; Fayaz, Rima</t>
  </si>
  <si>
    <t>Optimal Specifications of a Trombe Wall in Low-Rise Residential Buildings of Mashhad</t>
  </si>
  <si>
    <t>Applied Solar Energy</t>
  </si>
  <si>
    <t>10.3103/s0003701x2260117x</t>
  </si>
  <si>
    <t>Gnanamalar, A. Jasmine; Bhavani, R.; Arulini, A. Sheryl; Veerraju, M. Sai</t>
  </si>
  <si>
    <t>CNN–SVM Based Fault Detection, Classification and Location of Multi-terminal VSC–HVDC System</t>
  </si>
  <si>
    <t>10.1007/s42835-023-01391-5</t>
  </si>
  <si>
    <t>Dasore, Abhishek; Konijeti, Ramakrishna; Prakash, B. Om; Yelamasetti, Balram</t>
  </si>
  <si>
    <t>Numerical and empirical simulation of fluid flow in a spiral plate heat exchanger with Nusselt number correlation development</t>
  </si>
  <si>
    <t>10.1007/s12008-023-01454-x</t>
  </si>
  <si>
    <t>Song, Junkang; Wang, Wanjiang; Ni, Pingan; Zheng, Hanjie; Zhang, Zihan; Zhou, Yihuan</t>
  </si>
  <si>
    <t>Framework on low-carbon retrofit of rural residential buildings in arid areas of northwest China: A case study of Turpan residential buildings</t>
  </si>
  <si>
    <t>10.1007/s12273-022-0941-9</t>
  </si>
  <si>
    <t>Lai, Hao Bin Jack; Karim, Shahrim</t>
  </si>
  <si>
    <t>Do-it-yourself menu management and pricing</t>
  </si>
  <si>
    <t>Journal of Revenue and Pricing Management</t>
  </si>
  <si>
    <t>10.1057/s41272-023-00419-9</t>
  </si>
  <si>
    <t>O’Hara, John; Fang, Feng-Zhou</t>
  </si>
  <si>
    <t>Design and fabrication of an aluminium oxide cutting insert with an internal cooling channel</t>
  </si>
  <si>
    <t>Advances in Manufacturing</t>
  </si>
  <si>
    <t>10.1007/s40436-024-00483-3</t>
  </si>
  <si>
    <t>AbstractThis paper presents the design and fabrication of an aluminium oxide cutting insert with an internal cooling channel formed through an additive manufacturing method. The formed insert is subjected to a controlled densification process and analysed through a series of characterisation investigations. The purpose of the study is to develop the design concept and analyse the forming and sintering parameters used in the lithographic ceramic manufacturing process. The results validated the feasibility of the geometrical design, providing the required structural conformity with the integrated internal feature using conditional specifications. It is confirmed that the forming parameters would affect the material properties of the green body. Furthermore, the results indicate that the heating rate and temperature variance of the de-binding and thermal treatment regime influences the microstructural growth kinetics and the quality of the densified insert. Using a novel application of liquid gallium as an internal coolant, experimental results showed a decrease in tool wear difference of 36% at $$V_{{\text{c}}}$$                                      V                    c                                   = 250 m/min, and 31% in tool wear difference at $$V_{{\text{c}}}$$                                      V                    c                                   = 900 m/min between cooling and non-cooling conditions. When external cooling was applied, the results showed at $$V_{{\text{c}}}$$                                      V                    c                                   = 250 m/min, the difference between the tool wear rates with the internal coolant relative to the external coolant was 29%. Increasing to $$V_{{\text{c}}}$$                                      V                    c                                   = 900 m/min, the results revealed a 16% tool wear difference. The results clearly indicate the potential of liquid gallium as a heat transfer agent in internal cooling applications for cutting inserts, and by extension demonstrable reduction in tool wear.</t>
  </si>
  <si>
    <t>Abid, Abyaz; Azad, A. K.; Bhuiyan, Arafat A.</t>
  </si>
  <si>
    <t>Enhancing radiative efficiency in MHD micropumps using plasma-infused hybrid bioconvective nanofluids for advanced radiative oncology at tertiary level</t>
  </si>
  <si>
    <t>10.1038/s41598-023-45513-5</t>
  </si>
  <si>
    <t>AbstractThis research paper investigates the optimization of radiation performance of a plasma-based bioconvective nanofluid integrated Magneto-hydrodynamic (MHD) micropump for radiative oncology. It addresses a literature gap by analysing the radiative impact of blood-based hybrid nanofluids in MHD micropumps. Three blood-based bio-convective radiating hybrid nanofluids—blood—Pt, blood—Au and blood—MWCNT are studied to understand their radiation behaviour in MHD pump while being employed as transportation medium. The investigation employs two non-dimensional parameters, namely Rd (Radiation number) and Ha (Hartmann number), to examine the fluid dynamics, magnetic characteristics, and electrical properties of the MHD micropump. The temperature gradient, velocity distribution, and pressure drop along the flow channel are examined within the specified range of Rd and Ha. Magnetic flux density (MFD) and electric flux intensity (EFI) are evaluated to understand nanoparticle behaviour during drug delivery and blood transportation. Findings highlight that MWCNT and Pt are the most efficient bioconvective nanoparticles for plasma transportation under high radiative conditions. MWCNT-based blood flow exhibits desirable characteristics, including sufficient intake pressure of 4.5 kPa and minimal relative pressure drop of 34%. Coherence between radiation flux and electromagnetic flux reduces pumping power and ensures uniform heat dissipation for improved drug delivery. Au nanoparticles provide moderate magnetic flux density with least fluctuation within the range of Ha and Rd number (2.57 T to 4.39 T), even in highly radiative environments (such as—Rd = 4, Rd = 5), making them suitable for applications like embedded chemotherapy or cell treatment. Au nanoparticles maintain moderate electrical flux intensity with a minimal drop of 16nA, particularly at higher radiative environments influenced by the Radiation number (Rd = 4 to Rd = 5) while Ha values from Ha = 2 to Ha = 4. Conclusively, it has been identified that MWCNT and Au are superior nanofluids for advanced radiative oncological treatments. These nanofluids have the potential to enhance plasma transportation, thermal regulation, and aetilogical disease management. The present study provides significant findings on enhancing the radiation performance in MHD micropumps through utilization of blood-based hybrid nanofluids, thereby offering potential advantages to the domain of biomedical engineering.</t>
  </si>
  <si>
    <t>Debnath, Anupam; Das, Aabir; Roy, Bidesh</t>
  </si>
  <si>
    <t>Performance Improvement of DLR Scramjet Combustor Using Modified Strut Injector</t>
  </si>
  <si>
    <t>10.1007/s13369-024-09013-6</t>
  </si>
  <si>
    <t>CARS 2022—Computer Assisted Radiology and Surgery Proceedings of the 36th International Congress and Exhibition Tokyo, Japan, June 7–11, 2022</t>
  </si>
  <si>
    <t>Gu, Long; Su, Xingkang</t>
  </si>
  <si>
    <t>Painuly, Madhusudan; Singh, Ravi Pratap; Trehan, Rajeev</t>
  </si>
  <si>
    <t>Electrochemical machining and allied processes: a comprehensive review</t>
  </si>
  <si>
    <t>Journal of Solid State Electrochemistry</t>
  </si>
  <si>
    <t>10.1007/s10008-023-05610-x</t>
  </si>
  <si>
    <t>Wen, Yadong; Chen, Yan; Cui, Jingshuang</t>
  </si>
  <si>
    <t>Global Knowledge Flows: Impact of Pay Reference Points in a Knowledge-Driven Economy</t>
  </si>
  <si>
    <t>Journal of the Knowledge Economy</t>
  </si>
  <si>
    <t>10.1007/s13132-024-01853-9</t>
  </si>
  <si>
    <t>Cold Inflow-Free Solar Chimney: Design and Applications</t>
  </si>
  <si>
    <t>Song, Yukuan; Lei, Zhijun; Lu, Xin-Gen; Xu, Gang; Zhu, Junqiang</t>
  </si>
  <si>
    <t>Optimization of a Lobed Mixer with BP Neural Network and Genetic Algorithm</t>
  </si>
  <si>
    <t>10.1007/s11630-022-1766-7</t>
  </si>
  <si>
    <t>Singh, Deepak; Friis, Helmer André; Jettestuen, Espen; Helland, Johan Olav</t>
  </si>
  <si>
    <t>Adaptive mesh refinement in locally conservative level set methods for multiphase fluid displacements in porous media</t>
  </si>
  <si>
    <t>Computational Geosciences</t>
  </si>
  <si>
    <t>10.1007/s10596-023-10219-0</t>
  </si>
  <si>
    <t>AbstractMultiphase flow in porous media often occurs with the formation and coalescence of fluid ganglia. Accurate predictions of such mechanisms in complex pore geometries require simulation models with local mass conservation and with the option to improve resolution in areas of interest. In this work, we incorporate patch-based, structured adaptive mesh refinement capabilities into a method for local volume conservation that describes the behaviour of disconnected fluid ganglia during level set simulations of capillary-controlled displacement in porous media. We validate the model against analytical solutions for three-phase fluid configurations in idealized pores containing gas, oil, and water, by modelling the intermediate-wet oil layers as separate domains with their volumes preserved. Both the pressures and volumes of disconnected ganglia converge to analytical values with increased refinement levels of the adaptive mesh. Favourable results from strong and weak scaling tests emphasize that the number of patches per processor and the total number of patches are important parameters for efficient parallel simulations with adaptive mesh refinement. Simulations of two-phase imbibition and three-phase gas invasion on segmented 3D images of water-wet sandstone show that adaptive mesh refinement has the highest impact on three-phase displacements, especially concerning the behaviour of the conserved, intermediate-wet phase.</t>
  </si>
  <si>
    <t>Fang, Kai; Li, Nian; Li, Peng; Qian, Zhenghua; Kolesov, V.; Kuznetsova, I.</t>
  </si>
  <si>
    <t>AbstractIn this paper, we propose a specific two-layer model consisting of a functionally graded (FG) layer and a piezoelectric semiconductor (PS) layer. Based on the macroscopic theory of PS materials, the effects brought about by the attached FG layer on the piezotronic behaviors of homogeneous n-type PS fibers and PN junctions are investigated. The semi-analytical solutions of the electromechanical fields are obtained by expanding the displacement and carrier concentration variation into power series. Results show that the antisymmetry of the potential and electron concentration distributions in homogeneous n-type PS fibers is destroyed due to the material inhomogeneity of the attached FG layer. In addition, by creating jump discontinuities in the material properties of the FG layer, potential barriers/wells can be produced in the middle of the fiber. Similarly, the potential barrier configuration near the interface of a homogeneous PS PN junction can also be manipulated in this way, which offers a new choice for the design of PN junction based devices.</t>
  </si>
  <si>
    <t>Manavalan, R.; Priya, S.</t>
  </si>
  <si>
    <t>Daneshmand, Morteza; Noroozi, Fatemeh; Corneanu, Ciprian; Mafakheri, Fereshteh; Fiorini, Paolo</t>
  </si>
  <si>
    <t>Industry 4.0 and prospects of circular economy: a survey of robotic assembly and disassembly</t>
  </si>
  <si>
    <t>10.1007/s00170-021-08389-1</t>
  </si>
  <si>
    <t>Lei, Fan; Ju, Yaping; Zhang, Chuhua</t>
  </si>
  <si>
    <t>Wang, Cong; Cao, Fuguo; Yang, Jing</t>
  </si>
  <si>
    <t>Naveenkumar, Rasaiah; Ravichandran, Manickam; Stalin, Balasubramaniam; Ghosh, Aritra; Karthick, Alagar; Aswin, Lawrence Sundar Raj Leo; Priyanka, Swaminathan Shanmugasundaram Harini; Kumar, Shanmugavelan Pradeep; Kumar, Sundramurthy Kiran</t>
  </si>
  <si>
    <t>Li, Xiaojuan; Liu, Yishu; Li, Mengmeng; Jim, Chi Yung</t>
  </si>
  <si>
    <t>A Performance Evaluation System for PPP Sewage Treatment Plants at the Operation-maintenance Stage</t>
  </si>
  <si>
    <t>10.1007/s12205-023-1729-x</t>
  </si>
  <si>
    <t>Entry, Descent, and Landing Systems</t>
  </si>
  <si>
    <t>Springer Aerospace Technology</t>
  </si>
  <si>
    <t>Mooij, Erwin</t>
  </si>
  <si>
    <t>Re-entry Systems</t>
  </si>
  <si>
    <t>Almeida, Aleska Kaufmann; De Almeida, Isabel Kaufmann; Guarienti, José Antonio; Gabas, Sandra Garcia</t>
  </si>
  <si>
    <t>Ma, Guozheng; Chen, Shuying; Wang, Haidou</t>
  </si>
  <si>
    <t>Sources</t>
  </si>
  <si>
    <t>Lang, Lei; Liu, Zhijie; Liu, Yishu; Qin, Jiang; Zhang, Xiaobin; Huang, Hongyan</t>
  </si>
  <si>
    <t>Performance Analysis of a Compact Offset Strip Fin Heat Exchanger for Lubrication System in Aero Engine</t>
  </si>
  <si>
    <t>10.1115/1.4065357</t>
  </si>
  <si>
    <t>As a typical fuel-oil heat exchanger, an offset strip fin heat exchanger (OSFHX) can ensure the efficient and stable operation of the aero engine lubrication system. The paper establishes 20 kinds of numerical models of OSFHX that are verified by experiments. The effects of different structural parameters on the performance of lubricating oil in OSFHX were systematically studied. Based on dimensional analysis, the prediction model which can describe the overall performance of the OSFHX is obtained. The results show that with the decrease of fin distance (s), fin length (l), fin height (h), fin thickness (t), and fin shape angle (α), the heat transfer performance of the OSFHX is enhanced and the resistance is increased. With the decrease of s and h, and the increase of t and α, the comprehensive performance of the OSFHX is enhanced. The OSFHX exhibits the optimal performance when l = 4 mm. α has the most significant effect on the comprehensive performance of the OSFHX, successively followed by h, s, t, and l. The average error of Colburn factor (j) and friction factor (f) prediction models is 4.09% and 5.31%, respectively, which can realize the theoretical calculation of the performance of the OSFHX for aviation.</t>
  </si>
  <si>
    <t>Osorio, Julian D.; Sensoy, Tugba; Rivera-Alvarez, Alejandro; Patiño-Jaramillo, Gustavo A.; Ordonez, Juan C.</t>
  </si>
  <si>
    <t>Influence of Correlations on the Thermal Performance Modeling of Parabolic Trough Collectors</t>
  </si>
  <si>
    <t>10.1115/1.4062170</t>
  </si>
  <si>
    <t>The influence of correlations on the thermal performance modeling of parabolic trough collectors was analyzed in this work. A versatile model for a parabolic trough collector was developed that allows one- and two-dimensional analysis and enables the use of correlations to calculate thermophysical properties and convection heat transfer coefficients. The model also allows the use of constant values for properties and/or coefficients obtained from the evaluation correlations at a specific temperature. The effect of each correlation was evaluated independently, and the results were compared with a reference case that considered a two-dimensional approach and used all the correlations. For the analyzed cases, the correlation for the absorber emittance has the strongest impact on the collector efficiency, leading to a lower error when used. Based on the results, a one-dimensional model approach considering a correlation for the absorber emittance leads to efficiency errors below 3% for collector lengths of up to 243.6 m. Compared with the reference case, a one-dimensional approach using all correlations for a collector with a length of 500 m, and operating with an inlet temperature of 773 K, can result in errors around 9%. However, using constant values for properties and heat transfer coefficients could lead to errors of up to 50%. Multiple thermal models for parabolic trough collectors proposed in the literature rely on a one-dimensional approach, estimated values for the heat transfer coefficients, and constant thermophysical properties. The errors associated with those approaches are analyzed and quantified in this work as a function of the collector length and operation temperature.</t>
  </si>
  <si>
    <t>Rizzuto, Francesco; Corney, Jonatan; Dempster, William; Tijsseling, Arris</t>
  </si>
  <si>
    <t>An Improved Positive Displacement Pump Model Accounting for Suction Cavitation</t>
  </si>
  <si>
    <t>10.1115/1.4065564</t>
  </si>
  <si>
    <t>Positive displacement (PD) pumps are widely employed in industrial settings due to their inherent simplicity and reliability, serving a variety of applications from slurry transport to jet washing. Although their operational principles are straightforward, the fluid dynamics of the pumped medium exhibit nontrivial characteristics, including intricate transient phenomena. Consequently, a comprehensive fluid dynamic description, such as a three-dimensional fluid analysis, presents challenges due to its demanding computational requirements. While simpler analytical PD pump models are available, they often fail to adequately represent the primary system behaviors, particularly when dealing with cavitation. Motivated by these challenges, this study aims to develop a novel one-dimensional model for PD pumps, offering a representation of essential fluid phenomena without imposing significant computational burdens. After assessing the relative importance of the fluid dynamic behaviors that the model must capture, we construct a pump model based on a one-dimensional fluid description and solve it using a second-order in time and space monotone upwind scheme for conservative law and total variation diminishing (MUSCL-TVD) scheme. The model's validity is confirmed by its application to both single-chamber and three-chamber diaphragm PD pumps, which are instrumented for experimental validation. The results of the one-dimensional model exhibit strong agreement with physical experiments, both in controlled laboratory environments and field conditions. This success suggests a promising approach for industrial applications.</t>
  </si>
  <si>
    <t>Liu, Hao; Li, Guoqing; Li, Ang; Zhang, Shen; Li, Hui; Lu, Xingen</t>
  </si>
  <si>
    <t>Effects of High Rotational Speed on Leakage and Windage Heating of Staggered Labyrinth Seals With Smooth and Honeycomb Lands</t>
  </si>
  <si>
    <t>10.1115/1.4062480</t>
  </si>
  <si>
    <t>Being an important component of aero-engines, the labyrinth seal has always been the focus of research for leakage characteristics. Rotation is usually neglected or taken for minimal effect on seal leakage in previous studies. However, the effect of high rotational speed is inevitable to understand the leakage characteristics of labyrinth seal accurately. Meanwhile, due to high rotational speed, viscous heat is generated massively to result in the rapid temperature rise of leakage flow. Also, the influence of rotational speed on windage heating inside the seal clearance has not been indicated completely. Therefore, the leakage and windage heating of staggered labyrinth seals with smooth and honeycomb lands were experimentally and numerically studied. The large-scale and multifunctional sealing test rig were employed to carry out the experiments with rotational speed 12,000 rpm and pressure ratio range 1.1–2.2. The simulation data obtained by three-dimensional computational fluid dynamics methodology show great agreement with experimental results. Notably, the leakage coefficient is not monotonically decreasing with increased rotational speed, but exists a maximum peak at RPM = 8000. The variation of axial kinetic energy in seal clearance entrances provides a clear explanation of the phenomenon. Rotational speed plays an important role in windage heating, and honeycomb cell size is of secondary importance. Based on simulation data, the calculating formula of windage heating is fitted and shows great performance. This study can provide theory and data support for the follow-up structural optimum design of the labyrinth seal.</t>
  </si>
  <si>
    <t>Miranda, Cairen; Palmore, John</t>
  </si>
  <si>
    <t>Importance of Preferential Segregation by Aerodynamics in Dust Rig Tests</t>
  </si>
  <si>
    <t>10.1115/1.4062716</t>
  </si>
  <si>
    <t>This work studies a particle injection rig to understand how its design affects particle impingement and rebound from a target plate. The motivation behind this study is to understand how dust ingestion affects aviation gas-turbine engines. The particles are injected into a constant area duct upstream of the plate, and they exit through a converging nozzle. The major result concerns how particles respond differently to changes in the flow field based on their diameter. Near the plate, small particles follow the flow streamlines which causes them to both significantly slow down and to disperse in all directions. However, large particles move ballistically, so they impact the plate with nearly the same velocity and orientation they had at the duct exit. Reynolds-averaged Navier–Stokes (RANS) simulations are compared to large eddy simulation (LES). While RANS are capable of predicting mean particle impact statistics, they display narrower statistical variation than LES, suggesting that particle dispersion is underpredicted in RANS.</t>
  </si>
  <si>
    <t>IEEE Access</t>
  </si>
  <si>
    <t>M. V. O. De Assis; M. P. Novaes; C. B. Zerbini; L. F. Carvalho; T. Abrãao; M. L. Proença</t>
  </si>
  <si>
    <t>M. V. O. De Assis; A. H. Hamamoto; T. Abrão; M. L. Proença</t>
  </si>
  <si>
    <t>IEEE Journal of Selected Topics in Signal Processing</t>
  </si>
  <si>
    <t>2020 IEEE Intl Conf on Parallel &amp; Distributed Processing with Applications, Big Data &amp; Cloud Computing, Sustainable Computing &amp; Communications, Social Computing &amp; Networking (ISPA/BDCloud/SocialCom/SustainCom)</t>
  </si>
  <si>
    <t>2018 4th International Conference on Computing Communication and Automation (ICCCA)</t>
  </si>
  <si>
    <t>2018 IEEE International Conference on Mechatronics and Automation (ICMA)</t>
  </si>
  <si>
    <t>IEEE Transactions on Power Delivery</t>
  </si>
  <si>
    <t>2020 International Conference on Unmanned Aircraft Systems (ICUAS)</t>
  </si>
  <si>
    <t>B. Van Herbruggen; J. V. -V. Gerwen; S. Luchie; Y. Durodié; B. Vanderborght; M. Aernouts; A. Munteanu; J. Fontaine; E. D. Poorter</t>
  </si>
  <si>
    <t>Selecting and Combining UWB Localization Algorithms: Insights and Recommendations From a Multi-Metric Benchmark</t>
  </si>
  <si>
    <t>10.1109/ACCESS.2024.3358274</t>
  </si>
  <si>
    <t>Ultra-wideband (UWB) localization has emerged in GPS-denied environments as a crucial facilitator for diverse industries, including logistics, healthcare applications, and societal domains. Despite notable progress, UWB algorithms from the scientific literature are often evaluated in isolation in very specific conditions and hence difficult to compare. This paper introduces a novel benchmark platform designed to assess the performance of 11 prominent UWB accuracy-enhancing algorithms, both independently and in combination. A key feature of the platform is its incorporation of multiple diverse evaluation metrics, including mean average error, latency, and spatial error. We showcase the significance of adopting alternative metrics such as spatial error, which often, depending on the use case, offers greater relevance than the prevalently used mean average error. Furthermore, we show that “more is better” does not hold true when combining multiple accuracy-improving algorithms for UWB systems: combining multiple accuracy-improving algorithms reveals instances of diminishing returns and can even result in overall performance decline. Additionally, we caution against blind reliance on accuracy outcomes reported in the scientific literature when designing UWB systems for use cases that are different in terms of requirements or environment. Finally, we also provide algorithmic recommendations for distinct surroundings, exemplary applications, and usage contexts, assisting in driving efficient design in future UWB research and adoption.</t>
  </si>
  <si>
    <t>S. Özyurt; A. F. Coşkun; S. Büyükçorak; G. Karabulut Kurt; O. Kucur</t>
  </si>
  <si>
    <t>S. M. Alqhtani; T. A. Soomro; A. Ali Shah; A. Aziz Memon; M. Irfan; S. Rahman; M. Jalalah; A. H. M. Almawgani; L. A. Bade Eljak</t>
  </si>
  <si>
    <t>Improved Brain Tumor Segmentation and Classification in Brain MRI With FCM-SVM: A Diagnostic Approach</t>
  </si>
  <si>
    <t>10.1109/ACCESS.2024.3394541</t>
  </si>
  <si>
    <t>Cancer associated with the nervous system and brain tumors ranks among the leading causes of death in various countries. Magnetic resonance imaging (MRI) and computed tomography (CT) capture brain images. MRI is pivotal in diagnosing brain tumors and analyzing other brain disorders. Typically, radiologists or experts manually assess MRI images to detect brain tumors and abnormalities in the early stages for appropriate treatment. However, early brain tumor diagnosis is complex, necessitating computerized methods. This research introduces a novel approach for the automated segmentation of brain tumors and a framework for classifying brain tumor regions. The proposed methods comprise several stages: preprocessing, enhancing the coherence of MRI brain images using Contrast Limited Adaptive Histogram Equalization (CLAHE) and diffusion filtering in the first two steps, followed by the segmentation of the region of interest using the Fuzzy C-Means (FCM) clustering technique in the third step. The last step involves classification using the Support Vector Machine (SVM) classifier. The classifier is applied to different brain tumor types, from meningioma to pituitary tumors, utilizing the CE-MRI database. The proposed method exhibits significantly improved contrast and proves the effectiveness of the classification framework, achieving an average sensitivity of 0.977, specificity of 0.979, accuracy of 0.982, and a Dice score (DSC) of 0.961. Furthermore, this method demonstrates a shorter processing time of 0.42 seconds compared to existing approaches. The performance of this method underscores its significance when compared to state-of-the-art methods in terms of sensitivity, specificity, accuracy, and DSC. For future enhancements, it is possible to standardize the approach by incorporating a set of classifiers to increase the robustness of the brain classification method.</t>
  </si>
  <si>
    <t>T. J. Lucas; I. S. de Figueiredo; C. A. C. Tojeiro; A. M. G. de Almeida; R. Scherer; J. R. F. Brega; J. P. Papa; K. A. P. da Costa</t>
  </si>
  <si>
    <t>A Comprehensive Survey on Ensemble Learning-Based Intrusion Detection Approaches in Computer Networks</t>
  </si>
  <si>
    <t>10.1109/ACCESS.2023.3328535</t>
  </si>
  <si>
    <t>Machine learning algorithms present a robust alternative for building Intrusion Detection Systems due to their ability to recognize attacks in computer network traffic by recognizing patterns in large amounts of data. Typically, classifiers are trained for this task. Together, ensemble learning algorithms have increased the performance of these detectors, reducing classification errors and allowing computer networks to be more protected. This research presents a comprehensive Systematic Review of the Literature where works related to intrusion detection with ensemble learning were obtained from the most relevant scientific bases. We offer 188 works, several compilations of datasets, classifiers, and ensemble algorithms, and document the experiments that stood out in their performance. A characteristic of this research is its originality. We found two surveys in the literature specifically focusing on the relationship between ensemble techniques and intrusion detection. We present for the last eight years covered by this survey a timeline-based view of the works studied to highlight evolutions and trends. The results obtained by our survey show a growing area, with excellent results in detecting attacks but with needs for improvement in pruning for choosing classifiers, which makes this work unprecedented for this context.</t>
  </si>
  <si>
    <t>2022 International Research Conference on Smart Computing and Systems Engineering (SCSE)</t>
  </si>
  <si>
    <t>ICCE-Taiwan 2023 Conference Proceedings</t>
  </si>
  <si>
    <t>2023 International Conference on Consumer Electronics - Taiwan (ICCE-Taiwan)</t>
  </si>
  <si>
    <t>10.1109/ICCE-Taiwan58799.2023.10226807</t>
  </si>
  <si>
    <t>Table of Content</t>
  </si>
  <si>
    <t>2024 International Conference on Communication, Computer Sciences and Engineering (IC3SE)</t>
  </si>
  <si>
    <t>10.1109/IC3SE62002.2024.10592915</t>
  </si>
  <si>
    <t>ICCPCT 2024 TOC</t>
  </si>
  <si>
    <t>2024 7th International Conference on Circuit Power and Computing Technologies (ICCPCT)</t>
  </si>
  <si>
    <t>10.1109/ICCPCT61902.2024.10673098</t>
  </si>
  <si>
    <t>APWC 2024 Final Program</t>
  </si>
  <si>
    <t>2024 IEEE-APS Topical Conference on Antennas and Propagation in Wireless Communications (APWC)</t>
  </si>
  <si>
    <t>10.1109/APWC61918.2024.10701920</t>
  </si>
  <si>
    <t>Papers by Title</t>
  </si>
  <si>
    <t>2024 11th International Conference on Electrical Engineering, Computer Science and Informatics (EECSI)</t>
  </si>
  <si>
    <t>10.1109/EECSI63442.2024.10776256</t>
  </si>
  <si>
    <t>Technical Program</t>
  </si>
  <si>
    <t>2024 IEEE 22nd International Conference on Industrial Informatics (INDIN)</t>
  </si>
  <si>
    <t>10.1109/INDIN58382.2024.10774326</t>
  </si>
  <si>
    <t>Consolidated Review Comments</t>
  </si>
  <si>
    <t>2023 International Conference on Recent Trends in Electronics and Communication (ICRTEC)</t>
  </si>
  <si>
    <t>10.1109/ICRTEC56977.2023.10111922</t>
  </si>
  <si>
    <t>Consolidated review comments.</t>
  </si>
  <si>
    <t>Author Index</t>
  </si>
  <si>
    <t>10.1109/EECSI63442.2024.10776204</t>
  </si>
  <si>
    <t>CCWC 2024 Cover Page</t>
  </si>
  <si>
    <t>2024 IEEE 14th Annual Computing and Communication Workshop and Conference (CCWC)</t>
  </si>
  <si>
    <t>10.1109/CCWC60891.2024.10427915</t>
  </si>
  <si>
    <t>10.1109/EECSI63442.2024.10776290</t>
  </si>
  <si>
    <t>ICEAA 2024 Final Program</t>
  </si>
  <si>
    <t>2024 International Conference on Electromagnetics in Advanced Applications (ICEAA)</t>
  </si>
  <si>
    <t>10.1109/ICEAA61917.2024.10701991</t>
  </si>
  <si>
    <t>Technical Paper Table of Contents</t>
  </si>
  <si>
    <t>ICASSP 2023 - 2023 IEEE International Conference on Acoustics, Speech and Signal Processing (ICASSP)</t>
  </si>
  <si>
    <t>10.1109/ICASSP49357.2023.10096024</t>
  </si>
  <si>
    <t>NOMS 2024 Cover Page</t>
  </si>
  <si>
    <t>NOMS 2024-2024 IEEE Network Operations and Management Symposium</t>
  </si>
  <si>
    <t>10.1109/NOMS59830.2024.10575665</t>
  </si>
  <si>
    <t>2022 China International Conference on Electricity Distribution (CICED)</t>
  </si>
  <si>
    <t>International Journal of Thermal Sciences</t>
  </si>
  <si>
    <t>Journal of Cleaner Production</t>
  </si>
  <si>
    <t>Journal of Building Engineering</t>
  </si>
  <si>
    <t>Mechanical Systems and Signal Processing</t>
  </si>
  <si>
    <t>Applied Thermal Engineering</t>
  </si>
  <si>
    <t>Applied Ocean Research</t>
  </si>
  <si>
    <t>Applied Energy</t>
  </si>
  <si>
    <t>International Journal of Hydrogen Energy</t>
  </si>
  <si>
    <t>Applied Soft Computing</t>
  </si>
  <si>
    <t>Energy Conversion and Management</t>
  </si>
  <si>
    <t>Thermal Science and Engineering Progress</t>
  </si>
  <si>
    <t>Aerospace Science and Technology</t>
  </si>
  <si>
    <t>Journal of Petroleum Science and Engineering</t>
  </si>
  <si>
    <t>International Journal of Mechanical Sciences</t>
  </si>
  <si>
    <t>Materials Science and Engineering: C</t>
  </si>
  <si>
    <t>Solar Energy</t>
  </si>
  <si>
    <t>Progress in Aerospace Sciences</t>
  </si>
  <si>
    <t>Tribology International</t>
  </si>
  <si>
    <t>Communications in Nonlinear Science and Numerical Simulation</t>
  </si>
  <si>
    <t>Fuel</t>
  </si>
  <si>
    <t>Process Safety and Environmental Protection</t>
  </si>
  <si>
    <t>Energy</t>
  </si>
  <si>
    <t>Thin-Walled Structures</t>
  </si>
  <si>
    <t>Ocean Engineering</t>
  </si>
  <si>
    <t>Structures</t>
  </si>
  <si>
    <t>Engineering Structures</t>
  </si>
  <si>
    <t>Engineering Fracture Mechanics</t>
  </si>
  <si>
    <t>Renewable Energy</t>
  </si>
  <si>
    <t>Journal of Environmental Chemical Engineering</t>
  </si>
  <si>
    <t>Chemical Engineering Research and Design</t>
  </si>
  <si>
    <t>Advances in Water Resources</t>
  </si>
  <si>
    <t>Computers and Electronics in Agriculture</t>
  </si>
  <si>
    <t>Journal of Terramechanics</t>
  </si>
  <si>
    <t>Information Sciences</t>
  </si>
  <si>
    <t>Chemical Engineering Journal</t>
  </si>
  <si>
    <t>Annals of Nuclear Energy</t>
  </si>
  <si>
    <t>International Journal of Refrigeration</t>
  </si>
  <si>
    <t>Nuclear Engineering and Design</t>
  </si>
  <si>
    <t>Chemical Engineering Science</t>
  </si>
  <si>
    <t>Renewable and Sustainable Energy Reviews</t>
  </si>
  <si>
    <t>International Communications in Heat and Mass Transfer</t>
  </si>
  <si>
    <t>Tunnelling and Underground Space Technology</t>
  </si>
  <si>
    <t>Computer Methods in Applied Mechanics and Engineering</t>
  </si>
  <si>
    <t>Sustainable Energy Technologies and Assessments</t>
  </si>
  <si>
    <t>Construction and Building Materials</t>
  </si>
  <si>
    <t>Water Research</t>
  </si>
  <si>
    <t>Safety Science</t>
  </si>
  <si>
    <t>Aviation safety is an important part of safety science and pilot behavior is a major factor in flight safety analysis. However, when analyzing unsafe events, such as runway overrun, majority of studies do not quantify the impact of pilot behavior on flight safety. The aim of this paper is to discover the pilot behavioral characteristics from actual flight data and apply them to construct a takeoff runway overrun risk assessment model. Concretely, the time series clustering is used to mine the pilot behavioral characteristics based on pilot operating data. Then, the similarity theory is introduced to construct a data-based man–machine-environment system expression including pilot behavioral characteristics to get the takeoff distance for the runway overrun risk assessment. The results of case study showed that 3 types of pilot behavioral characteristics were found in selected fleet, which mainly differ in the pilot reaction time after VR and operation input speed of the control column, and RO is more likely to happen under the combined influence of longer reaction time and slower operation input speed. The proposed method makes full use of real flight data from airlines under different conditions incorporating pilot behavior characteristics and can inform risk analysis of other unsafe events such as hard landing, tail strike, etc.</t>
  </si>
  <si>
    <t>10.1016/j.ssci.2022.105992</t>
  </si>
  <si>
    <t>Takeoff runway overrun risk assessment in aviation safety based on human pilot behavioral characteristics from real flight data</t>
  </si>
  <si>
    <t>Li, Chongfeng; Sun, Ruishan; Pan, Xing</t>
  </si>
  <si>
    <t>Building and Environment</t>
  </si>
  <si>
    <t>Journal of Membrane Science</t>
  </si>
  <si>
    <t>The substantial advancements and availability of new cost-effective materials have drawn significant attention to the anion-exchange membrane fuel cell (AEMFC) technology. The anion exchange membrane (AEM) is a core component in AEMFCs, essential for conducting hydroxide ions and controlling water transport between the fuel cell electrodes. In this study, we apply a numerical model to investigate the relationship and sensitivity of AEMFC performance and its stability to key AEM properties. Our findings show that membrane maximum hydration level (λmax) has the most significant impact on AEMFC lifetime, followed by membrane ion-exchange capacity, water diffusivity, and membrane thickness. We also demonstrate the significance of improving the stability of the functional group to AEMFC lifetime, while AEM hydroxide conductivity shows a negligible effect on AEMFC lifetime. Finally, we provide a simple algebraic functional relationship between key dimensionless parameters as well as a machine learning-based analysis of the relationship between AEM parameters and AEMFC lifetime. Through these analyses, we calculate the lifetime of selected membranes from the literature and compare them to the measured operation time. This study summarizes and highlights important AEM property targets suggested to improve AEM design to boost the performance stability of AEMFCs.</t>
  </si>
  <si>
    <t>10.1016/j.memsci.2023.122164</t>
  </si>
  <si>
    <t>How can we design anion-exchange membranes to achieve longer fuel cell lifetime?</t>
  </si>
  <si>
    <t>Yassin, Karam; Rasin, Igal G.; Brandon, Simon; Dekel, Dario R.</t>
  </si>
  <si>
    <t>Journal of Energy Storage</t>
  </si>
  <si>
    <t>A 1:10.3 water model was constructed by geometrically scaling down an industrial bottom-blown furnace (BBF) used in the Shuikoushan (SKS) lead reduction process. An innovative method was devised, which combines a chemical decolorization technique with an image analysis method rooted in the RGB colour model, to visualize the mixing characteristics of gas–liquid two-phase flow and quantitatively assess fluid mixing time. The effects of various process parameters (the level height H, gas flow rate Q, feeding port P, vertical angle of the lance θ, and deflection angle of the lance relative to the wall normal α) on the mixing time t were studied via dimensional analysis. Furthermore, a mathematical correlation was developed for t as a function of Fr’, H/D (aspect ratio), P/D, θ, and α. Research findings can serve as a reference for the efficient smelting and optimal design of the SKS lead reduction process in a BBF.</t>
  </si>
  <si>
    <t>10.1016/j.ces.2024.120633</t>
  </si>
  <si>
    <t>Water model study on the mixing behaviour of gas-liquid two-phase flow for the SKS lead reduction process in a bottom-blown furnace</t>
  </si>
  <si>
    <t>Huang, Jindi; Zhong, Jinlong; Yi, Tao; Zhang, Dou; Wu, Yanxin; Liu, Fupeng; Li, Jing; Wang, Yongjun</t>
  </si>
  <si>
    <t>The prefabricated structure of municipal engineering may face the challenges of shared load-bearing and coordinated deformation under complex geological conditions, earth pressure and groundwater under earthquake action. This study investigated the seismic performance of a novel prefabricated box culvert with split components (PBC-SC) to be constructed in the class Ⅱ site. A 1:10 test model fully considering all connection details was prepared, and shaking table tests were conducted using El Centro seismic waves with peak accelerations ranging from 0.1 g to 0.3 g. The full-scale numerical simulation of the soil-structure model of PBC-SC was prefabricated with ABAQUS to truly account for soil-structure interaction effect. The results of shaking table tests and numerical simulations on PBC-SC were analyzed and compared according to the similarity ratio. Even under the excitation peak acceleration of 0.3 g El Centro seismic wave, the measured acceleration and Fourier spectrum of each segment had only a small difference, thus usage of PBC-SC as a global structure could offer relatively continuous deformability and good seismic performance. To decompose the box culvert into simple assembled components, the connection techniques such as cylindrical pin connection, tongue-and-groove connection and mortise-tenon connection were adopted to ensure the seismic performance of PBC-SC. The research results provided a new idea for the design of PBC-SC and assembly connections for prefabricated structure, as well as further techniques and referable data for seismic response analysis.</t>
  </si>
  <si>
    <t>10.1016/j.jobe.2024.108548</t>
  </si>
  <si>
    <t>Study on seismic response of a novel prefabricated box culvert with split components based on shaking table test</t>
  </si>
  <si>
    <t>Wu, Xiufeng; Lu, Linlin; Jin, Jiaxu; Liu, Chengyang; Ding, Zijun; Ji, Peng</t>
  </si>
  <si>
    <t>Journal of Manufacturing Processes</t>
  </si>
  <si>
    <t>Journal of Computational Physics</t>
  </si>
  <si>
    <t>Geothermics</t>
  </si>
  <si>
    <t>Biosystems Engineering</t>
  </si>
  <si>
    <t>To investigate the hydraulic effects and performance of the micro-pressure filtration and cleaning tank under conditions with sandy and brackish water, physical model tests were conducted with five groups of flow rates (6–14 m³ h−1), four groups of sediment contents (0.5–2.0 g l−1), five groups of mineralisation degrees (0–5.0 g l−1), and three groups of screen apertures (0.125, 0.150, and 0.180 mm). Dimensional analysis, multiple linear regression analysis, and the non-dominated sorting genetic algorithm II (NSGA-II) were used to analyse the test results. The results showed that the optimal operating conditions of the micro-pressure filtration and cleaning tank under the scope of this test were a screen aperture of 0.175 mm, a flow rate of 13 m3 h−1, a sediment content of 1.8 g l−1, and a mineralisation degree of 4.7 g l−1. The micro-pressure filtration and cleaning tank was intermittently discharged and rinsed, the discharge time was 30–40 s, and the flow rate of discharge and rinsing was 5.54 m3 h−1. Prediction models of the head loss and the filtration efficiency of the filter were established. The coefficients of determination (R2) were greater than 0.9, the average relative errors of the predicted and measured values were 2.98% and 2.17%, respectively, and the corresponding root mean square errors were 0.0549 m and 0.642. The research results can be used as a reference for in-depth investigations on the performance of the micro-pressure filtration equipment in front of pumps.</t>
  </si>
  <si>
    <t>10.1016/j.biosystemseng.2024.05.006</t>
  </si>
  <si>
    <t>Characterisation of a micro-pressure filtration and cleaning system under sandy and brackish water conditions</t>
  </si>
  <si>
    <t>Tao, Hongfei; Li, Qi; Wu, Zijing; Aihemaiti, Mahemujiang; Li, Qiao; Jiang, Youwei</t>
  </si>
  <si>
    <t>A dimensionally consistent physics-informed neural network, named DimNet, has been developed to predict dryout quality in helical coils. Central to its design is the automated and optimizable dimensionality reduction technique, leveraging the Buckingham Pi theorem, which transforms 11 dimensional physical quantities into 8 dimensionless groups. Rigorous 5-fold cross-validation and cross-fluid testing affirm its performance, with an mean absolute error of 0.0540 and 0.198, respectively. The strategic incorporation of noise during training elucidates pronounced improvements, accentuating the model's adaptability. In comparison to three other neural network architectures, DimNet consistently displays superior accuracy. Ablation experiments have underscored the efficacy of each module within the model's design. Ultimately, while DimNet presents as a promising tool for enhancing thermal efficiency in helical-coiled steam generators, its design principles also shed light on the broader potential and versatility of dimensionally consistent neural architectures.</t>
  </si>
  <si>
    <t>10.1016/j.energy.2024.130822</t>
  </si>
  <si>
    <t>Data-driven dryout prediction in helical-coiled once-through steam generator: A physics-informed approach leveraging the Buckingham Pi theorem</t>
  </si>
  <si>
    <t>Yang, Kuang; Liao, Haifan; Xu, Bo; Chen, Qiuxiang; Hou, Zhenghui; Wang, Haijun</t>
  </si>
  <si>
    <t>European Journal of Pharmaceutical Sciences</t>
  </si>
  <si>
    <t>Desalination</t>
  </si>
  <si>
    <t>Flow Measurement and Instrumentation</t>
  </si>
  <si>
    <t>Energy and Buildings</t>
  </si>
  <si>
    <t>Chinese solar greenhouse (CSG) is an important energy-saving building to ensure the winter production of crops, but it still faces the problem of unbalanced supply and demand between actual thermal performance and crop temperature demand. The purpose of this study is to establish the relationship between greenhouse thermal environment simulation and thermal performance design and to put forward specific thermal performance requirements for the main heat storage components (walls) in the greenhouse design stage. Therefore, this study proposed a method to construct the thermal environment fluctuation model of Chinese solar greenhouse based on temperature-wave interaction theory. The method used dimensional analysis method to comprehensively analyze the related physical quantities of greenhouse thermal environment, explored the temperature fluctuation interaction among indoor air, energy storage wall and outdoor air, and constructed the thermal environment fluctuation model of Chinese solar greenhouse. Finally, the thermal environment fluctuation equation of Chinese solar greenhouse was established under the external climatic conditions in Xi'an, Shaanxi Province, and verified by the measured data of the experimental greenhouse. The experimental results show that the mean absolute error (MAE) between the predicted and measured indoor air temperature is 0.66 °C, the root mean square error (RMSE) is 1.04 °C, and the determination coefficient (R2) is 0.9956 (n = 2822). The model and equation accurately described the interaction between greenhouse internal components and the external greenhouse environment. The study put forward specific thermal performance design requirements for the main heat storage components (walls) in greenhouse, and also provided a new research method for the thermal environment model of Chinese solar greenhouse.</t>
  </si>
  <si>
    <t>10.1016/j.enbuild.2022.112648</t>
  </si>
  <si>
    <t>Thermal environment model construction of Chinese solar greenhouse based on temperature–wave interaction theory</t>
  </si>
  <si>
    <t>Zhang, Yong; Xu, Lianghe; Zhu, Xiaohong; He, Bin; Chen, Yu</t>
  </si>
  <si>
    <t>Soil Dynamics and Earthquake Engineering</t>
  </si>
  <si>
    <t>Acta Astronautica</t>
  </si>
  <si>
    <t>Advances in Engineering Software</t>
  </si>
  <si>
    <t>International Journal of Heat and Fluid Flow</t>
  </si>
  <si>
    <t>International Journal of Heat and Mass Transfer</t>
  </si>
  <si>
    <t>Marine Structures</t>
  </si>
  <si>
    <t>Automation in Construction</t>
  </si>
  <si>
    <t>Computers &amp; Fluids</t>
  </si>
  <si>
    <t>Microelectronics Journal</t>
  </si>
  <si>
    <t>This study investigates on the thermal performance of the 230W LED projection lamp cooling module in the natural convection and modifies fin parameters including fin spacing, height and thickness and LED base plates materials to achieve optimal heat dissipation and performance through experimental and simulation analysis. Results show that the best values of cooling module are 1.1mm aluminum fin thickness, 7.5mm pitch, and 31mm height and can effectively reduce the LED junction temperature under 75°C at 90° incline angle. The impact of the incline angle of the LED vapor chamber-based plate to the thermal performance of the present cooling module should be assessed before such a structure of vapor chamber cooling system is used to cool high power LED system. And the experimental results are in good agreement with the theoretical results, whose calculating error is not more than ±10%. A novel comparative process of 230W LED projection light is developed.</t>
  </si>
  <si>
    <t>10.1016/j.mejo.2014.01.016</t>
  </si>
  <si>
    <t>Thermal module design and analysis of a 230W LED illumination lamp under three incline angles</t>
  </si>
  <si>
    <t>Experimental Thermal and Fluid Science</t>
  </si>
  <si>
    <t>Journal of Hydrology</t>
  </si>
  <si>
    <t>Progress in Nuclear Energy</t>
  </si>
  <si>
    <t>IC-01</t>
  </si>
  <si>
    <t>IC-02</t>
  </si>
  <si>
    <t>IC-03</t>
  </si>
  <si>
    <t>IC-04</t>
  </si>
  <si>
    <t>IC-05</t>
  </si>
  <si>
    <t>EC-01</t>
  </si>
  <si>
    <t>EC-02</t>
  </si>
  <si>
    <t>EC-03</t>
  </si>
  <si>
    <t>EC-04</t>
  </si>
  <si>
    <t>EC-05</t>
  </si>
  <si>
    <t>Pass-EC</t>
  </si>
  <si>
    <t>Pass-IC</t>
  </si>
  <si>
    <t>EC-06</t>
  </si>
  <si>
    <t>IC + EC</t>
  </si>
  <si>
    <t>Relevant</t>
  </si>
  <si>
    <t>Unique</t>
  </si>
  <si>
    <t>DA in Software development + architecture</t>
  </si>
  <si>
    <t>"performance" AND "dimensional analysis" AND "pi theorem" AND "software" AND ("architecture" OR develop)</t>
  </si>
  <si>
    <t>[All: "performance analysis"] AND [[All: "pi theorem"] OR [All: "dimensional analysis"]] AND [[All: software architecture] OR [All: software develop]]</t>
  </si>
  <si>
    <t>Zhao, Nana; Zhao, Yurong; Li, Jie; Liu, Heguang; Shao, Tiantian; Xu, Yunhua; Wang, Xin; Lu, Zhengxin; Chen, Jing; Liu, Xuan; Niu, Siyu</t>
  </si>
  <si>
    <t>Hardness and yield strength of micro-nano TaC-Fe composite layer characterized through nano-indentation, finite element simulation and dimensional analysis</t>
  </si>
  <si>
    <t>Ceramics International</t>
  </si>
  <si>
    <t>10.1016/j.ceramint.2019.10.062</t>
  </si>
  <si>
    <t>In this study, yield strength of TaC-Fe composite on steel-based surface micro-nanostructure was studied by nano-indentation, finite element simulation, and dimensional analysis. Finite element analysis was utilized to simulate nano-indentation of TaC-Fe composite layer under different yield strengths, and equivalent stress cloud, equivalent strain cloud, and load–displacement curves with yield strengths of 6, 6.5, 7, and 7.5 GPa were obtained. Nano-indentation experimental result was analyzed with the Π theorem in dimensional analysis, and the relationship between load–displacement curve function and mechanical parameters, such as yield strength and Poisson's ratio of micro-nano-structured TaC-Fe composite layer, was obtained. The correctness of the dimensional analysis model and the reliability of finite element simulation nano-indentation were validated using the combination of dimension-function relationship, simulation calculations, and load-displacement curve obtained through nano-indentation experimentation. Yield strength of micro-nanostructured TaC-Fe composite layer was determined as 7.05 GPa.</t>
  </si>
  <si>
    <t>Gebre, Thomas; Abdi, Zewdu; Wako, Amana; Yitbarek, Teshome</t>
  </si>
  <si>
    <t>Development of a mathematical model for determining the draft force of ard plow in silt clay soil</t>
  </si>
  <si>
    <t>10.1016/j.jterra.2022.11.004</t>
  </si>
  <si>
    <t>Due to Ethiopia's rising population, the prediction of a draft force has several crucial in improving tillage performance in smallholder farmland. It helps in proper usage of animal draught; minimizes operator tragedy and full input data for the ard plow designer. This study aimed to develop an effective mathematical model by selecting appropriate soil properties, tool geometries, and tillage operating conditions for estimating the draft force of the ard plow. A mathematical equation was established using dimensional analysis related to PI-Buckingham-pi theorem. The model was verified and validated using the IBM SPSS statistical software. The correlation between draft force between the measured and predicted value of R2 was 0.877. The developed model was effective in predicting the draft force success for ard plow as much as 87.70%. No significant difference existed between the measured and predicted values at a 0.05 significance level. The scoring standard of the measured draft and the anticipated draft force is normally distributed with a level of confidence of 99%. Investigation consequence showed a developed mathematical formula for estimating the draft force of ard plow in silt clay soil is effective.</t>
  </si>
  <si>
    <t>Zhou, Qiying; Kan, Ying; Yu, Feng; Sun, Mingcheng; Li, Yingzhi</t>
  </si>
  <si>
    <t>A new small punch test method to predict tensile properties of steels: Representative stress–strain method</t>
  </si>
  <si>
    <t>Theoretical and Applied Fracture Mechanics</t>
  </si>
  <si>
    <t>10.1016/j.tafmec.2024.104587</t>
  </si>
  <si>
    <t>The Small Punch Test (SPT) is a novel technique used to assess the structural integrity of metallic materials. Currently, research relies on two popular approaches: the empirical correlations by experiments and inverse approach by finite element method. However, the former lacks universality due to varying material characteristics, while the latter is limited by time-consuming computations. To address these limitations, a new SPT method has been developed based on the representative stress–strain method. By combining dimensional analysis, finite element analysis, and a dimensionless parameter database, this method provides explicit analytical expressions for calculating tensile properties. This present SPT approach is semi-empirical and semi-analytical, which eliminates errors and inconsistencies inherent in traditional empirical correlation methods and offers a more efficient and accurate way to predict tensile properties of steels. The method’s effectiveness was verified through experiments on over twenty types of steels, yielding an error of approximately 5% compared to standard tensile test values.</t>
  </si>
  <si>
    <t>Khan, Kajal; Srinivasa Mohan, L.; De, Amitava; DebRoy, Tarasankar</t>
  </si>
  <si>
    <t>Rapid calculation of part scale residual stress – Powder bed fusion of stainless steel, and aluminum, titanium, nickel alloys</t>
  </si>
  <si>
    <t>Additive Manufacturing</t>
  </si>
  <si>
    <t>10.1016/j.addma.2022.103240</t>
  </si>
  <si>
    <t>A novel analytical model is developed to compute the part scale through-thickness longitudinal residual stress distributions and applied for laser powder bed fusion of four commonly used powder alloys. An important input for the analytical modeling calculations is the peak residual stress for a deposited layer, which is estimated using a unique functional relationship and presented as a function of important process conditions for laser powder bed fusion of different powder alloys. The analytically calculated results of longitudinal residual stress distributions through the part and baseplate thickness are tested rigorously with the corresponding numerically computed and experimentally measured results in the literature for laser powder bed fusion of small and large parts involving the deposition of several thousands of layers. It is shown further that the analytical model can serve as a fast and practical design tool to estimate the through-thickness longitudinal residual stress distribution, which is along the length of the part, for part scale laser powder bed fusion using inexpensive computational resources and with appreciable accuracy.</t>
  </si>
  <si>
    <t>Pathak, Akanksha; Sharma, Ashwini Kumar; Gupta, Anoop Kumar</t>
  </si>
  <si>
    <t>Dimensional analysis of a flow-by porous electrode and demonstration to all-vanadium redox flow batteries thereon</t>
  </si>
  <si>
    <t>10.1016/j.est.2021.103258</t>
  </si>
  <si>
    <t>Multiphysics multiscale electrochemical flow systems are challenging from the viewpoint of understanding their behavior and predicting their performance owing to their large number of design, material, and operational variables. Dimensional analysis offers a method for reducing such complex physical problems to the simplest form to facilitate a qualitative understanding of the system behavior along with quantitative description of the problem defined. This paper reports a dimensional analysis of a flow-by porous electrode, the main constituent of modern electrochemical flow systems. A step-by-step analysis is carried out starting with 15 primitive variables (including cell voltage as performance measure) and resulting in 7 dimensionless variables only to define the system. The paper goes beyond the reduction of number of variables. Physical significance of the identified dimensionless variables is deliberated to understand the role of underlying transport phenomena in the system, mainly in terms of irreversible losses. Further, the reliability of the dimensionless variables is established by performing scale modeling for an all-vanadium redox flow battery (VRFB) system via virtual experiments. Finally, a functional relationship, in the form of an empirical correlation among the dimensionless variables, is derived that can be utilized for predicting cell voltages of a VRFB system at specific conditions.</t>
  </si>
  <si>
    <t>Serio, Maria Angela; Di Stefano, Costanza; Nicosia, Alessio; Ferro, Vito</t>
  </si>
  <si>
    <t>Comment on “Hydraulic characteristics of labyrinth sluice gates” by T. Hashem, A.Y. Mohammed, T.J. Alfatlawi</t>
  </si>
  <si>
    <t>10.1016/j.flowmeasinst.2024.102627</t>
  </si>
  <si>
    <t>In this paper, the stage-discharge relationship of a labyrinth sluice gate is theoretically deduced by the Π-Theorem of dimensional analysis and the self-similarity condition. This approach was then compared with the classical approach using the discharge coefficient Cd proposed by Hashem et al. (2024). The classical stage-discharge equation (Eq. 4), with the discharge coefficient estimated by the empirical relationship (Eq. (1)) proposed by Hashem et al. (2024), resulted in errors E that are less than or equal to ±5 % for 74.3 % of the investigated cases and a mean square error MSE of 0.0078. The new stage-discharge relationship, deduced by dimensional analysis and self-similarity theory, was calibrated using the dataset by Hashem et al. (2024). The obtained stage-discharge equation (Eq. 20) is characterized by errors in the discharge estimate E that are less than or equal to ±5 % for 82.2 % of the investigated cases and a mean square error MSE of 0.0051. In conclusion, the stage-discharge relationship deduced by dimensional analysis allows for the best performance in the discharge estimate, which can be obtained without knowledge of the empirical discharge coefficient.</t>
  </si>
  <si>
    <t>Delfani, Fatemeh; Rahbar, Nader; Aghanajafi, Cyrus; Heydari, Ali; KhalesiDoost, Abdollah</t>
  </si>
  <si>
    <t>Utilization of thermoelectric technology in converting waste heat into electrical power required by an impressed current cathodic protection system</t>
  </si>
  <si>
    <t>10.1016/j.apenergy.2021.117561</t>
  </si>
  <si>
    <t>Supplying an energy source for impressed current cathodic protection is considered as the main challenge for pipelines corrosion protection in remote areas. The purpose of this study is to construct and evaluate the performance of an impressed current cathodic protection system using waste heat to replace the external electrical power supply. The system consists of four thermoelectric modules producing the electrical power from the hot combusted gas stream. Mathematical modeling and Buckingham Pi theorem were applied to obtain five dimensionless parameters and several models to estimate the system performance. According to the experimental results, the generated voltage, electrical current, and temperature difference have been increased rapidly during the experiment up to 201 mV, 44 mA, and 20 K, respectively. Moreover, mathematical modeling and Buckingham Pi theorem were also utilized to obtain three equations, two nonlinear and one dimensionless equation, to calculate the generated electrical voltage with the maximum error of 1.22%, 9.11%, and 10%, respectively. The results indicate that the temperature difference (between inlet gas and environment) and the figure of merit have a direct effect, and heat sink thermal resistance has an inverse effect on the generated electrical voltage.</t>
  </si>
  <si>
    <t>Zare, Dariush; Nourmohamadi-Moghadami, Arash; Panigrahi, Shubham Subrot; Karim, Azharul; Singh, Chandra B.</t>
  </si>
  <si>
    <t>Dimensionless modeling of fine material distribution in an experimental silo during central spout loading</t>
  </si>
  <si>
    <t>Journal of Stored Products Research</t>
  </si>
  <si>
    <t>10.1016/j.jspr.2022.102063</t>
  </si>
  <si>
    <t>Spout loading results in the accumulation of broken kernel and fine materials below the auger chute with spatial distribution over the radial direction. This hinders the air distribution affecting the proper execution of stored grain management practices with any stored bulk. For their optimal performance, it is necessary to assess the effect of systems characteristics on the fine material distribution. This study investigated a generalized dimensionless model of broken corn and foreign material (BCFM) distribution using the dimensionless analysis of the Buckingham theorem. The model considered practical loading parameters in the proposed equation to predict BCFM after the filling process. Practical filling parameters that were investigated includes fill pipe diameter, material flow rate and initial BCFM. Statistical parameters such as RMSE (root mean square error), Chi-square (χ2), coefficient of determination (R2), and MRDM (mean relative deviation modulus) were determined to assess the suitability of the developed model. The results showed that the generalized dimensionless model predicted fine material distribution in the experimental silo with reasonable accuracy. It predicted the nonlinear sifting effect across the radial direction and showed a higher concentration of fines near the bulk core section. It was observed that the sifting effect in a center-filled silo was more pronounced with a lower broken kernel.</t>
  </si>
  <si>
    <t>Bozorgi, Mehran; Tasnim, Syeda Humaira; Mahmud, Shohel</t>
  </si>
  <si>
    <t>Experimental and numerical study on the integration of solar-driven desiccant and thermoelectric Systems for Sustainable Thermal Comfort</t>
  </si>
  <si>
    <t>10.1016/j.apenergy.2024.124253</t>
  </si>
  <si>
    <t>Global reliance on traditional cooling systems is a pressing concern, especially given their substantial energy demands and refrigerant-related greenhouse gas emissions. The need for sustainable cooling solutions is especially urgent in hot and humid regions. This study presents an innovative solution by introducing a compact, solar-driven cooling system that integrates a Desiccant Wheel (DW) and a Thermoelectric Cooler (TEC). This novel combination leverages solar energy to enhance cooling efficiency while reducing environmental impact. The system's performance was tested through experimental methods and non-dimensional analysis, which served to validate the TRNSYS simulation. The simulation included custom components representing the DW and TEC's physical characteristics. Results demonstrated that the system effectively reduces air temperature and humidity to maintain thermal comfort, achieving Coefficients of Performance (COP) of 0.94 and 1.13in Toronto and Vancouver, respectively. A key feature of the system is the heat recovery design, which uses waste heat from the TEC to regenerate the desiccant material, enhancing COP by 68%. Further analysis through TRNSYS simulation explored the system's adaptability to various climate conditions by testing a range of temperatures (26–43°C) and relative humidity levels (30–100%). This analysis identified three operational regions, optimizing the system's application based on environmental conditions. A life cycle assessment determined a Global Warming Potential (GWP) of 0.0172 kg CO2 per kW of cooling capacity and an Energy Payback Time (EPBT) of 3.34 years. The economic analysis indicated a total system cost of $2719, predominantly due to the DW and TEC components. In conclusion, this research offers a sustainable and efficient cooling system that provides thermal comfort in hot and humid climates, marking a significant advancement in climate control technology.</t>
  </si>
  <si>
    <t>Yang, Liu; Yang, Duo; Li, Yuxue; Cai, Jiawei; Jiang, Xiaoyu</t>
  </si>
  <si>
    <t>Nanoindentation study on microscopic mineral mechanics and bedding characteristics of continental shales</t>
  </si>
  <si>
    <t>10.1016/j.energy.2024.133614</t>
  </si>
  <si>
    <t>The brittle minerals and shale bedding seriously affect the mechanical performance of shale, and macroscopic mechanical experimental methods cannot separate these key factors for analysis. In this study, nanoindentation tests were conducted on clay and carbonate shales, and the effects of felsic minerals on the micromechanical characteristics of shale were evaluated. The shale indentation process was simulated using finite element software ABAQUS, and the effects of bedding morphology and mechanical parameters on stress diffusion and energy transfer were analyzed. The results showed that with the increase of felsic mineral content, clay shale exhibited brittle mineral depression in the indentation test, while carbonate shale exhibited obvious crack propagation and brittle fracture. The dimensionless brittleness indices of 4.405, 4.334, 6.178, and 7.117 for samples A1, A2, B1, and B2, respectively. Felsic minerals increase the brittleness of shale, but the influence of clay shale is relatively small. The influence of bedding morphology on shale indentation energy is relatively weak, while the mechanical properties of minerals determine the mechanical performance of shale. This article provides a microscale mechanical analysis of shale, and the research results can serve as an important supplement to macroscopic rock mechanics experiments. Combining the influence of brittle minerals on the mechanical performance of shale is helpful for further studying the mechanical characteristics of heterogeneous bedding shale reservoirs.</t>
  </si>
  <si>
    <t>Awatade, Shrikant M.; Suhane, Rupanshu</t>
  </si>
  <si>
    <t>Effect of roller diameter on the production rate in hot rolling process: Mathematical modeling and experimentation approach</t>
  </si>
  <si>
    <t>1st International Conference on Physics of Materials and Technology</t>
  </si>
  <si>
    <t>10.1016/j.matpr.2022.02.460</t>
  </si>
  <si>
    <t>Metal forming techniques are critical in the industrial sector. Metal forming procedures are used to create components with cross-sections such as conical, elliptical, cylindrical, oval, etc. As mentioned earlier, one of the procedures for forming the shapes is plate bending. The functioning of a plate rolling mill is related to various loading restrictions, while metals are bit with the lateral rollers of a reversed roller stand. Hot rolling is a vital phase in the manufacture and fabrication of steel sheets, resulting in a product with a high degree of flexibility. The paper justifies the experimental model, which verifies the experimental result using a mathematical model for the hot rolling process production rate. The mathematical model was developed using the Buckingham Pi (π) methodology and the dimensional analysis method. In addition, the influence of roller diameter on production rate was calculated at a diameter of 225 mm, 285 mm and 345 mm. The maximum production rate of 46.2 tons, 49.5 tons and 53.0 tons was observed at a roller diameter of 225 mm, 285 mm and 345 mm respectively. The percentage error between experimental and mathematical readings varies from 4.1 to 10.0%, 3.7 to 8.6% and 2.3 to 8.2% at roller diameter of 225 mm, 285 mm and 345 mm respectively. The experimental results are closely related to mathematical a modeling value, which further verifies the developed mathematical model using the Buckingham Pi (π) approach.</t>
  </si>
  <si>
    <t>Mokry, S.; Lukomski, A.; Pioro, I.; Gabriel, K.; Naterer, G.</t>
  </si>
  <si>
    <t>Thermalhydraulic analysis and heat transfer correlation for an intermediate heat exchanger linking a SuperCritical Water-cooled Reactor and a Copper-Chlorine cycle for hydrogen co-generation</t>
  </si>
  <si>
    <t>Advances in Hydrogen Production (Selected papers from ICH2P-2011)</t>
  </si>
  <si>
    <t>10.1016/j.ijhydene.2012.03.027</t>
  </si>
  <si>
    <t>This paper presents the development of a new heat-transfer correlation for the flow of SuperCritical Water (SCW) in bare circular tubes, and its applicability to thermalhydraulic analysis for Heat eXchanger (HX) designs, linking a SuperCritical Water-cooled nuclear Reactor (SCWR) and a Copper-Chlorine (Cu–Cl) cycle-based hydrogen co-generation facility. A large set of experimental data, obtained in SCW flowing upwards in a 4-m long vertical bare tube with a 10-mm Internal Diameter (ID), was analyzed. The data were collected at pressures of about 24 MPa, inlet temperatures from 320 to 350 °C, values of mass flux ranging from 200 to 1500 kg/m2·s and heat fluxes up to 1250 kW/m2, for several combinations of wall and bulk-fluid temperatures that were below, at, or above the pseudocritical temperature. A dimensional analysis was conducted, using the Buckingham Π-theorem, to derive a general form of the empirical SCW heat-transfer correlation for the Nusselt number, which was finalized based on the experimental data obtained within the Normal Heat-Transfer (NHT) and Improved Heat-Transfer (IHT) regimes. The derived correlation showed the best fit for the experimental data within a wide range of flow conditions. This correlation has an uncertainty of about ±25% for Heat Transfer Coefficient (HTC) values and approximately ±15% for calculated wall temperatures. Subsequently, this correlation was used to calculate HTCs in support of preliminary thermalhydraulic calculations for HXs with SCW and SuperHeated Steam (SHS) as the operating fluids. The HXs are to be designed for integration into the No-Reheat or Single Reheat SCW Nuclear Power Plant (NPP) cycles and provide a link to support hydrogen production through the Cu–Cl cycle. Thermal energy will be transferred from the SCWR to an intermediate SHS loop operating at 5 MPa and delivered to the hydrolysis and oxygen-production process steps of the Cu–Cl cycle facility, which operates at temperatures of up to 530 °C. The analyzed HXs are of a double-pipe, counter-flow design. Calculations involved numerical solutions to identify HX outlet flow temperatures, required pipe lengths, number of pipes for each HX unit, mass flow rates and other relevant heat transfer parameters. Various test conditions have been assessed in support of a database to determine feasible configurations for an HX design.</t>
  </si>
  <si>
    <t>Yurdem, H.; Demir, V.; Degirmencioglu, A.</t>
  </si>
  <si>
    <t>Development of a mathematical model to predict clean water head losses in hydrocyclone filters in drip irrigation systems using dimensional analysis</t>
  </si>
  <si>
    <t>10.1016/j.biosystemseng.2010.02.001</t>
  </si>
  <si>
    <t>A model was developed using dimensional analysis, to predict head losses in hydrocyclone filters. Different hydrocyclone filters with different specifications were used to measure head losses at different flow rates in the laboratory. The parameters influencing head losses were considered to be the inside diameters of the inlet and outlet pipes, cylindrical section diameter of the filter, apex diameter of the conical part, cylindrical section length of the filter, conical section length of the filter body, length of the outlet (vortex finder) pipe, water velocity in inlet pipe, acceleration of gravity, kinematic viscosity of water. A dimensional analysis was carried out, using Buckingham's pi-theorem. To develop a model, experimental head loss data from 21 filters were considered in the study. The model accounted for 96.7% of the variation in the pressure coefficient. The predicted and the measured head losses were in close agreement with a correlation coefficient of 98.1%. The results showed that the model may be used to determine head losses in hydrocyclone filters with an acceptable accuracy if the variables are within the following ranges: inside diameter of inlet and outlet pipe 0.053–0.154m; cylindrical section diameter of the filter 0.195–0.46m; apex diameter of the conical part 0.04–0.06m; cylindrical section length of the filter 0.16–0.41m; conical section length of the filter body 0.37–0.955m; length of the vortex finder pipe 0.155–0.627m; flow rate 3.7–98.48m3h−1; and Reynolds number 18 860–421 065. The performance of the model was compared with models developed for industrial hydrocyclones and the necessary comparisons were established by using statistical test procedures. The model in this study provides better predictions as compared to some other models available in the literature.</t>
  </si>
  <si>
    <t>Abbasali Ayubali, Arsath; Prabu Shanmugavel, Balasivanandha; Padmanabhan, K.A.</t>
  </si>
  <si>
    <t>On material-agnostic fatigue life prediction using Buckingham Pi Theorem</t>
  </si>
  <si>
    <t>10.1016/j.engfracmech.2022.109021</t>
  </si>
  <si>
    <t>A robust, quantitative analysis is needed to prevent frequent, catastrophic failure of components in powerplants and aircraft, to cite but two examples, due to cyclic loading that could lead to fatigue failure. The model presented in this research will be useful in the reliable design and safe operation of components and equipment. A fatigue life (the dependent variable) prediction model, which employs both stress-based, and stress–strain based criteria is presented that uses the Buckingham Pi Theorem with the experimental parameters influencing fatigue behaviour taken as the independent variables. The validation of the model is done using reliable, frequently used uniaxial fatigue data, culled from the NIMS (National Institute for Materials Science, Tsukuba, Japan) fatigue database on important industrial alloys that experience fatigue loading in service. (No reliable data on such a scale were available to test the validity of this model under multi-axial fatigue loading conditions.) It is demonstrated that the model predicts the experimental results accurately. The accuracy of prediction is examined for every case and compared with that of some other existing methods. Moreover, the potential applicability of this analysis in areas not yet validated is examined.</t>
  </si>
  <si>
    <t>Liu, Chenglong; Zhang, Kuandi; Wei, Shue; Wang, Pengfei; Cen, Youdong; Xia, Junqiang</t>
  </si>
  <si>
    <t>Evaluation of the effects of grass and shrub cover on overland flow resistance and its attributes under simulated rainfall</t>
  </si>
  <si>
    <t>10.1016/j.jhydrol.2023.130285</t>
  </si>
  <si>
    <t>Vegetation plays a crucial role in controlling soil erosion and regulating overland flow connectivity. However, the effects of vegetation coverage on the overland flow resistance mechanisms remain unclear. This study aimed to examine the impact of grass and shrub cover on the resistance to overland flow concerning a random patch distribution pattern. This was achieved through a series of simulated rainfall experiments. Thirty slope surfaces with different vegetation coverages, consisting of complete combinations of five grass and six shrub coverages, were tested under five rainfall intensities (60–120 mm h−1) and three slope gradients (8.75%–26.79%). The results indicated that the Darcy–Weisbach friction factor (f) values on unvegetated slopes ranged from 0.455 to 1.385, whereas those on vegetated slopes ranged from 0.500 to 5.624. Vegetation coverage increased flow resistance on hillslopes, and the relationship between f and the Reynolds number (Re) was influenced by vegetation cover and the slope gradient; thus, it showed a positive correlation when vegetation form resistance was dominant. In contrast, a negative correlation was observed. According to the t-test results, the linear superposition method had limitations in calculating overland flow resistance and was only applicable when the grass coverage was 10%. Moreover, as the coverage increased, significant differences (p &lt; 0.05) emerged between the total resistance and the linear summation of the individual resistance components. Additional vegetation resistance plays a significant role in impeding the water flow, contributing up to 50% of the total resistance. Finally, an equation for calculating additional vegetation resistance was developed using dimensional analysis and multiple nonlinear regression. The accuracy of the equation was validated by comparing it with experimental results (NSE = 0.918, RMSE = 0.144). These findings emphasize the effectiveness of constructing grass-shrub communities and increasing vegetation coverage as measures for soil and water conservation.</t>
  </si>
  <si>
    <t>Barooah, Abinash; Khan, Muhammad Saad; Khaled, Mohamed Shafik; Manikonda, Kaushik; Rahman, Mohammad Azizur; Hassan, Ibrahim; Hasan, Rashid; Maheshwari, Priyank; Hascakir, Berna</t>
  </si>
  <si>
    <t>Development of pressure gradient correlation for slurry flow using dimensional analysis</t>
  </si>
  <si>
    <t>Journal of Natural Gas Science and Engineering</t>
  </si>
  <si>
    <t>10.1016/j.jngse.2022.104660</t>
  </si>
  <si>
    <t>Accurate and speedy determination of pressure drop during cuttings transport is an important aspect of a drilling operation. However, the literature suggests that there is a lack of a simple, ready to use, and accurate model that can predict pressure drop for settling solid-liquid flow during the drilling operation. Therefore, this study aims to develop a non-dimensional model that can be used for quick and real-time pressure drop prediction during cuttings transport through the annulus for a wide range of hydrodynamic (viscosity, surface tension, density) and operating (drill pipe rotation, eccentricity, inclination, liquid flow rate) parameters. The model development strategy includes the development of non-dimensional parameters using the Buckingham Pi approach. Experimental data points were extracted from the original experiments and 5 different works of literature for model optimization and validation to increase the range of the model and make it system independent. The results of this study showed that the developed model has a higher accuracy as compared to the SK correlation and Turian model and shows a Mean Absolute Percentage Error (MAPE) of 16.83% for the original experimental data and 20.09% for the entire data set. Model shrinkage was done using power-law minimization which showed that the cuttings transport system needs to have an optimum of 7–8 non-dimensional parameters, which was supported by using statistical analysis. The developed model can be used for real-time hole cleaning monitoring on drilling rigs and can help minimize hole cleaning issues related to pressure loss.</t>
  </si>
  <si>
    <t>Zhao, Bingtao; Su, Yaxin; Tao, Wenwen</t>
  </si>
  <si>
    <t>Mass transfer performance of CO2 capture in rotating packed bed: Dimensionless modeling and intelligent prediction</t>
  </si>
  <si>
    <t>10.1016/j.apenergy.2014.08.108</t>
  </si>
  <si>
    <t>Rotating packed beds have been demonstrated to be able to intensify the physicochemical process of multiphase transportation and reaction in the fields of energy and environment, and successfully applied in the field of CO2 emission control. However, modeling and prediction of gas–liquid mass transfer especially for mass transfer with chemical reaction are rare due to the complexity of multiphase fluid flow and transportation. In view of the inaccuracy of semi-empirical models and the complexity of computational fluid dynamics models, an intelligent correlation model was developed in this work to predict the mass transfer coefficient more accurately for CO2 capture with NaOH solution in different type rotating packed beds. This model used dimensional analysis to determine the independent variables affecting the mass transfer coefficients, and then used least squares support vector regression (LSSVR) for prediction. An optimized radial basis function was obtained as kernel function based on grid search coupled with simulated annealing (SA) and 10-fold cross-validation (CV) algorithms. The proposed model had the mean square error of 0.0016 for training set and 0.0012 for testing set. Compared with the models based on multiple nonlinear regression (MNR) and artificial neural network (ANN), the present model decreased mean squared error by 91.06% and 38.46% for training set and 94.57% and 53.85% for testing set respectively, suggesting it had superior performance on prediction accuracy and generalization ability.</t>
  </si>
  <si>
    <t>Jadhav, Prakash M.; Kumbhar, Surajkumar G.; Desavale, R.G.; Patil, Shubham B.</t>
  </si>
  <si>
    <t>Distributed fault diagnosis of rotor-bearing system using dimensional analysis and experimental methods</t>
  </si>
  <si>
    <t>Measurement</t>
  </si>
  <si>
    <t>10.1016/j.measurement.2020.108239</t>
  </si>
  <si>
    <t>Distributed defects in rolling element bearing arise due to the progression of small localized pits. If not monitored on time, this leads to premature or may turn into catastrophic failure of a rotor system and thus increases the cost of maintenance of machinery in industries. This research work introduced a novel method for the diagnosis of rolling element bearings to detect distributed defects using Dimensional Analysis (DA). The rolling element bearing system is modeled using DA with Buckingham’s theorem to study the vibration characteristics theoretically. Significant geometrical and response parameters are considered for modeling the rotor-bearing system. The in-house experimental test rig is designed and fabricated to study the vibration characteristics of distributed defects experimentally. Geometrical imperfections are created intentionally on the bearings surfaces using electro-discharge machining and vibration signatures generated are studied under different operating conditions. Experimental results are compared with analytical models developed using the DA. A comparison is made between distributed and localized defects and vibrations signatures from both are correlated with healthy bearings. It is noticed that there is a good correlation between theoretical and experimental results. The present study contributes as a simple and effective diagnosis of rolling element bearings for distributed defects and useful for condition monitoring of industrial machinery.</t>
  </si>
  <si>
    <t>Chen, Xi; Jin, Xiaoling; Huang, Zhilong</t>
  </si>
  <si>
    <t>Stability and reliability analysis of nonlinear stochastic system using data-driven dimensional analysis method</t>
  </si>
  <si>
    <t>10.1016/j.ymssp.2024.111299</t>
  </si>
  <si>
    <t>Stability and reliability are two critical aspects in the qualitative analysis of dynamic systems. In this paper, a data-driven dimensional analysis methodology is proposed to analyze the stability and reliability of nonlinear stochastic dynamical systems. The analytical solutions for the largest Lyapunov exponent and the conditional reliability function with minimal arguments are identified. Beginning with random state data, it first discovers the unique and relevant set of dimensionless groups through the Buckingham Pi theorem and sensitivity analysis. The expressions for the quantities of interest (the largest Lyapunov exponent for stability analysis, and the conditional reliability function for reliability assessment) are determined using Gaussian process regression. Subsequently, the dimensionality of these expressions is reduced based on the relative importance of the dimensionless parameter cluster within the unique dimensionless set. The effectiveness and accuracy of this data-driven method for analyzing stochastic stability and reliability are illustrated by two representative numerical examples, i.e., a 2-DOF nonlinear system subjected to purely parametrical Gaussian white noises, and a 2-DOF system subjected to both parametrical and external noises, respectively. Furthermore, the extensionality of the analytical expressions is also validated. The data-driven dimensional analysis methodology specified here overcomes the limitations of classical dimensional analysis and offers more accurate expressions with fewer arguments compared to other data-driven methods found in the existing literature.</t>
  </si>
  <si>
    <t>Cong, Pengli</t>
  </si>
  <si>
    <t>Similarity law of global and local responses of reinforced concrete beams subjected to impact loading</t>
  </si>
  <si>
    <t>International Journal of Impact Engineering</t>
  </si>
  <si>
    <t>10.1016/j.ijimpeng.2024.105085</t>
  </si>
  <si>
    <t>In the experiment of scaled models to dealing with the impact of reinforced concrete large structures, the strain rate hardening effect can lead to significant differences between the dynamic responses of prototype and model. In the present study, this thorny problem is solved by adjusting the impact velocity. Based on the mechanisms of different dynamic responses, the similarity laws for the global and local responses of reinforced concrete beams subjected to impact loading are proposed by considering the strain-rate effect of materials through Buckingham Π-theorem, where constitutive models of different materials are employed for inferring dynamic stress. In dimensional analysis, multiple control factors need to be considered simultaneously, such as the strain-rate effects of steel and concrete, since reinforced concrete components are typical composite structures. The similarity law cannot be unified when considering multiple control factors. In view of this, it is recommended to estimate the dynamic response of reinforced concrete components subjected to impact loading through the upper and lower bounds of similarity law. The upper bound of similarity law is based on the strain-rate effect of concrete, while the lower bound of similarity law is based on the strain-rate effect of steel bar. The numerical models of reinforced concrete beams are established based on the experimental background. The numerical simulations with different scaling factors indicate that the model modified by the lower bound of similarity law can better predict the global response of prototype, while the model modified by the upper bound of similarity law can more accurately predict the local response of prototype. In addition, the influence of dynamic elastic modulus of reinforced concrete on the similarity law is discussed through comparative analysis.</t>
  </si>
  <si>
    <t>Gao, Haibo; Zhang, Yuqiu; Liu, Yongqi; Wang, Yanxia; Zheng, Bin; Sun, Peng; Hou, Xiaochen; Tian, Guangdong</t>
  </si>
  <si>
    <t>Experimental investigation on heat transfer performance of flowing irregular semi-cokes in heat exchanger with primary recovery method</t>
  </si>
  <si>
    <t>10.1016/j.jclepro.2021.128197</t>
  </si>
  <si>
    <t>For purpose of improving the waste heat recovery and utilization efficiency of high-temperature semi-cokes, a new heat exchanger with primary recovery method was creatively proposed, and the heat transfer performance of flowing irregular semi-cokes in the new primary heat exchanger was investigated experimentally for the first time. The effects of initial temperature, flow velocity and diameter of semi-cokes on the heat transfer performance of flowing irregular semi-cokes were analyzed, and the experimental correlation formula of Nusselt number between flowing irregular semi-coke and cooling wall was studied by dimensional analysis and experimental data fitting. Furthermore, the heat transfer performance of flowing irregular semi-cokes under the condition of steam flow was compared with those under the condition of no steam flow. Experiment results show that the initial temperature, flow velocity and diameter of semi-coke have significant effects on the heat transfer performance, and the initial temperature and flow velocity have positive effects. The experimental correlation formula of Nusselt number was obtained, and the average relative error of calculation and experiment is 4.46%, which indicates that the experimental correlation formula can well predict heat transfer performance. The heat transfer performance of flowing irregular semi-cokes under the condition of steam flow is better than that under the condition of no steam flow, and the heat transfer mechanism under the condition of steam flow was revealed. Meanwhile, the comprehensive heat transfer coefficient with steam flow is 79.5% higher than that without steam flow. The steam acts as an intermediate heat transfer medium of the flowing irregular semi-cokes and cooling wall, which occupies an important position on the heat transfer enhancement between the flowing irregular semi-cokes and cooling wall.</t>
  </si>
  <si>
    <t>Alrsai, Mahmoud; Alsahalen, Ala’; Karampour, Hassan; Alhawamdeh, Mohammad; Alajarmeh, Omar</t>
  </si>
  <si>
    <t>Integrated finite element analysis and machine learning approach for propagation pressure prediction in hybrid Steel-CFRP subsea pipelines</t>
  </si>
  <si>
    <t>10.1016/j.oceaneng.2024.118808</t>
  </si>
  <si>
    <t>Accurate prediction of the propagation pressure (PP) in hybrid steel-CFRP pipe systems presents a substantial challenge due to intricate interactions and complex collapse failure modes. An efficient FE-based algorithm is programmed using ANSYS to numerically estimate the PP of hybrid steel-CFRP pipe, subjected to external pressure. This study employs a machine learning (ML) framework, addressing the inherent complexity with a three-phase approach: Parameter Design, Buckle Propagation Analysis, and ML Model Development. The dataset, encompassing about two thousand observations with four key features, undergoes k-fold cross-validation and min-max normalization for robust ML performance. Five ML models—Random Forest (RF), K-Nearest Neighbors (KNN), Genetic Programming (GP), Multi-layer Perceptron (MLP), and Support Vector Machine (SVM)—are developed and evaluated. The results revealed a significant influence of Ds/ts, a three-phase relationship with ts/tc, and a substantial decrease in PPh/PPs with increasing σys/σuc, predominantly exhibiting U-shaped or dog-bone failure modes in different scenarios. Proven that GP, KNN, and RF are the superior performers, ranking ahead of SVM with Gaussian Kernel (SVM-GK), MLP, and SVM with Linear Kernel (SVM-LK). Statistical metrics, Taylor Diagram analysis, and comparisons with FE results emphasize the effectiveness of GP, KNN, and RF. Additionally, normality tests and feature importance analysis provide nuanced insights.</t>
  </si>
  <si>
    <t>Oppenheimer, Michael W.; Doman, David B.; Merrick, Justin D.</t>
  </si>
  <si>
    <t>Multi-scale physics-informed machine learning using the Buckingham Pi theorem</t>
  </si>
  <si>
    <t>10.1016/j.jcp.2022.111810</t>
  </si>
  <si>
    <t>Neural networks are a form of machine learning that can be trained to estimate relationships between variables in complex physical processes. They are particularly adept at estimating relationships between variables that lie within the ranges of values for which they have been trained. Their performance often diminishes when tasked with generating estimates of physical processes that lie outside of the region of the input space covered by the training set. In the case of physical systems, the possible relationships between input and output variables are limited. Dimensional variables can be replaced by a smaller number of dimensionless parameters that enforce physical limitations between dimensional input and output variables. This can be accomplished using dimensional analysis and the Buckingham Pi theorem to enforce or test for dynamic similitude between systems operating at different scales. This process can be exploited for two purposes. The first is to reduce the number of variables correlated by a neural network. The second is to allow a dimensionless neural network to be trained to function as an interpolator between dimensionless input and output parameters even though a neural network trained using dimensional data would be required to extrapolate if the dimensional input variables lie outside of the training set. Using dimensionless data to fit an input-output relationship generalizes better, as compared to using dimensional data, when dynamic similitude between systems has been achieved. Examples are presented that demonstrate that the proposed process can enable accurate modeling of the behavior of physically similar systems operating at different scales.</t>
  </si>
  <si>
    <t>Jofre, Lluís; del Rosario, Zachary R.; Iaccarino, Gianluca</t>
  </si>
  <si>
    <t>Data-driven dimensional analysis of heat transfer in irradiated particle-laden turbulent flow</t>
  </si>
  <si>
    <t>International Journal of Multiphase Flow</t>
  </si>
  <si>
    <t>10.1016/j.ijmultiphaseflow.2019.103198</t>
  </si>
  <si>
    <t>The study of thermal radiation interacting with particle-laden turbulence is of great importance in a wide range of scientific and engineering applications. The fundamental and applied study of such systems is challenging as a result of the large number of thermo-fluid mechanisms governing the underlying physics. This complexity is significantly reduced by transforming the problem of interest into its scale-free form by means of dimensional analysis techniques. However, the theoretical framework of classical dimensional analysis presents the limitations of not providing a unique set of dimensionless groups, and no support for measuring the relative importance between them. In the interest of addressing these shortfalls for multiphysics turbulent flow applications, we present a semi-empirical dimensional analysis approach to efficiently extract important dimensionless groups from data obtained by means of computational (or laboratory) experiments. The methodology presented is then used to characterize important dimensionless groups in irradiated particle-laden turbulence. The study concludes that two dimensionless groups are responsible for most of the variation in the system’s thermal response, with the absorption of radiation by particles, the radiative energy deposition rate and the turbulent flow mixing the most important thermo-fluid mechanisms. The generality of the results obtained can be leveraged to effectively reduce the dimensionality of irradiated particle-laden turbulent flows in research studies and in the design and optimization of similar systems.</t>
  </si>
  <si>
    <t>Dai, Wei; Mohammadi, Samira; Cremaschi, Selen</t>
  </si>
  <si>
    <t>A hybrid modeling framework using dimensional analysis for erosion predictions</t>
  </si>
  <si>
    <t>Computers &amp; Chemical Engineering</t>
  </si>
  <si>
    <t>10.1016/j.compchemeng.2021.107577</t>
  </si>
  <si>
    <t>The transport of solids in multiphase flows is common practice in energy industries. Safe and efficient operation requires reliable estimates of erosion rates in the pipelines. Numerous semi-mechanistic models exist for quantifying erosion rate. However, most models have large discrepancies in their predictions. This paper introduces a hybrid modeling framework to estimate erosion rates based on different flow regimes and pipeline orientations. The framework combines a semi-mechanistic model with Gaussian process modeling and dimensional analysis. Dimensional analysis and feature selection are utilized to identify significant dimensionless numbers for the erosion process. These numbers are used as inputs for the Gaussian process model and to suggest possible ways to improve the semi-mechanistic model. The hybrid modeling approach reduces the root mean square error by 36% compared to the semi-mechanistic model. The results suggest that a better multiphase flow model may improve the erosion rate predictions, especially in annular/mist flow boundary regions.</t>
  </si>
  <si>
    <t>Patel, Reena R.; Thompson, David S.; Riveros, Guillermo A.; Hodo, Wayne D.; Peters, John F.; Acosta, Felipe J.</t>
  </si>
  <si>
    <t>Dimensional analysis of structural response in complex biological structures</t>
  </si>
  <si>
    <t>Mathematics and Computers in Simulation</t>
  </si>
  <si>
    <t>10.1016/j.matcom.2019.12.001</t>
  </si>
  <si>
    <t>The solution to many engineering problems is obtained through the combination of analytical, computational and experimental methods. In many cases, cost or size constraints limit testing of full-scale articles. Similitude allows observations made in the laboratory to be used to extrapolate the behavior to full-scale system by establishing relationships between the results obtained in a scaled experiment and those anticipated for the full-scale prototype. This paper describes the application of the Buckingham Pi theorem to develop a set of non-dimensional parameters that are appropriate for describing the problem of a distributed load applied to the rostrum of the paddlefish. This problem is of interest because previous research has demonstrated that the rostrum is a very efficient structural system. The ultimate goal is to estimate the response of a complex, bio-inspired structure based on the rostrum to blast load. The derived similitude laws are verified through a series of numerical experiments having a maximum error of 3.39%.</t>
  </si>
  <si>
    <t>Mondal, Saikat; Das, Rajib; Das, Subhasish; Mukherjee, Sanchayan</t>
  </si>
  <si>
    <t>Experimental investigation of dissolved oxygen improving aeration efficiency by hydraulic jumps</t>
  </si>
  <si>
    <t>10.1016/j.flowmeasinst.2024.102715</t>
  </si>
  <si>
    <t>The dissolved oxygen (DO) level in water is vital for water quality and supporting aquatic life. Hydraulic jumps involve rapid flow changes from super-critical to sub-critical, visible at abrupt bed slope shifts, like at spillway bases in rivers or canals. The hydraulic jump efficiently mixes oxygen from air into water and offers a cost-effective method of aeration by entraining air bubbles in the stream to improve oxygen transfer compared to traditional systems. The objective of this experimental research is to investigate the aeration performance with hydraulic jump parameters and establish correlations crucial to measuring aeration (or transfer) efficiency. Relationships between transfer efficiency, jump height, jump length, sequent depth ratio, discharge, inlet Froude number, and channel bed slope were determined. To investigate the nature of such relationships, a series of experiments were conducted in a rectangular tilt flume to test the aeration performance of forced submerged hydraulic jumps with five different discharges and five different smooth bed slopes. The inlet Froude number before the jump varied from 2.18 to 8.23. Experimental observation confirms a positive relationship between transfer efficiency and jump control parameters. During experimentation, transfer efficiency was found to vary between 9.4 % and 34 %. This research includes estimating the optimal transfer efficiency due to hydraulic jumps, which can help hydraulic engineers in building structures that can revitalize any degraded stream.</t>
  </si>
  <si>
    <t>Kumbhar, Surajkumar G.; Sudhagar P, Edwin; Desavale, R.G.</t>
  </si>
  <si>
    <t>Theoretical and experimental studies to predict vibration responses of defects in spherical roller bearings using dimension theory</t>
  </si>
  <si>
    <t>10.1016/j.measurement.2020.107846</t>
  </si>
  <si>
    <t>A frictionless force transmission between the mechanical components of high production volume systems was accomplished by Rolling Element Bearings, which leads to being an imperative item of the condition-based maintenance (CBM). A prominent fault would cause malfunction, and its substantial growth may lead to catastrophic failure of such machinery ultimately give rise to unscheduled maintenance, and in extreme cases turns into a quite expensive shut down of the same. These decisive situations explore a growing demand for a robust failure diagnosis scheme for bearings. The present work demonstrates a novel approach to develop a dynamic model for vibration response of spherical roller bearings using dimensional analysis with Buckingham’s pi theorem (BPT) by considering significant geometric, operating, and thermal parameters of the system. The results obtained have been validated with experiments performed on the developed test rig under diverse operating conditions. Vibration amplitudes considerably enhanced in the presence of rotating speed, applied load, bearing temperature, and volume of defect. Multivariable regression analysis is performed to reveal the effectiveness of the model for precise detection of impending bearing failure. The vibration response obtained by the DA model, experimental runs, and MVRA agreeing with physical perceptive and potentials. Results indicate the simplicity and reliability of the approach.</t>
  </si>
  <si>
    <t>Sacsa Diaz, R.P.; Sphaier, L.A.</t>
  </si>
  <si>
    <t>Development of dimensionless groups for heat and mass transfer in adsorbed gas storage</t>
  </si>
  <si>
    <t>10.1016/j.ijthermalsci.2010.10.010</t>
  </si>
  <si>
    <t>A new methodology for analyzing heat and mass transfer in gas storage via adsorption has been developed. The foundation behind the proposed methodology comprises a set of physically meaningful dimensionless groups. This paper presents a discussion regarding the development of such groups, based on the Buckingham-Π theorem, providing a fully normalized multi-dimensional formulation for describing transport mechanisms involved in adsorbed gas storage. Data from previous literature studies are employed for determining realistic values for the developed parameters. Then, a one-dimensional test-case problem is selected for illustrating the effect of the dimensionless parameters on the operation of adsorbed gas reservoirs. This problem is numerically solved, and the solution is validated against previously published literature data. The presented results demonstrate that higher heat of sorption values can lead to reduced discharge capacities if the increased heating is not properly removed, whereas larger Biot and Fourier numbers can increase the amount of gas recovered.</t>
  </si>
  <si>
    <t>Paladino, Ombretta; Neviani, Matteo</t>
  </si>
  <si>
    <t>Scale-up of photo-bioreactors for microalgae cultivation by π-theorem</t>
  </si>
  <si>
    <t>Biochemical Engineering Journal</t>
  </si>
  <si>
    <t>10.1016/j.bej.2019.107398</t>
  </si>
  <si>
    <t>Robust microalgae cultivation at industrial scale needs complex scale-up of photobioreactors since the same yields obtained at lab-scale are hardly reached during pilot or industrial production. In this paper we propose a procedure based on Buckingham π-theorem to perform the scale-up of photobioreactors used to cultivate Chlorella Vulgaris fed by CO2 and wastewater rich in glycerol. This theoretical approach is usually overlooked in favor of the synergy of modeling tailored on the process and piloting, but it grants excellent generalizability. An experimental campaign at three levels was designed and carried out to evaluate the characteristic dimensionless numbers individuated by the theoretical formulation. Since scale-up regards both geometrical dimensions and type of reactor, passing from lab-scale stirred tanks (STRs) to pilot scale tubular and airlift, particular attention was devoted to defining characteristic lengths inside the dimensionless numbers. Moreover, since scale-up also regards the operating mode, scaling from discontinuous to semi-continuous to continuous, some interesting dimensionless numbers arise other than Re, Sh, DaII. They are mainly related to the type of biological process and its operating mode and are the ratios O2/CO2 and T/Topt, the ratio between the incident light intensity and the saturation constant, the absorbance, the ratio between the final and the initial concentration c/c0, the ratio between the maximum increase in cell population and its initial concentration, the ratio between the estimated specific kinetic constant and a variable representing the characteristic time of mixing inside the chosen reactor. Preliminary outdoor tests confirmed the operability of the scaled-up airlift reactors reaching c/c0 = 5.3–7.5, with c = 1.15 g L−1 at extraction intervals of 5 days. They were operated under optimal light conditions of incident light greater than Chlorella v. saturation constant and absorbance = 40 and at incipient churn flow (Re = 10000–11000) with dimension of fluegas bubbles around 5 mm, apt to guarantee Sh = 1500–2500; and with a calculated DaII around 25.</t>
  </si>
  <si>
    <t>Yu, Zhi; Shi, Xiuzhi; Miao, Xiaohu; Zhou, Jian; Khandelwal, Manoj; Chen, Xin; Qiu, Yingui</t>
  </si>
  <si>
    <t>Intelligent modeling of blast-induced rock movement prediction using dimensional analysis and optimized artificial neural network technique</t>
  </si>
  <si>
    <t>International Journal of Rock Mechanics and Mining Sciences</t>
  </si>
  <si>
    <t>10.1016/j.ijrmms.2021.104794</t>
  </si>
  <si>
    <t>For maximum metal recovery, considering the movement of ore and waste during the blasting process in loading design is meaningful for reducing ore loss and ore dilution in an open-pit mine. The blast-induced rock movement (BIRM) can be directly measured; nevertheless, it is time-consuming and relative expensive. To solve this problem, a novel intelligent prediction model was proposed by using dimensional analysis and optimized artificial neural network technique in this paper based on the BIRM monitoring test in Husab Uranium Mine, Namibia and Phoenix Mine, USA. After using dimensional analysis, five input variables and one output variable were determined with both considering the dimension and physical meaning of each dimensionless variable. Then, artificial neural network technique (ANN) technique was utilized to develop an accurate prediction model, and a metaheuristic algorithm namely the Equilibrium Optimizer (EO) algorithm was applied to search the optimal hyper-parameter combination. For comparison aims, a linear model and a non-linear regression model were also performed, and the comparison results show that the provided hybrid ANN-based model can yield better prediction performance. As a result, it can be concluded that the developed intelligent model in this article has the potential to predict BIRM during bench blasting, and the analysis method and modeling process in this paper can provide a reference for solving other engineering problems.</t>
  </si>
  <si>
    <t>Dutta, Ratna; Sarkar, Ujjaini</t>
  </si>
  <si>
    <t>Design modifications and scale-up of a novel soxhlet apparatus: Optimization of batch extraction of a biofuel oil from Crotalaria juncea seeds</t>
  </si>
  <si>
    <t>10.1016/j.seta.2023.103472</t>
  </si>
  <si>
    <t>Till date, a soxhlet extractor is found to be the most versatile equipment for extracting oil from oil-bearing seeds. Use of a conventional soxhlet apparatus is limited by the long extraction time to complete a certain quantity of transfer of solute due to inefficient contact between the extractant and solute. A novel design of a modified soxhlet apparatus, including an additional packed column inserted within the soxhlet thimble, is proposed to overcome the limitations. It is evident from the study that cylindrical and annular packed columns (inserted within the thimble) perform better as compared to the elliptical ones. An annular packed bed ensures better oil yield in comparison to the cylindrical one due to enhancement of mass transfer by multiple factors. In order to commercialize the production of juncea seed oil, an effective modeling, based on a comprehensive dimensional analysis (following similarity criteria), is applied for a scale-up. Four key dimensionless groups, namely, soxhlet specific shape factor (Ss), Reynolds number (Res),Froudenumber(Frs) and Peclet number (Pes) are identified. Oil yield is represented by another dimensionless group, soxhlet specific Stanton number (Sts). A multiple-factor regression analysis, using Central Composite Design (CCD) based response surface methodology, is used to develop some rational correlations of various combinations of the dimensionless groups. Necessary and sufficient understanding of the effects of the dimensionless groups [Ss, Res,Frs, and Pes] on the oil yield is important to choose proper scale-up criteria. A novel dimensionless number, the soxhlet number, S, is evolved. S determines the soxhlet performance in terms of oil yield. Maximization of S gives forms a basis of scale-up. This specific approach of scaling-up a soxhlet apparatus can be utilized in commercializing the production of juncea oil.</t>
  </si>
  <si>
    <t>Zhang, Lei; Xu, Zhaoyue; Wang, Shizhao; He, Guowei</t>
  </si>
  <si>
    <t>Clustering dimensionless learning for multiple-physical-regime systems</t>
  </si>
  <si>
    <t>10.1016/j.cma.2023.116728</t>
  </si>
  <si>
    <t>The conventional physical analysis has relied on the researchers’ intelligence and physical insights to establish mathematical models and analyze the dependence of physical systems on dominant parameters in different physical regimes. In this work, a novel data-driven method is proposed to identify different physical regimes without a prior knowledge of governing equations and discover the dominant dimensionless parameters. The proposed method consists of two parts: the first is a data division via cluster analysis, which is utilized to identify different physical regimes via grouping data points into clusters with the weights taken from the key features in active subspace method; the second is a data-driven analysis of dominant dimensionless parameters via the active subspace, which is utilized to discover dominant dimensionless parameters by use of clustering and its resultant information (e.g. eigenpairs of clusters). We use three example problems to demonstrate this method: pipe flows, the spread of oil slicks on a calm sea, and the eddy viscosity in turbulent channel flows. The results obtained show that the present method can identify distinct physical regimes, and discover dominant dimensionless parameters, while the data-driven dimensional analysis without clustering cannot be directly used to the physical systems of multiple physical regimes.</t>
  </si>
  <si>
    <t>Xiao, Qianhao; Huang, Yougen; Wang, Jun; Liu, Zhong; Zeng, Dongping</t>
  </si>
  <si>
    <t>Interpretable reduced-order optimization research for improving indoor environmental quality in buildings based on dimensional analysis and surrogate-based optimization</t>
  </si>
  <si>
    <t>10.1016/j.jobe.2024.111083</t>
  </si>
  <si>
    <t>Implementing large-scale optimization designs and identifying optimal design variables in fields such as architectural engineering is crucial for improving indoor environmental quality. However, the high-dimensional nonlinear characteristics complicate the understanding of the optimization process and increase the difficulty of finding optimal solutions. This study proposes an interpretable reduced-order optimization (ROO) method based on dimensional analysis, which integrates numerous variables into a single reduced-order coefficient through a power form. The goal is to develop a reduced-order and approximately one-dimensional nonlinear relationship during the optimization process and to reveal the mechanisms of single-objective and multi-objective optimization, thereby enhancing the interpretability of the optimization process. The reliability of the ROO is validated through single-objective optimization of building thermal bridges and multi-objective optimization of squirrel cage fans. The study shows that the power in the reduced-order coefficient can be used to determine the sensitivity and impact of design variables on optimization targets. The nonlinear relationship between the composite structural parameters of the building thermal bridge and the total heat flux can be reduced to an approximately one-dimensional linear relationship, significantly reducing the total heat flux of the thermal bridge by 10.3 %. The ROO accurately describes the aerodynamic performance of the fan and its high-dimensional nonlinear relationship with eight design variables, eliminating optimization conflicts among multiple operating conditions and significantly enhancing the aerodynamic performance. The ROO method proposed in this study offers a new approach to making the optimization process more interpretable, playing a crucial role in optimization design and revealing optimization mechanisms in engineering applications.</t>
  </si>
  <si>
    <t>Ofuchi, E.M.; Stel, H.; Vieira, T.S.; Ponce, F.J.; Chiva, S.; Morales, R.E.M.</t>
  </si>
  <si>
    <t>Study of the effect of viscosity on the head and flow rate degradation in different multistage electric submersible pumps using dimensional analysis</t>
  </si>
  <si>
    <t>10.1016/j.petrol.2017.06.024</t>
  </si>
  <si>
    <t>Multistage Electrical Submersible Pumps (ESPs) undergo performance degradation when operating with highly viscous fluids. Several studies on this subject seek to provide models to predict the pump performance under such conditions. However, some of those models require knowledge of geometric parameters or are only designated for radial-type pumps. In this article, dimensional analysis is used as an alternative to analyse head and flow rate degradation of different pumps without the need of any major geometric parameters. To accomplish this task, head curves for two multistage, mixed-flow type ESPs are obtained through a computational fluid dynamics (CFD) program for a wide range of viscosities and different rotational speeds. The numerical head curves were compared with experimental data under equivalent operating conditions and a good agreement was found. When adequate normalisations are used together with relevant dimensionless numbers, the head values obtained from the different ESPs proved to match quite well along curves of constant specific speeds. Experimental head values from literature for a radial-type centrifugal pump with volute operating with different fluid viscosities were used to extend the present analysis for a different pump geometry. Results from this procedure turned out to match the ESPs data well. A straightforward expression to correlate head and flow rate correction factors due to viscosity follows from the present approach, thus yielding a useful tool that might help in proposing a general method to estimate performance degradation.</t>
  </si>
  <si>
    <t>Cheng, Xianda; Zheng, Haoran; Dong, Wei; Yang, Xuesen</t>
  </si>
  <si>
    <t>Performance prediction of marine intercooled cycle gas turbine based on expanded similarity parameters</t>
  </si>
  <si>
    <t>10.1016/j.energy.2022.126402</t>
  </si>
  <si>
    <t>The performance of marine intercooled cycle gas turbines (ICGTs) is affected by atmospheric and sea conditions. Gas turbine operators have to rely on complicated and unfriendly simulation models to predict the performance of ICGTs under different ambient conditions. Aiming at this problem, this paper introduces a novelty fast prediction method based on similarity theory, which can help gas turbine operators realize performance parameters prediction of ICGTs on the spot. For this purpose, the similarity theory is firstly extended to ICGTs. The similarity parameters corresponding to seawater flow rate, glycol solution flow rate, and seawater temperature are derived using Buckingham's Pi Theorem. On this basis, the performance prediction formula of ICGTs is developed. The second-order and dissimilar effects of ICGTs are fully considered in this formula to improve the prediction accuracy. The values of the unknown coefficients in the formula can be obtained by fitting from a small amount of test data. Finally, the high-fidelity ICGT simulation model and the actual ambient conditions verify the proposed method. The results show that the proposed method has good practicability and accuracy, which provides a new approach to predicting marine ICGT performance.</t>
  </si>
  <si>
    <t>Bao, Guozhi; Qin, Weiguang; Pan, Dailong; Si, Xiaodong</t>
  </si>
  <si>
    <t>Empirical model of flow-accelerated corrosion at elbow of carbon steel pipeline based on dimensional analysis</t>
  </si>
  <si>
    <t>10.1016/j.anucene.2024.110462</t>
  </si>
  <si>
    <t>Flow-accelerated corrosion (FAC) can result in continuous thinning of the wall thickness of water and steam-water transportation pipelines, thereby significantly compromising the safety of related systems. This study aims to investigate the behavior of FAC at a 90° elbow made of carbon steel using an array electrode technique and computational fluid dynamics (CFD) simulation. The electrochemical measurements demonstrate that the maximum rate of FAC is located on the outer side of the elbow at a temperature of 120 °C, with varying flow velocities. This observation aligns with the area where perforation is likely to occur at the elbow, consistent with the findings of power plant accidents. Additionally, an empirical model is developed to accurately predict the FAC rate at the 90° elbow through dimensional analysis. This model effectively characterizes the FAC behavior, with a maximum percentage error of 20 % between experimental and predicted values. The findings of this study offer valuable insights and provide a methodology for studying the distribution of FAC rate at a 90° elbow, which can greatly contribute to the reduction of FAC accidents.</t>
  </si>
  <si>
    <t>Kumbhar, Surajkumar G.; Sudhagar P, Edwin</t>
  </si>
  <si>
    <t>An integrated approach of Adaptive Neuro-Fuzzy Inference System and dimension theory for diagnosis of rolling element bearing</t>
  </si>
  <si>
    <t>10.1016/j.measurement.2020.108266</t>
  </si>
  <si>
    <t>An imminent bearing fault detection can reduce downtime or avoid the failure of rotating machinery. Modern condition monitoring demands simple but effective bearing failure diagnosis by integrating dynamic models with intelligence techniques. In view of this, an integrated approach of an Adaptive Neuro-Fuzzy Inference System (ANFIS) and Dimensional Analysis (DA) is demonstrated to diagnose the size of the bearing faults. Several experiments were performed with artificially damaged bearings at different operating conditions on the developed rotor-bearing test rig. With a 0.1 mm error band to fix minor bugs, a two-performance indicator evaluated the model accuracy. Comparison of the performance of DA and ANFIS models with experimental and Artificial Neural Network (ANN) validated the potential of the present approach. The results showed that the simplicity of the DA and the superior performance of the ANFIS contributes to detecting bearing fault effectively and accurately in the diagnosis of industrial machines.</t>
  </si>
  <si>
    <t>Suryawanshi, Ganesh L.; Patil, Sachin K.; Desavale, Ramchandra G.</t>
  </si>
  <si>
    <t>Dynamic model to predict vibration characteristics of rolling element bearings with inclined surface fault</t>
  </si>
  <si>
    <t>10.1016/j.measurement.2021.109879</t>
  </si>
  <si>
    <t>The dynamic behavior of rolling element bearings has been a complex phenomenon in high speed rotating machinery. Consistent fluctuations in load and speed lead to induct faults on the bearing surface. This work investigates the effect of inclined surface faults on the dynamic response of rolling element bearings. The dynamic model for the rotor-bearing system is derived using Dimensional analysis considering the angle of inclined surface faults, rotor speed, load, and significant bearing parameters. Vibration responses of double row spherical roller bearing are experimentally investigated to analyse the effects of size and slope angle of the artificially developed inclined surface faults. The results indicate that increasing surface fault inclination angle significantly decreases the relative vibration amplitude under diverse rotor speed but rises with increasing fault depth. This empirically obtained variation in the vibration amplitude helps to predict the bearing surface fault inclination. This dynamic model to predict the effect of inclined surface faults using the Dimension principle found efficient and contributed to the condition monitoring in process industries.</t>
  </si>
  <si>
    <t>Hua, Shaozhen; Chang, Cheng; Liu, Huabo; Meng, Fanjing</t>
  </si>
  <si>
    <t>Numerical and dimensional analysis for the jet buckling of highly viscous fluid</t>
  </si>
  <si>
    <t>10.1016/j.ijmecsci.2021.106742</t>
  </si>
  <si>
    <t>Jet buckling of highly viscous fluid is a common phenomenon both in nature and industry. In order to effectively understand this phenomenon, experiments, numerical simulation and dimensional analysis are employed with the jet buckling of rubber melt and in injection molding. To begin with the construction of two high-resolution discretization schemes for convection terms, a three dimensional algorithm for liquid jet buckling phenomenon is established based on two phase flow model and discretization via finite volume method. The developed algorithm shows its good accuracy and stability for jet buckling simulation. The numerical results are in good agreement with experimental results obtained by camera directly and short shot experiments. It is found shear rate and gravity have an effect on jet buckling. Compared to non-buckling, buckling of liquid occurs at high shear rate. Direction of gravity influences the length of jet and the pattern of buckling. Furthermore, dimensional analysis of buckling is carried out based on experimental and numerical results. Results reveal that the influence of gravity on buckling is greater when gravity is vertical than parallel to velocity. Dimensional analysis illustrates that shear rate has a greater effect on buckling frequency than hydraulic radius of inlet, length of cavity, gravitational force, viscous force and kinematic viscosity. The buckling frequency is approximately proportional to the square of the shear rate.</t>
  </si>
  <si>
    <t>Blizard, Audrey; Stockar, Stephanie</t>
  </si>
  <si>
    <t>A dynamically similar lab-scale district heating network via dimensional analysis</t>
  </si>
  <si>
    <t>10.1016/j.enconman.2023.117446</t>
  </si>
  <si>
    <t>Strict user demands and large variability in external disturbances, along with limited richness in the data collected on the daily operating conditions of district heating networks makes the design and testing of novel energy-reducing control algorithms for district heating networks challenging. This paper presents the development of a dynamically similar lab-scale district heating network that can be used as a test bench for such control algorithms. This test bench is developed using the Buckingham π theorem to the match the lab-scale components to the full-scale. By retaining the relative thermodynamics and fluid dynamics of a full-scale network in the lab-scale system, the experimental setup allows for repeatability of the experiments being performed and flexibility in the testing conditions. Moreover, the down-scaling of the experiment is leveraged to accelerate testing, allowing for the recreation of operating periods of weeks and months in hours and days. A PID controller is implemented on the lab-scale test bench to validate its response against literature data. Results show 63% efficiency during heating operations compared to 70% efficiency for a similar full-scale system, with comparable pressure losses across the system.</t>
  </si>
  <si>
    <t>Jofre, Lluís; Bernades, Marc; Capuano, Francesco</t>
  </si>
  <si>
    <t>Dimensionality reduction of non-buoyant microconfined high-pressure transcritical fluid turbulence</t>
  </si>
  <si>
    <t>10.1016/j.ijheatfluidflow.2023.109169</t>
  </si>
  <si>
    <t>This work utilizes a novel data-driven methodology to reduce the dimensionality of non-buoyant microconfined high-pressure transcritical fluid turbulence. Classical dimensional analysis techniques are limited by the non-uniqueness of scale-free groups and the lack of a general strategy for quantifying their importance. Instead, the data-driven approach utilized is based on augmenting Buckingham’s π theorem with ideas from active subspaces to overcome these limitations. Through this methodology, a principal dimensionless group has been identified that efficiently describes the behavior of the system in terms of normalized bulk turbulent kinetic energy. Additionally, a simplified version of the new dimensionless group is proposed, which presents the structure of a Reynolds number augmented with dynamic viscosity, thermal conductivity, or equivalently Prandtl number and isobaric heat capacity, and specific gas constant to account for thermophysical effects. Finally, the results obtained in this study, which is based on a realistic regime inspired by nitrogen at high-pressure microfluidic conditions, can be generalized to other fluids using the principle of corresponding states.</t>
  </si>
  <si>
    <t>Harun, Noor Hafiza; Abdul-Aziz, Azila; Rahman, Roshanida A.; Yaakub, Harisun; Aziz, Ramlan; Ware, Ismail</t>
  </si>
  <si>
    <t>Dimensional-analysis and similitude for scale-up of solid-liquid extraction of Eurycoma longifolia roots</t>
  </si>
  <si>
    <t>10.1016/j.ces.2020.115490</t>
  </si>
  <si>
    <t>A dimensionless model was proposed to scale-up the solid-liquid extraction of Eurycoma longifolia roots. ShSc−1 dimensionless number was found to be the best fit of all proposed models. At optimum conditions of the extraction process, which were duration of extraction of 53 min, solvent to raw material ratio of 12.5:1 and roots particle size of 0.5 to 1.0 mm, the extract yield of 8.76% at lab-scale produced ShSc−1 no. of 0.0312. Employing the scale up rule of P/V idem and scale-up factor of 7.65, the extract yield of 8.65% with 1.37% error was obtained at pilot-scale at ShSc−1 no. of 0.0376. The outcome of this study provided useful scale-up knowledge in ensuring smooth transition from lab-scale to pilot-scale.</t>
  </si>
  <si>
    <t>Dumka, Pankaj; Chauhan, Rishika; Singh, Ayush; Singh, Gaurav; Mishra, Dhananjay</t>
  </si>
  <si>
    <t>Implementation of Buckingham's Pi theorem using Python</t>
  </si>
  <si>
    <t>10.1016/j.advengsoft.2022.103232</t>
  </si>
  <si>
    <t>Buckingham's Pi theorem plays an important role in engineering, applied mathematics, and physics for dimensional analysis. From the given variables, it will be utilised to evaluate the set of dimensionless parameters. It indicates that the validity of the physical law is independent of the specific unit system, and it can be expressed as an identity incorporating only dimensionless variables associated with the law. A python-based function has been developed and reported in this manuscript, which can be utilised to evaluate Pi terms (commonly called π terms) for any fluid flow problem. Smaller moderation in the written function can make it capable of solving any fundamental dimensions. Different fluid mechanics problems are utilised to test and validate the reported function, five of which are presented in this manuscript along with code. Obtained results are in good agreement with the theoretically obtained results.</t>
  </si>
  <si>
    <t>Wu, Jiehao; Wang, Xiaojuan; Zhou, Hongyuan; Chen, Yu; Du, Xiuli; Wang, Yonghui; Zhang, Hong</t>
  </si>
  <si>
    <t>Blast resistance of ECC and composite slabs subjected to near-field explosion</t>
  </si>
  <si>
    <t>10.1016/j.tws.2023.110885</t>
  </si>
  <si>
    <t>Due to the unfavorable blast resistance of reinforced concrete (RC) slabs, particularly with the frequent occurrence of penetration and spalling damage, engineered cementitious composite (ECC) provided a promising alternative for enhanced blast resistance through its direct application as a building material or by reinforcing existing RC slabs due to its excellent tensile ductility and toughness. In the present study, the blast resistance of the RC slab, the ECC slab, and the composite slab (RC slab reinforced by ECC layer) was investigated and compared through experimental and numerical approaches. Firstly, the material properties of the ECC were acquired through the quasi-static compressive test, as well as quasi-static and dynamic tensile tests, which felicitated the parameter calibration in the K&amp;C model for ECC. Then the numerical models of the RC slab, the ECC slab, and the RC/ECC composite slab were established and validated with the blast test results. The test and numerical results showed that the ECC and composite slabs exhibited superior anti-blast performance in terms of failure mode, damage extent, and load mitigation compared to the RC slab. Owing to the remarkable ductility and toughness, the ECC and composite slabs could greatly reduce the possibility and severity of penetration and spalling damage. Furthermore, five significant parameters impacting the blast resistance of ECC and composite slabs were summarized through dimensional analysis including the tensile strength of ECC σt, the total explosive energy Q, the standoff distance R, the slab thickness H, and the slab span L. Then a dimensionless number was proposed to determine the failure mode and predict the residual deflection at the center of the ECC and composite slabs. The results could serve as a reference for the design of ECC and composite slabs to resist blast loading in the field of structural protection.</t>
  </si>
  <si>
    <t>Patil, Sushant M.; Malagi, R.R.; Desavale, R.G.; Sawant, Sanjay H.</t>
  </si>
  <si>
    <t>Fault identification in a nonlinear rotating system using Dimensional Analysis (DA) and central composite rotatable design (CCRD)</t>
  </si>
  <si>
    <t>10.1016/j.measurement.2022.111610</t>
  </si>
  <si>
    <t>This paper investigates the effect of bearing clearance and external defects on the vibrational behavior of rolling element bearing. An integrated nonlinear model is developed using the Buckingham pi theorem to detect imminent bearing faults. Vibration responses acquainted experimentally by varying speed, clearance, and external defect on the rotor-bearing system are processed using fast Fourier techniques (FFT). Result analysis reveals the dominance of clearance and external defects on the dynamic stability of the rotor-bearing system. The maximum vibration amplitude among the all trials performed was 2.201 mm/sec at 1300 rpm shaft speed, 75 gm unbalance mass, and 0.025 mm bearing clearance. A close agreement of experimentation with model prediction assures accuracy and reliability. Central composite rotatable design (CCRD) shows its effectiveness in performing the design of experiments with understanding procedures. The current approach highlight’s fault identification and interactions with less than 9% error that satisfy the demands of current condition monitoring or diagnosis of industrial rotor-bearing systems.</t>
  </si>
  <si>
    <t>Hang, Nianzhi; Wang, Zekun; Liu, Moubin</t>
  </si>
  <si>
    <t>A novel data-driven dimensional analysis framework for predicting melt pool morphology and porosity evolution in powder bed fusion</t>
  </si>
  <si>
    <t>Journal of Materials Processing Technology</t>
  </si>
  <si>
    <t>10.1016/j.jmatprotec.2023.117929</t>
  </si>
  <si>
    <t>As a cutting-edge additive manufacturing (AM) technique, powder bed fusion (PBF) has gained much attention in both academic research and practical applications. Revealing the mechanisms of PBF in a simple and physically interpreting way is imperative but also challenging, as PBF is a multi-scale process with comprehensive material properties and process parameters. Dimensional groups can shed light on the underlying physics involved in PBF, while traditional dimensional analysis approaches are limited in extracting unique dimensionless groups and measuring their importance. In this work, we integrated dimensional analysis with the active subspace method (ASM), a data-driven dimension reduction method, and developed a novel data-driven dimensional analysis (DDDA) framework for predicting the melt pool morphology and porosity evolution in PBF. Different from the conventional dimensional analysis, DDDA can explore more potential dimensionless groups while measuring their relative importance. Hence we identified those dimensionless numbers of most significant importance and calibrated the scaling laws for predicting melt pool morphology and porosity evolution. Furthermore, the correlation between track size and porosity formation, as well as how single-track keyhole can contribute to the bulk porosity, is also presented. With its performance demonstrated through good agreement with experimental results, it is believed that this proposed DDDA framework will be a useful tool for transforming our knowledge in the evolution of melt pool morphology, keyhole defects and porosity.</t>
  </si>
  <si>
    <t>Rajput, Bhavna; Sharma, Sonika; Ray, Bahni; Das, Apurba; Talukdar, Prabal</t>
  </si>
  <si>
    <t>Performance prediction of flame-retardant clothing using correlations and artificial neural networks: Optimizing firefighter safety</t>
  </si>
  <si>
    <t>10.1016/j.icheatmasstransfer.2024.108324</t>
  </si>
  <si>
    <t>Flame-Retardant Clothing serves as a protective shield for firefighters that safeguards them from exposure to heat, flames and other thermal hazards. To achieve an optimal design for the clothing, it is essential to simultaneously account for all the factors affecting the performance of the clothing. The present study employs data from a numerical model to explore heat and moisture transport through clothing subjected to flame exposure. Seventeen non-dimensionless parameters associated with the heat and moisture transport in flame-retardant clothing are obtained. A correlation is developed to link the dimensionless second-degree burn time with other non-dimensional parameters. This correlation provides a means to predict the thermal protective performance (TPP) of the clothing. Additionally, an Artificial Neural Network (ANN) method is employed to determine the TPP of the clothing. Multi-layer feedforward backpropagation networks are utilized to predict the TPP under specified exposure conditions. The findings indicate that both the correlations and the ANN approach adopted in the present study demonstrated promising results. However, the ANN model predictions show better agreement with model data in comparison to the results derived from the developed correlation. The maximum percentage error in the predicted non-dimensional second degree burn time using ANN is limited to 10 %.</t>
  </si>
  <si>
    <t>Fathima, Arshia; Liam, Yong Zheng; Ilankoon, IMSK; Chong, Meng Nan</t>
  </si>
  <si>
    <t>Data-driven and validated dimensional analysis for rational scale-up of a dual-chamber microbial fuel cell system for water-energy nexus exploitation</t>
  </si>
  <si>
    <t>Bioresource Technology</t>
  </si>
  <si>
    <t>10.1016/j.biortech.2022.127233</t>
  </si>
  <si>
    <t>Mathematical modelling of microbial fuel cells (MFC) facilitates their scale-up by maintaining dimensionless parameters across reactor volumes for consistent performance. This study developed data-driven correlations to predict areal power density for a batch-fed dual-chamber MFC using hybridised first-principle mechanistic model and Buckingham’s Pi theorem. The established correlations were validated using experimentally-derived data for pre-enriched electroactive biofilm from mixed cultures. The biochemical model parameters are infilled with stoichiometric and thermodynamics estimations. Results showed that the correlations using logistic kinetics (Nash-Sutcliffe Efficiency, NSE = 0.59) outperformed Monod kinetics (NSE = 0.52) as the latter was not suitable for representing the first-order biochemical kinetics under limited substrate conditions. Sensitivity analysis on varying pH and bicarbonate concentration improved model predictions by ± 50%, though relative absolute error was ± 20% due to inherent error of estimated biochemical parameters. The application of hybridised approach for modelling MFC provides renewed perspectives for their rational design and scale-up applications.</t>
  </si>
  <si>
    <t>Huang, Jindi; Zhang, Dou; Li, Jing; Zhong, Jinlong; Huang, Haoling; Liu, Fupeng; Li, Mingzhou; Zhou, Songlin</t>
  </si>
  <si>
    <t>A water model study on mixing behaviour in a Kaldo furnace using acid–base neutralization decolourization method combined with RGB-based image analysis</t>
  </si>
  <si>
    <t>10.1016/j.cherd.2024.05.038</t>
  </si>
  <si>
    <t>Mixing time is usually used as an important parameter for quantifying the mixing performance of multiphase flow in a metallurgical bath. However, the topic of the mixing time of a Kaldo furnace for copper anode slime treatment has received little attention from scholars to date; this concept is important for guiding the optimization of high-efficiency smelting in the Kaldo furnace. In the present work, the mixing behaviour of gas-liquid two-phase flow in a Kaldo furnace was simulated using a scaled-down 1:4.5 water model fabricated from transparent acrylic plastic. A visualization technique and a quantitative characterization method for mixing performance in the Kaldo furnace—acid-base neutralization decolourization combined with RGB-based image analysis—were innovatively proposed. This approach can not only determine the global mixing level η¯(t) and track the frequency distribution of the local mixing performance ξk(t) of the fluid region during the mixing process but also quantify the mixing time. In addition, based on the proposed method and by using dimensional analysis, the effects of operating parameters (such as the gas flow rate Q, injection lance height h, rotation speed ω, liquid volume fraction φ, inclination angle θ, and liquid viscosity μl) on the mixing time of gas-liquid two-phase flow in the molten bath were discussed. On this basis, the empirical equation of the mixing time as a function of h, ω, φ, the modified Froude number (Fr'), μl and θ was established as the first quantitative relationship of the mixing time for the Kaldo furnace.</t>
  </si>
  <si>
    <t>Oshiro, R.E.; Alves, M.</t>
  </si>
  <si>
    <t>Study of similarity with distorted configurations of geometry via numerical models</t>
  </si>
  <si>
    <t>10.1016/j.ijimpeng.2024.105080</t>
  </si>
  <si>
    <t>Due to technical restrictions, the construction of a scaled structure (model) with all required dimensions can pose challenge in certain experimental impact tests. Consequently, one of the dimensions of the structure may be distorted, infringing the prerequisite conditions for the Π theorem, and rendering similarity unattainable. In the present work, a method that changes the striker initial velocity in order to compensate for geometric distortion is analysed. The factors calculated in this technique allow estimating the real-size structure (prototype) by using scaled models. Initially, a structure comprising two plates clamped together and subjected to impact by a mass is employed to illustrate the method. Subsequently, two models with distorted thickness are tested through numerical simulations: a clamped tube struck by a rigid mass; a buffer bow colliding with a rigid wall. A comprehensive analysis of the results and the limitations of the method is done to ascertain the sources of errors and determine which structures types can benefit from this technique.</t>
  </si>
  <si>
    <t>Ciulla, Giuseppina; D’Amico, Antonino; Lo Brano, Valerio</t>
  </si>
  <si>
    <t>Evaluation of building heating loads with dimensional analysis: Application of the Buckingham π theorem</t>
  </si>
  <si>
    <t>10.1016/j.enbuild.2017.08.043</t>
  </si>
  <si>
    <t>A detailed assessment of building energy performance requires a large amount of input data concerning building typology, environmental conditions, envelope thermophysical properties, geometry, control strategies, and several other parameters. Notwithstanding, the use of specialized software tools poses many challenges in regards to the retrieval of reliable and detailed information, setting a steep learning curve for engineers and energy managers. To speed up the preliminary assessment phase, it might be more convenient to resort to a simplified model that allows the evaluation of heating energy demand with a good level of accuracy and without excessive computational cost or user expertise. Dimensional analysis is a means of simplifying a physical problem by appealing to dimensional homogeneity to reduce the number of relevant variables. In this work, the authors investigated an alternative approach to assess the thermal energy demand of a high-performance-non-residential building. It was possible to define some dimensionless numbers that synthetically describe the links between the main characteristic parameters of the thermal balance by applying the Buckingham π theorem. After a detailed description of the Buckingham π theorem and of its application concerning the evaluation of the building energy balance, the authors identified nine “ad hoc” dimensionless numbers. The proposed methodology has been validated by the comparison of the heating energy demand calculated by detailed dynamic simulations carried out in TRNSYS according to the standards and laws of building energy requirements in seven different European countries. Applying a set of criteria, it was possible to employ a dimensionless number to determine, immediately and without any calculation or use of steady/dynamic software, the heating energy demand with an reliability &gt;90%.</t>
  </si>
  <si>
    <t>Heo, Won-Seok; Hetts, Steven W.; Rayz, Vitaliy L.</t>
  </si>
  <si>
    <t>Dimensional analysis of magnetophoresis</t>
  </si>
  <si>
    <t>International Journal of Engineering Science</t>
  </si>
  <si>
    <t>10.1016/j.ijengsci.2023.103946</t>
  </si>
  <si>
    <t>Magnetophoresis is used in various applications requiring selective collection of magnetic particles. This study is aimed at quantitatively describing magnetophoretic systems via dimensional analysis to assess the relative contribution of hydrodynamics, electromagnetism, and particle dynamics. We introduce dimensionless numbers characterizing the transport of magnetic particles in a fluid. Analytical and numerical studies were conducted for magnetophoretic systems where magnetic particles were suspended in a fluid exposed to magnetic fields generated by permanent magnets. The magnetically induced mobility of the magnetic particles was simulated for a range of parameters relevant in biomedical applications, including the particle and fluid properties, flow velocity, and geometries of the particle, flow channel, and magnet. The numerical results obtained in multiphysics modeling of magnetophoretic systems were analyzed based on the proposed dimensionless numbers, resulting in a functional relationship for the particle capture efficiency (CE), defined as the ratio of captured particles to all particles injected in the flow. The performance of magnetophoretic systems predicted with the dimensional analysis was verified in comparison with published experimental data. Using dimensional analysis, 12 input parameters determining the particle CE were reduced to 3 dimensionless numbers characterizing the ratios of magnetophoretic and hydrodynamic forces, cross-sectional areas of the magnet and the flow channel, and length and diameter of the magnet. A set of curves predicting particle CE was obtained using these dimensionless numbers. A close agreement was found between the CEs predicted by the curves and those obtained in both numerical simulations and experiments where cylindrical magnets were placed in a flow through a cylindrical pipe. This study provides a promising framework for analyzing and predicting performance of various magnetophoretic systems for a range of applications.</t>
  </si>
  <si>
    <t>Lin, Aqiang; Liu, Gaowen; Yu, Xiangxian; Chang, Ran; Feng, Qing</t>
  </si>
  <si>
    <t>Comprehensive investigations on fluid flow and heat transfer characteristics of a high-speed rotating turbine disk cavity system of aero-engine</t>
  </si>
  <si>
    <t>10.1016/j.icheatmasstransfer.2022.106170</t>
  </si>
  <si>
    <t>Thermal loading management of turbine disks get important attention in the safety of aero-engines due to a large temperature level and gradient differences in the turbine disk cavity. This study conducts a comprehensive evaluation to address complex heat transfer problems in a high-speed rotating turbine disk cavity system, fully considering multiple factors. A theoretical derivation is conducted to fully elaborate the multifactor influencing mechanisms of the system based on similarity criteria and a dimensional analysis method. Notably, a high-speed rotational experimental platform of rotating disk is established to verify the research method's reasonability and the result's accuracy. Furthermore, four dimensionless operation cases are conducted to assess the correlation mechanism of the system performance with a strong rotating flow and heat transfer. The results indicate that the main correlation factors of the disk cavity system performance are the flowing Reynolds number, rotating Mach number, rotating Reynolds number, specific heat ratio, and wall temperature. Moreover, the Rossby number and the swirl ratio are used to evaluate the fluid flow characteristics. With the increase in the flowing Mach number from 0.006 to 0.15 and the rotating Reynolds number from 0.74 × 106 to 14.80 × 106 at 9000 rpm, the Nusselt number on the rotor disk wall enhances to 1639.4 and 1286.9, respectively. However, it decreases to 1001.91 for the rotating Mach numbers in the range of 1800–13,500 rpm. Particularly, the dimensionless heat flux is in the range of 0.0026–1.23 under multifactor effects. In summarizing, the present findings are of importance for improving the thermal management and performance reliability of aero-engines by developing an advanced turbine disk cooling system.</t>
  </si>
  <si>
    <t>Banerjee, Shantanu; Afzal, Mohammad Areeb; Chokshi, Paresh; Rathore, Anurag S.</t>
  </si>
  <si>
    <t>Mechanistic modelling of Chinese hamster ovary cell clarification using acoustic wave separator</t>
  </si>
  <si>
    <t>10.1016/j.ces.2021.116894</t>
  </si>
  <si>
    <t>Acoustic wave separation (AWS) is gradually emerging as an effective method for continuous clarification of Chinese hamster ovary (CHO) cells. In this paper, we present a mechanistic model for AWS based on population balance model (PBM) along with acoustic agglomeration kernel to predict cell size distribution as a function of time. Results show that more than 90% CSE was achieved for flowrates &lt;5 mL min−1 and acoustic power &gt;12.5 W. Experimental results confirm that the mechanistic model offers an accurate prediction of the CHO agglomeration process. Furthermore, a generalized correlation has been developed using the Buckingham Pi theorem between the dimensionless numbers composed of relevant process and geometrical variables to predict the agglomeration efficiency. To our knowledge, this is the first such study to model the agglomeration dynamics of CHO cells in acoustic standing waves.</t>
  </si>
  <si>
    <t>Rietkerk, Robbert; Heine, Andreas; Riedel, Werner</t>
  </si>
  <si>
    <t>Physics-informed machine learning model for prediction of long-rod penetration depth in a semi-infinite target</t>
  </si>
  <si>
    <t>10.1016/j.ijimpeng.2022.104465</t>
  </si>
  <si>
    <t>Traditional data-driven approaches to long-rod penetration modeling incorporate significant expert bias through handcrafted analytical formulas. In this work, we investigate machine learning as an alternative to build a more flexible, less biased model. Published data from approximately 900 experiments were used to train an artificial neural network to predict the depth of penetration into a semi-infinite target. On the basis of empirical parameter studies, we optimized the neural network architecture and regularization technique for this task. To aid the learning process, we incorporated into the machine learning model general physical principles, such as formalized in the Buckingham Pi theorem. The resulting physics-informed machine learning model shows good performance in generalization to new combinations of penetrator and target materials. As exemplary model application, we accurately postdict experimental results on the influence of target hardness fluctuations on penetration depth.</t>
  </si>
  <si>
    <t>Lira-Parada, Pedro A.; Pettersen, Even; Biegler, Lorenz T.; Bar, Nadav</t>
  </si>
  <si>
    <t>Implications of dimensional analysis in bioreactor models: Parameter estimation and identifiability</t>
  </si>
  <si>
    <t>10.1016/j.cej.2021.129220</t>
  </si>
  <si>
    <t>The multiple-input, multiple-output nature of microbial fermentation processes are most often described by nonlinear state space models. In order to apply these models for control purposes, they require the fitting of a set of model parameters so they can provide an accurate description of the fermentation system. In order to prevent overfitting of the experimental data, the parameter estimation procedures should produce unique estimates with small confidence intervals. This is facilitated by dimensional analysis, a tool that provides proper scaling of the dynamic model, removing its dimensional units. However, it is surprising that fermentation models seldom employ dimensional analysis, although it is recognized as a tool that can reduce the number of parameters and thus facilitate a comparison between different sets of data. In this tutorial review, we develop a systematic approach for dimensionless reformulation applied to fermentation systems. The approach is demonstrated on parameter estimation studies for a non-isothermal CSTR model and two common microbial fermentation state space models. It is shown that the analysis reduces the number of parameters in the models to yield identifiable reparameterizations, increases the accuracy of the parameter estimation, facilitates sensitivity analysis, and it can be stated that model identification and dimensional analysis as two concepts/approaches are complementary to each other. These benefits are relevant for the next stage of process optimization and control implementation. This review demonstrates the benefits of the dimensional analysis procedure, especially as an essential model development step for bioreactor systems, and together with a structural identifiability analysis it corresponds to methodologies for model reparameterization and parameter reduction.</t>
  </si>
  <si>
    <t>Bae, Seo Jun; Lee, Seon Jun; Im, Do Jin</t>
  </si>
  <si>
    <t>Dual magnet solenoid actuator: Basic concept and theory</t>
  </si>
  <si>
    <t>Sensors and Actuators A: Physical</t>
  </si>
  <si>
    <t>10.1016/j.sna.2024.115129</t>
  </si>
  <si>
    <t>We propose a new linear solenoid actuator design to create a solenoid micropump targeting portable microfluidic systems. A novel solenoid actuator design was developed with a unique arrangement of two magnets, which provides a fundamental solution to the inherent problem of force variation in conventional solenoid pumps. Central to the technique is the antisymmetric force distribution of the two magnets in an opposing orientation with a suitable spacing between them. Through a mathematical model and systematic parametric study, we verified that the proposed linear solenoid actuator could provide up to 99.9% constant force source with fast response time and pulsation-free flow in small system size using direct current (DC) power. In addition, the general design rule of the proposed solenoid actuator was found through dimensional analysis. The proposed design is implemented into more practical solenoid micropumps for microfluidic applications such as flow focusing and droplet manipulation in digital microfluidics through our series work. We hope this study will promote the development of various actuators for microfluidics and contribute to the broader application of microfluidics in more fields.</t>
  </si>
  <si>
    <t>Li, Fangning; Cao, Haishan</t>
  </si>
  <si>
    <t>Machine-learning algorithms for predicting condensation heat transfer coefficients in the presence of non-condensable gases</t>
  </si>
  <si>
    <t>10.1016/j.ijrefrig.2024.04.007</t>
  </si>
  <si>
    <t>Condensation on surfaces in the presence of non-condensable gas (NCG) is a ubiquitous and critical phenomenon in many industrial fields. However, current empirical correlations for predicting condensation heat transfer coefficients in the presence of NCG may exhibit significant deviations from reality. Machine learning algorithms are now being dedicated to this field, but the models developed can only predict the condensation heat transfer coefficients of steam or vapor of a non-aqueous working fluid with similar physical properties to water in the presence of NCG. In the present study, a comprehensive theoretical analysis was conducted to investigate the total condensation heat transfer coefficients with NCG, and 16 dimensionless numbers were identified as input variables for machine learning models. Based on a filtered database consisting of 4377 data points extracted from 37 papers, the Spearman correlation coefficients were calculated to evaluate the relationship between the total heat transfer coefficients and the input variables, indicating the magnitude of the impact of the 16 dimensionless variables. Four machine learning models, namely Gradient Boosting Regression (GBR), Extreme Gradient Boosting (XGBoost), Random Forest Regression (RFR), and Multilayer Perceptron (MLP), were developed to predict the total heat transfer coefficients for water and non-aqueous working fluids. The mean absolute percentage errors for the four models were 1.38%, 1.63%, 3.00%, and 4.42%, respectively, with the GBR model exhibiting the highest degree of accuracy. The determination of the application scope of these models was conducted by analyzing the value ranges for each dimensionless parameter and its corresponding frequency distribution.</t>
  </si>
  <si>
    <t>Dapelo, Davide; Trunk, Robin; Krause, Mathias J.; Cassidy, Nigel; Bridgeman, John</t>
  </si>
  <si>
    <t>The application of Buckingham π theorem to Lattice-Boltzmann modelling of sewage sludge digestion</t>
  </si>
  <si>
    <t>10.1016/j.compfluid.2020.104632</t>
  </si>
  <si>
    <t>For the first time, a set of Lattice-Boltzmann two-way coupling pointwise Euler-Lagrange models is applied to gas mixing of sludge for anaerobic digestion. The set comprises a local model, a “first-neighbour” (viz., back-coupling occurs to the voxel where a particle sits, plus its first neighbours) and a “smoothing-kernel” (forward- and back-coupling occur through a smoothed-kernel averaging procedure). Laboratory-scale tests display grid-independence problems due to bubble diameter being larger than voxel size, thereby breaking the pointwise Euler-Lagrange assumption of negligible particle size. To tackle this problem and thereby have grid-independent results, a novel data-scaling approach to pointwise Euler-Lagrange grid independence evaluation, based on an application of the Buckingham π theorem, is proposed. Evaluation of laboratory-scale flow patterns and comparison to experimental data show only marginal differences in between the models, and between numerical modelling and experimental data. Pilot-scale simulations show that all the models produce grid-independent, coherent data if the Euler-Lagrange assumption of negligible (or at least, small) particle size is recovered. In both cases, a second-order convergence was achieved. A discussion follows on the opportunity of applying the proposed data-scaling approach rather than the smoothing-kernel model.</t>
  </si>
  <si>
    <t>Sanchez, Florian; Budinger, Marc; Hazyuk, Ion</t>
  </si>
  <si>
    <t>Dimensional analysis and surrogate models for the thermal modeling of Multiphysics systems</t>
  </si>
  <si>
    <t>10.1016/j.applthermaleng.2016.08.117</t>
  </si>
  <si>
    <t>This paper presents an original form of surrogate models and the associated construction procedure adapted to the thermal modeling of Multiphysics systems. This method of meta-modeling, which uses dimensional analysis, extracts compact models suitable for preliminary design from finite element simulations. The mathematical expression used for the model is a product of variable power laws of dimensionless numbers. Compared to traditional surrogate models (polynomial response surfaces, kriging and radial basis functions), it has the advantage of giving light, compact forms with good predictive accuracy over a wide range of the design variables (several orders of magnitude). The general regression process is first explained and illustrated with a study of the Marangoni effect. Then the methodology is used to build thermal models of an electromechanical actuator (EMA) which are used to size an aileron EMA for two different cooling strategies. Finally the models are also used to discuss the effect of confinement on the actuator’s overall thermal resistance.</t>
  </si>
  <si>
    <t>Dwier, Sultan; Garrouch, Ali; Lababidi, Haitham</t>
  </si>
  <si>
    <t>Delineation of the effective viscosity controls of diluted polymer solutions at various flow regimes</t>
  </si>
  <si>
    <t>Fluid Phase Equilibria</t>
  </si>
  <si>
    <t>10.1016/j.fluid.2024.114143</t>
  </si>
  <si>
    <t>Carreau's model is a well-established standard in the scientific community for estimating the viscosity of polymer solutions as a function of shear rate. It accurately predicts effective viscosity in power-law and Newtonian flow regimes, distinguished by distinct asymptotic values at extremely low and high shear rates. However, existing analytical models for determining Carreau's parameters (zero-shear-viscosity, μp∘, power-law index, n, and relaxation-time constant, λ) have limitations. Typically expressed in terms of polymer solution concentration (Cp), these models often overlook critical variables such as solvent salinity (CNaCl), hardness (Cca++), solution density (ρs), and polymer molecular weight (M). Additionally, many of these models lack dimensional consistency. This study introduces a robust scientific method for modeling Carreau's parameters, integrating dimensional analysis with non-linear regression to delineate the factors influencing these parameters. The analysis indicates that the power-law index is primarily influenced by Cp, CNaCl, and Cca++. The zero-shear-viscosity (μp∘) is governed by Cp, CNaCl, Cca++, M, ρs, pressure (P), and n, while the time constant (λ) is mainly determined by Cp, CNaCl, Cca++, n, and μp∘. The derived empirical models demonstrate a direct dependence of zero-shear viscosity on P, M3,ρs6, and an exponential dependence on Cp, aligning with experimental observations. Incorporating variables like solution density, molecular weight, and pressure was crucial for enhancing the precision of μp∘ and λ predictions. These models, validated against rheological measurements of three dilute EOR polymer solutions (HPAM and AMPS-based) in various conditions, have shown superior precision and impartiality compared to prominent existing models, representing a significant advancement in the field.</t>
  </si>
  <si>
    <t>Kazemi, Majid; Barati, Reza</t>
  </si>
  <si>
    <t>Application of dimensional analysis and multi-gene genetic programming to predict the performance of tunnel boring machines</t>
  </si>
  <si>
    <t>10.1016/j.asoc.2022.108997</t>
  </si>
  <si>
    <t>An accurate prediction of tunnel boring machine (TBM) performance is one of the complex and crucial issues encountered frequently in tunnel construction, which is the aim of the present study. An improved methodology using dimensional analysis (DA) and multi-gene genetic programming (MGGP) is proposed to obtain a practical and accurate model which can predict TBM performance. Three dimensionless parameters are introduced by applying DA to predict TBM performance more efficiently. These parameters can represent TBM and rock features. The MGGP, as a powerful technique for developing a practical correlation model, was adopted to develop highly accurate models using GPTIPS (Genetic Programming Toolbox for the Identification of Physical Systems). A well-known database of a hard rock mechanized tunneling project of the Queens water conveyance tunnel was used to evaluate the performance of the proposed methodology. The performances of the developed models were examined and compared with other reported models using three statistical criteria. Regarding the sum of squared deviations (SSD), the developed model yielded 21.7% better results than the best existing model. Moreover, it was found that the presented dimensionless parameters have physical meaning and are much better parameters to develop a model for TBM performance prediction.</t>
  </si>
  <si>
    <t>de Oliveira, Marciellyo Ribeiro; Lourett, Eron Talisson Dias; da Mata, Adriana Machado Malafaia; Martins, Marcio Ferreira; Palma, Francisco Hernán Sepúlveda; de Moura, Bruno Furtado</t>
  </si>
  <si>
    <t>Bulk resistance and contact impedance: Particular solution for annulus, homogeneous domain and dimensional analysis of the complete electrode model</t>
  </si>
  <si>
    <t>10.1016/j.measurement.2024.114932</t>
  </si>
  <si>
    <t>Viewing the complexity of multiphase flows, in which multi-dimensional and time-changing fluid structures, known as flow patterns, must be captured, electrical impedance tomography (EIT) stands out as an alternative for fluid flow visualization. Using an EIT system, this study presents an enhanced approach for measuring film thickness in two-phase flows. Incorporating bulk resistance and contact impedance contributions, the proposed ohmic model significantly improves accuracy, particularly in low-conductivity scenarios, yielding a robust, accurate, and rapid technique for obtaining images from an EIT-based low-cost acquisition system. Tomographic experiments validate the model’s efficacy using cylindrical sensors and diverse conductivity mediums, including two distinct phantoms. The dimensional analysis of the model yields five dimensionless numbers, revealing interrelations between electrical parameters and sensor construction. A correlation based on a dimensionless number for the contact impedance is obtained. Additionally, the experiments demonstrate a strong interplay with the polarization phenomenon.</t>
  </si>
  <si>
    <t>Antoniou, M.; Kourkoulis, R.; Gelagoti, F.; Anastasopoulos, I.</t>
  </si>
  <si>
    <t>Simplified method for performance-based seismic design of suction caissons supporting jacket offshore wind turbines</t>
  </si>
  <si>
    <t>10.1016/j.soildyn.2022.107169</t>
  </si>
  <si>
    <t>The paper studies the performance of Offshore Wind Turbines (OWTs) founded on Suction Bucket Jackets (SBJs) in clay under combined wind and seismic loading. A detailed 3D FE model of the soil–foundation–structure (SFS) system is developed and used as a benchmark to assess the efficiency of an enhanced Winkler-based "Caisson-on-Winkler-Soil" (CWS) model, where the soil is replaced by nonlinear hysteretic elements. The proposed CWS model captures residual deformations and hysteresis and offers physical coupling between vertical and moment loading. It allows excellent prediction of the H–M failure envelope in the most relevant first quadrant of H–M space, where the loads act in the same direction. Despite its successful application for the simulation of inertial loading, the CWS model fails to reproduce the dual shearing mechanism that develops at the caisson shaft during shaking, stemming from the combination of kinematic soil shearing due to the vertically propagating shear waves, and shearing due to the superstructure inertial response, thus underpredicting the co-seismic caisson settlements. For the prediction of the latter, the research utilizes spectrum compatible input motions and 3D FE models of varying geometric and material properties to derive linear regression equations that correlate the co-seismic dimensionless settlement of caissons (wE/D) with characteristic dimensional variables of the problem under investigation and the Arias Intensity (IA) of the surface ground motion. As a final step, the paper proposes a hybrid method for performance-based assessment of SBJ OWTs. The proposed method employs the simplified CWS model to calculate the VHM loads and approximately estimate horizontal displacements and rotations at the jacket legs, followed by a preliminary assessment of caisson settlements using the correlations of wE/D with IA, on the basis of spectrum-compatible input motions.</t>
  </si>
  <si>
    <t>Du, Yingchun; Fan, Guanheng; Chen, Guangda; Zhang, Yiqun; Wang, Dongxu; Li, Xintong</t>
  </si>
  <si>
    <t>Scaling laws of Space Solar Power Satellite concentrator unit distortion model obtained by performance-driven separate similitude analysis method</t>
  </si>
  <si>
    <t>10.1016/j.ast.2024.109081</t>
  </si>
  <si>
    <t>The distortion model may arise due to the inability to isometrically scale the thickness dimensions when utilizing similitude theory to develop scaling laws for large-scale concentrator units in the Space Solar Power Satellite. Previous works to address the distortion model neglect its negative impacts and persistent limits, resulting in insufficient prediction accuracy for prototype. To obtain scaling laws of the distortion model, this paper introduces a novel strategy called the performance-dominated separate similitude analysis, which significantly reduces the distortion model's negative impacts and persistent limits on similitude prediction. Firstly, performance parameters sensitive to the distortion model are generated by dimensional analysis and the governing equation method. Secondly, the distortion model is separated into two scaled models: complete and partial similitude, based on the sensitive performance parameters. Subsequently, the scaling laws of complete and partial similitude models are derived, respectively. Finally, the scaling laws of the distortion model are derived by combining the complete and partial similitude laws. The proposed method is validated through finite element model simulation for both the concentrator unit prototype and the distortion model. Results indicate that in the best case, the prediction error doesn't exceed 0.2 %, and the prediction accuracy can be improved by up to 87.34 % compared to the existing methods.</t>
  </si>
  <si>
    <t>Mujiburohman, Muhammad; Mahdi, Khaled A.; Elkamel, Ali</t>
  </si>
  <si>
    <t>Predictive model of pervaporation performance based on physicochemical properties of permeant–membrane material and process conditions</t>
  </si>
  <si>
    <t>10.1016/j.memsci.2011.06.039</t>
  </si>
  <si>
    <t>This study is aimed at developing a predictive model of pervaporation performance, particularly permeation flux, as a function of physicochemical properties of permeant–membrane material and process conditions. A new approach was introduced that the developed model took into account all the steps of transport mechanism in pervaporation, i.e., sorption, diffusion, and desorption. A new term so-called permeation conductance was used and was correlated to selected affecting physicochemical properties and process conditions on the above three steps through dimensional analysis. The permeation flux (Ji) was modeled as a multiplication of an overall permeation conductance (koverall,i) and a driving force of feed concentration (CF,i). A large data based was assembled from the literature and our experiments; 87% of it was used for model training, and the remaining was for testing. The model was found to give fairly good predictions on pervaporation performance. The relative ratio of molecular interactions (solubility parameter) of permeant–permeant over that of permeant–membrane (ΔSolij/ΔSolim) and the operating temperature (T) were found to be the most influencing physicochemical property and process condition on the permeation flux.</t>
  </si>
  <si>
    <t>Dimensionally-consistent equation discovery through probabilistic attribute grammars</t>
  </si>
  <si>
    <t>10.1016/j.ins.2023.03.073</t>
  </si>
  <si>
    <t>Chen, Fan; Zhong, Wenjie; Wan, Decheng</t>
  </si>
  <si>
    <t>Numerical investigation of the water entry of inclined cylinders using dynamic sliding mesh method</t>
  </si>
  <si>
    <t>10.1016/j.oceaneng.2022.111525</t>
  </si>
  <si>
    <t>There is a lack of considerations on water entry problems of inclined cylinders with the same mass, which is important to practical engineering problems such as hydrodynamic performance optimization. Therefore, this work focuses on the effects of diameter-length ratio and water entry angles on the hydrodynamic forces on cylinders with the same mass. A numerical model for the water entry of inclined cylinders is developed. A novel dynamic sliding mesh method is implemented in OpenFOAM based on the coupling of the sliding mesh and mesh morphing methods. A spring-like mesh motion strategy is proposed. The major advantages of this self-implemented mesh handling method are on accommodation of the large amplitude of the six degree-of-freedom motion of a cylinder (rigid body) and the preservation of the mesh non-orthogonality. By comparing with a laboratory study and another numerical simulation, the proposed numerical model shows a good consistency. The effects of the aforementioned parameters on the pressure forces and cylinders’ motions are investigated. A dimensional analysis is conducted to find the correlation between the maximum vertical pressure force and various parameters. An equation is proposed with a good agreement with the numerical results, which can provide references for practical water entry problems. The developed model can also be used in the simulations of more complicated water entry scenarios and ship hull slamming.</t>
  </si>
  <si>
    <t>Bin, Cao; Yi, Yuan; Abdelkader, Amor; Kamali, Ali Reza; Montalvão, Diogo; Qiang, Wang; Zhicheng, Shan; Lixue, Yang</t>
  </si>
  <si>
    <t>Generation mechanism and empirical model of eddy current force and torque in drum-type eddy current separation</t>
  </si>
  <si>
    <t>Waste Management</t>
  </si>
  <si>
    <t>10.1016/j.wasman.2024.04.046</t>
  </si>
  <si>
    <t>Enhancing the recovery efficiency of non-ferrous metals in eddy current separation is of great significance. In this study, the accuracy of the simulation model was verified by comparing the eddy current force. The transformation mechanism of the Lorentz forces into the eddy current force and torque in non-ferrous metal particles was revealed by analyzing various physical fields. Then, the influence of magnetic field parameters on eddy current, eddy current force, and torque was studied. It shows that the eddy current force and torque are affected by the vector gradient of the magnetic field and the magnetic flux density, respectively. Additionally, the time derivative of the magnetic field impacts the magnitude of the eddy current force and torque by controlling the eddy current. On this basis, the empirical models of eddy current force and torque were established by similarity theory. The results obtained can improve and expand the application of eddy current separation.</t>
  </si>
  <si>
    <t>LV, Henghua; KANG, Lixia; LIU, Yongzhong</t>
  </si>
  <si>
    <t>Dimensional analysis and effects of dimensionless numbers on the iron removal process in electromagnetic induction heating furnaces</t>
  </si>
  <si>
    <t>10.1016/j.ijheatmasstransfer.2024.125714</t>
  </si>
  <si>
    <t>In the iron removal process by melting reduction of aluminosilicate solid waste, induction heating furnace can provide the heat source for fast melting solid wastes and carbothermal reduction, and drive the melt flow by electromagnetic force, which enhances the heat and mass transfer and improves the reduction and separation efficiency of the iron oxide impurities in the melt. In this work, based on the multi-physics real-time coupling model that integrates carbothermal reduction and interfacial mass transfer between two-phase melts in the induction furnace, several dimensionless numbers are derived by dimensional analysis of the magnetohydrodynamic equations and governing equations of physical fields, i.e., magnetic Reynolds number (Rem), Reynolds number (Re), Prandtl number (Pr), Hartmann number (Ha), Froude number (Fr), Weber number (We) and Peclet number (Pe). Combined with the physical significance of these dimensionless numbers, the constraints between different parameters and physical fields were analyzed, as well as the influences of dimensionless numbers on the two evaluation indexes of reduction degree and energy consumption. The correlation models between the dimensionless numbers and the reduction degree of iron oxides were obtained by data regression. Since the dimensionless numbers in the correlation models coupled the synergistic influences of multiple parameters on the transport processes, it can not only provide theoretical guidance for the inverse selection of design or operating parameters, but also greatly improve the applicability of the model.</t>
  </si>
  <si>
    <t>Murari, A.; Spolladore, L.; Rossi, R.; Gelfusa, M.</t>
  </si>
  <si>
    <t>Combining dimensional and statistical analysis for efficient data driven modelling of complex systems</t>
  </si>
  <si>
    <t>10.1016/j.ins.2023.119243</t>
  </si>
  <si>
    <t>Dimensional analysis is a well-known approach to model building in engineering, because it can contribute to identifying more parsimonious and meaningful equations for describing complex phenomena. Unfortunately, it is not always exploited to the full, because it is typically applied prior to any form of statistical evaluation, often resulting in poor choices of the dimensionless quantities and consequently in suboptimal models. A completely general and data driven technique is proposed, which integrates dimensional and statistical analysis with the help of genetic programming supported symbolic regression and neural computing. The methodology exploits the potential of various machine-learning techniques and allows extracting mathematical models in terms of dimensionless quantities directly from the dimensional databases available. A battery of numerical tests and examples from fluid dynamics and thermonuclear fusion illustrate the unquestionable advantages of the approach for statistical inference and for the interpretation of the large amounts of data produced by modern physics experiments and engineering studies.</t>
  </si>
  <si>
    <t>Cabrera-González, J.A.; Blázquez, A.; París, F.; Gallardo, R.</t>
  </si>
  <si>
    <t>A closed-form expression derived from virtual testing for structural optimization of L-flange bolted connections</t>
  </si>
  <si>
    <t>Engineering Failure Analysis</t>
  </si>
  <si>
    <t>10.1016/j.engfailanal.2024.108706</t>
  </si>
  <si>
    <t>L-flange bolted joints are extensively used in different industrial sectors, such as wind turbine towers, rocket stages, or pipelines. Typically, the design of these connections is based on analytical expressions derived from simplified beam models. However, the influence of specific factors such as curvature, adjacent bolts, or joint separation are not addressed within conventional approaches. Finite element models offer the advantage of comprehensively accounting for these effects and the interaction between different failure mechanisms. Nevertheless, their industrial implementation requires significant computational resources, in contrast to the use of analytical formulae. In this context, this paper proposes a new framework for designing optimized L-flange bolted connections, based on general closed-form expressions that rely on validated numerical results. Three expressions, each one related to a particular failure mechanism, are derived from parametric simulations varying the most influencing parameters in the structural behavior. The generated equations can be easily implemented to guide the design process towards an optimal configuration, taking advantage of beneficial effects not addressed within classical approaches. A closer prediction of the actual load capacity of the joint can be obtained, providing a tool that allows engineers to make more reliable and economical designs.</t>
  </si>
  <si>
    <t>Yang, Kuang; Liang, Zhicheng; Xu, Bo; Hou, Zhenghui; Wang, Haijun</t>
  </si>
  <si>
    <t>Data-driven dimensional analysis of critical heat flux in subcooled vertical flow: A two-stage machine learning approach</t>
  </si>
  <si>
    <t>10.1016/j.applthermaleng.2024.123167</t>
  </si>
  <si>
    <t>This study presents a novel two-stage machine learning algorithm that identifies dominant dimensionless numbers for critical heat flux (CHF) prediction, circumventing the limitations of traditional dimensional analysis by integrating the Buckingham Pi theorem with advanced computational methods, including the active subspace method and machine learning. When applied to extensive datasets, including 1438 data points from subcooled departure from nucleate boiling (DNB) conditions and validated against a non-overlapping 24,284-point lookup table dataset, our algorithm effectively discerns and validates the dimensionless numbers critical to the CHF phenomena. Notably, it identifies a significant negative correlation between a newly discovered dominant dimensionless number and the boiling number Bochf = q″w,chf / (G hfg), and introduces a new simplified scaling law for water under earth's gravitational conditions, outperforming existing models with substantial predictive accuracy. This scaling law and the identified dimensionless numbers, derived from an initial dataset of 1438 data points, exhibit exceptional generalization capabilities when validated against a significantly larger dataset of 24,284 points. These findings also emphasize the nonlinear effects of inlet quality on the boiling number Bochf. The contribution of this research lies in its potential to deepen the understanding of CHF based on data-driven fashion, with the potential to enhance thermal management and design optimization across various applications.</t>
  </si>
  <si>
    <t>Tarahomi, Mohammad Amin; Emamzadeh, Mohammad; Ameri, Mohammad</t>
  </si>
  <si>
    <t>Scaling two-phase gas-liquid flow in horizontal pipes</t>
  </si>
  <si>
    <t>10.1016/j.cherd.2023.11.029</t>
  </si>
  <si>
    <t>Two-phase flow in pipelines is analyzed by experimental facilities and also numerical analysis. The experimental facilities are designed by scale-down field pipelines. Therefore, the accuracy of experimental data is strongly dependent on the scaling method. In this research, an approach for downscaling field pipelines into experimental facilities is proposed. The fluid flows in different scales for various flow patterns including Stratified, Stratified Wavy, Slug, Plug and Bubbly are numerically simulated and validated against full-scale experimental data. The results of the scaled-down model simulation are in excellent agreement with the full-scale facilities, affirming the robustness of the downscaling method. This research enhances the understanding of scaled-down experiments for various flow conditions.</t>
  </si>
  <si>
    <t>Zhao, Chuang-Yao; Jia, Chen-Yi; Xu, Ling-Ling; Zhang, Fang-Fang; Qi, Di; Song, Bing-Ye; Liu, Qing; Jiang, Jun-Min</t>
  </si>
  <si>
    <t>Heat transfer enhancement of PCM in the triple-pipe helical-coiled latent heat thermal energy storage unit and complete melting time correlation</t>
  </si>
  <si>
    <t>10.1016/j.renene.2024.121528</t>
  </si>
  <si>
    <t>Secondary flows induced in helical-coiled pipes significantly enhance the thermal storage performance of latent heat thermal energy storage units. This paper presents a three-dimensional model of a triple-pipe helical-coiled system to investigate the melting characteristics of phase change material within it. A correlation for the complete melting time was developed based on the simulation results. The findings indicate that the thermal-hydraulic fields of the heat transfer fluids and phase change material deflect from the vertical central axis at cross-sections. The secondary flows within the inner pipe are more effective in enhancing melting than those in the outer pipe. Melting performance improves with increasing inner pipe diameter, coil diameter (from 100 mm to 160 mm), inclination angle, or heat transfer fluid temperature, or decreasing helical pitch. The inner pipe diameter, helical pitch and heat transfer fluid temperature exhibit more pronounced influences. An inner pipe diameter of 30 mm, a coil diameter of 160 mm, a helical pitch of 80 mm, an inclination angle of 90°, a heat transfer fluid temperature of 360 K, and a heat transfer fluid Reynolds number of 2000, respectively produce a faster melting process. The developed correlation for the triple-pipe helical-coiled pipe thermal storage unit accurately predicts 96 % of the 45 data within ±11 %.</t>
  </si>
  <si>
    <t>Zhao, Shuangfei; Wei, Yimin; Yu, Pengjie; Yuan, Fei; Li, Chao; Gao, Qifeng; Sheng, Lianzhu; Feng, Yirong; Yang, Jiming; He, Wei; Zhu, Ning; Li, Yuguang; Ji, Dong; Guo, Kai</t>
  </si>
  <si>
    <t>High throughput preparation and particle size control strategy of nano apigenin by a scale-up microreactor</t>
  </si>
  <si>
    <t>Journal of Industrial and Engineering Chemistry</t>
  </si>
  <si>
    <t>10.1016/j.jiec.2023.11.059</t>
  </si>
  <si>
    <t>The particle size and distribution have a significant impact on the bioavailability and stability of insoluble drugs. A scale-up microreactor system based on an ellipsoidal baffle mixer was proposed for the preparation and tuning of insoluble drug. As an important bioactive substance, apigenin was used as a representative of insoluble drugs and was subject to particle size regulation by this system. The effects of surfactant, flow rate ratio, flow rate and solvent concentration on apigenin particle size were studied by solvent/anti-solvent method experiments and the transport process of apigenin molecules in the microreactor was simulated numerically by computational fluid dynamics (CFD). Furthermore, the particle size regulation model of apigenin in the system was built by using the π theorem of fluid mechanics. Finally, under the conditions of optimal parameters, the minimum particle size of nano apigenin (D50) was 116 nm, the recovery was 95.3 % and the purity was increased by 0.88 %. This study demonstrates the feasibility of a highly efficient, high-throughput, particle size controllable preparation of nanomedicine.</t>
  </si>
  <si>
    <t>Liao, Haifan; Yang, Kuang; Liang, Zhicheng; Hu, Hongfei; Wang, Xinying; Wang, Haijun</t>
  </si>
  <si>
    <t>A new paradigm in critical flow analysis: Combining Buckingham Pi theorem with neural network for improved predictions in microchannels</t>
  </si>
  <si>
    <t>10.1016/j.ces.2024.120483</t>
  </si>
  <si>
    <t>Critical flow phenomena are prevalent in many chemical engineering processes, such as microchannel heat exchangers, nuclear safety analysis, jet pump modeling, and industrial systems utilizing subcooled or two-phase pressurized fluids. Understanding the impact of various physical parameters on critical flow and accurately predicting critical flow mass flux is essential in these processes. This article collects extensive experimental data on subcooled water two-phase critical flow and supplements it with additional experimental data from actual micro-cracked channels, constructing a comprehensive benchmark database. The database covers an inlet pressure range of 1.82–16.29 MPa, an inlet subcooling range of 0.3–119.35 K, and a microchannel hydraulic diameter range of 0.09–2.2 mm. By integrating the classical Buckingham Pi theorem with a data-driven active subspace method, the dominant dimensionless numbers in subcooled water two-phase critical flow were identified, addressing some limitations of the Buckingham Pi theorem by ranking the influences of these dimensionless numbers. Based on these dominant dimensionless numbers, the impact of physical quantities on two-phase critical flow was accurately identified, leading to a concise predictive correlation for critical flow mass flux with a mean absolute percentage error of 20.3 % across 1071 experimental data points, outperforming commonly used critical flow models. Furthermore, leveraging the dominant dimensionless numbers improved existing model results, enhancing the Henry-Fauske model’s overall prediction accuracy from a mean absolute percentage error of 47.6 % to 17.8 %. This study outlines a promising path for discovering physical characteristics and mechanisms in data-driven critical flow, facilitating a deeper understanding of critical flow phenomena.</t>
  </si>
  <si>
    <t>Jamadar, I.M.; Vakharia, D.P.</t>
  </si>
  <si>
    <t>A novel approach integrating dimensional analysis and neural networks for the detection of localized faults in roller bearings</t>
  </si>
  <si>
    <t>10.1016/j.measurement.2016.07.086</t>
  </si>
  <si>
    <t>The detection of the defective/worn out bearing components used in rotating machines is one of the main concerns in various applications. To improve the computational efficiency in the nonlinear dynamic analysis for the rolling contact bearings, a new methodology based on dimensional analysis (DA) theory is proposed in this paper. The developed model is used to predict the vibration responses due to artificially spalled bearing components to quantify the level of structural damages into these components. The use of a back propagation neural network (BPNN) has been made that also predicted responses from the network trained by developed algorithm using the experimental data obtained from the defective bearing components on the developed test rig. A comparison between the responses predicted by proposed DA method and the BPNN showed a fair amount of the agreement between the two approaches and validated the proposed model and proved outstanding tool for identification of spalled/damaged bearing components.</t>
  </si>
  <si>
    <t>Petit, Jeremy; Six, Thierry; Moreau, Anne; Ronse, Gilles; Delaplace, Guillaume</t>
  </si>
  <si>
    <t>β-lactoglobulin denaturation, aggregation, and fouling in a plate heat exchanger: Pilot-scale experiments and dimensional analysis</t>
  </si>
  <si>
    <t>10.1016/j.ces.2013.06.045</t>
  </si>
  <si>
    <t>In this work, we investigated the role of four independent process parameters, namely product temperature at the heat exchanger outlet, mean residence time, temperature increase between the heat exchanger inlet and outlet, and heat effectiveness, in the protein denaturation, aggregation, and fouling of a β-lactoglobulin (β-lg) concentrate that was chosen as model fluid for milk derivatives. A pilot-scale plate heat exchanger in countercurrent configuration, supplied with a holder, was used in order to mimic industrial process conditions. The denaturation level and aggregates size of the heat treated β-lg concentrate at the exchanger and holder outlets, along with the fouling mass in the plate heat exchanger were simultaneously determined. The results indicated that β-lg denaturation, aggregation, and fouling reactions were mainly governed by the temperature profile in the investigated range of operating conditions, even though a small influence of residence time and heating rate was highlighted in the less denaturing conditions. A dimensional analysis was performed to identify the key dimensionless numbers governing β-lg denaturation, aggregation, and fouling mechanisms in the heat treatment of a β-lg concentrate. This allowed to emphasise the major influence of the Arrhenius exponential factor of β-lg unfolding reaction, both related to temperature and β-lg reactivity. The first Damköhler and Reynolds numbers, related to residence time and hydrodynamic conditions in the heat exchanger, as well as the heat exchange process parameters, linked to the heat effectiveness and the bulk-wall temperature differences, had also a small impact on β-lg chemical behaviour. Moreover, empirical relationships based only on the Arrhenius exponential factor of β-lg unfolding reaction permitted to describe the main trends observed in denaturation levels, aggregate sizes, and fouling masses, which underlined the predominant role of temperature and β-lg reactivity in the investigated operating conditions. This study outlines finally that fast heat treatments permit to minimise fouling issues.</t>
  </si>
  <si>
    <t>Wu, Yiding; Lu, Wencheng; Yu, Yilei; Ma, Minghui; Ren, Wenke; Xu, Lizhi; Gao, Guangfa</t>
  </si>
  <si>
    <t>Dynamic response mechanisms of thin UHMWPE under high-speed impact</t>
  </si>
  <si>
    <t>10.1016/j.tws.2024.112391</t>
  </si>
  <si>
    <t>This study systematically explores the dynamic response mechanisms and energy dissipation mechanisms of ultra-high-molecular-weight polyethylene (UHMWPE) fiber laminated plates with thicknesses of 1.1 mm, 2.8 mm, and 5.4 mm under high-speed steel ball impacts through experimental, theoretical analysis, and dimensional analysis. By analyzing the damage mechanisms from experimental results, the main modes of energy absorption were identified, and a relatively accurate predictive model for ballistic limit speed was established. The results show that under high-speed steel ball impacts, the primary failure modes of UHMWPE fiber laminated plates are localized permanent bulging plastic deformation and perforation failure caused by compressive shear. The ballistic limit speeds for UHMWPE with thicknesses of 1.1 mm, 2.8 mm, and 5.4 mm are respectively 233.5 m/s, 415.7 m/s, and 602.9 m/s. The theoretical calculations of the energy model align well with the experimental results, indicating that as the speed increases, the proportion of tensile energy absorption gradually decreases, consistent with the observed phenomena. Near the ballistic limit, there are significant turning points in the level of energy absorption and the height of the rear bulge. The ballistic limit increases linearly with target thickness, and the unit area density energy absorption also increases continuously. Finally, this study established a dimensionless ballistic limit model considering the mechanical properties of fibers and the matrix, which through regression analysis, can accurately describe the ballistic limits of various strengths and types of fiber laminated plates, suitable for predicting the ballistic performance of various composite materials.</t>
  </si>
  <si>
    <t>Sukarno, Ragil; Putra, Nandy; Hakim, Imansyah Ibnu</t>
  </si>
  <si>
    <t>Non-dimensional analysis for heat pipe characteristics in the heat pipe heat exchanger as energy recovery device in the HVAC systems</t>
  </si>
  <si>
    <t>10.1016/j.tsep.2021.101122</t>
  </si>
  <si>
    <t>Heat pipe heat exchangers (HPHE) were widely applied as a recovery energy device in HVAC systems and significantly can reduce the energy consumption of HVAC systems. This study performs experimental and non-dimensional analysis using the Buckingham Pi theorem to develop a correlation of heat pipe performance as an energy recovery device in air HVAC systems. The experiment was conducted to investigate heat transfer characteristics in the heat pipe heat exchangers. The fresh-air temperature in the evaporator section (Te,in) was varied at 30–45 °C, fresh air velocity varied at 1.5–2.5 m/s, and the number of rows HPHE varied at 3, 6, and 9 rows. While the return air temperature was entering the condenser's inlet side, HPHE (Tc,in) was kept at 23 °C. The procedures of the Buckingham Pi theorem were adopted to determine non-dimensional parameters and found a correlation between Pi forms. Each non-dimensional parameters value was calculated based on the measured data. The correlation between non-dimensional parameters can be solved simultaneously using the multiple linear regression with the logarithmic transformations method. The new correlation has been found in the form Sp Number. The results show that Sp numbers is affected primarily by the number of rows (n), effectiveness (ε), and Reynold numbers (Re,D). The equation Sp number can be used to predict the thermal resistance of a single heat pipe and is very useful to know the performance of a heat pipe in the design and operating stages.</t>
  </si>
  <si>
    <t>Li, Junhong; Wang, Yongjie; Wang, Zhaoyang; Lai, Qinghui</t>
  </si>
  <si>
    <t>Model construction of the suction force of high-sphericity particles based on the PI theorem</t>
  </si>
  <si>
    <t>Powder Technology</t>
  </si>
  <si>
    <t>10.1016/j.powtec.2024.120095</t>
  </si>
  <si>
    <t>Spheroid particles with high-sphericity are more common in particle absorption's applications than spherical particles, and their suction force (Fs) is a crucial mechanical factor in the particle absorption process, which is significantly affected by the spatial position of the particle concerning to the suction hole. Therefore, in this work, a combination of the PI theorem and the idealized model method was employed to establish an Fs model of spheroid particles with high-sphericity. More specifically, the spatial coordinates of the particle relative to the suction hole were introduced, rendering the model more applicable in practical engineering scenarios. Through the validation process, the proposed model exhibited excellent applicability for predicting Fs on spheroid particles of sphericity exceeding 90.24% within conditions of diameter ratio 0.571–1, diameter-distance ratio 0.5–0.786, particle center-tilt ratio 0–0.207, RPp−1 (reciprocal of particle Reynolds number under pressure condition) 3.29–4.25, and the prediction error can be controlled in 10%. Moreover, valuable insights were derived regarding the effective suction domain and constraints associated with the PI theorem in constructing unknown models during the subsequent analysis of the experimental data.</t>
  </si>
  <si>
    <t>Amanna, Behnam; Khorsand Movaghar, Mohammad Reza</t>
  </si>
  <si>
    <t>Cuttings transport behavior in directional drilling using computational fluid dynamics (CFD)</t>
  </si>
  <si>
    <t>10.1016/j.jngse.2016.07.029</t>
  </si>
  <si>
    <t>As one of the most crucial concerns in hole cleaning and especially in directional drilling, cutting transport optimization eventuates in the reduction of drilling costs and increase in oil recovery. Cutting removal is, however, affected by different parameters including fluid flow rate, drill pipe rotation, cutting size and inclination which have to be considered simultaneously. In the current report, Liquid-Solid model is implemented to solve the governing equations in the Eulerian CFD framework. Results are compared with experimental data and successful validation with experimental data is achieved. On the basis of design of experiment algorithm, further simulations have been carried out to investigate the effect of the as mentioned key parameters on cutting transport behavior. Results show that hole inclinations between 45 and 60° are the most difficult angles in hole cleaning process. Moreover, increase in values of flow rate and drill pipe rotation will effectively improve the drag effects leading to superior cutting removal. Besides, it has been proven that cutting size affects cutting transport less than the other parameters. For industrial applications, an empirical correlation is developed for estimating cutting concentration. Buckingham-π theorem along with multi-variable regression technique is applied to establish the correlation.</t>
  </si>
  <si>
    <t>Wang, Xuechuan; Long, Xinjun; Yue, Xiaokui; Dai, Honghua; Atluri, Satya N.</t>
  </si>
  <si>
    <t>Bifurcation analysis of stick–slip vibration in a 2-DOF nonlinear dynamical system with dry friction</t>
  </si>
  <si>
    <t>10.1016/j.cnsns.2022.106475</t>
  </si>
  <si>
    <t>This paper describes a new approach to study the nonlinear dynamical behaviors of a belt-driven two-coupled friction oscillator. First, using Buckingham’s π theorem, several dimensionless and physically meaningful parameters are derived. Their relationships with the steady state responses of the system are revealed through numerical simulations. Then a new mapping tool named as sticking phase plot is developed to record the transition process of stick–slip motion. It intuitively shows how bifurcation occurs in sticking region and transforms the dynamical responses. The bifurcation diagrams of the system are obtained by sweeping the dimensionless parameters. Some extraordinary bifurcation phenomena are observed in this system. By using sticking phase plot, it is found that the bifurcations can be broadly divided into four main categories: the Border-Collision Bifurcation, the Grazing-Sliding Bifurcation, the Multi-Sliding Bifurcation, and the Fixed-Point Bifurcation. New nonlinear phenomena are found herein, including chaos caused by the Border-Collision Bifurcation and the Sliding Bifurcations. The local and the global changes caused by the Fixed-Point bifurcation are also observed. In numerical simulation, we adopted the LVIM method proposed by the authors, which can be used to integrate non-smooth systems very accurately and efficiently.</t>
  </si>
  <si>
    <t>Mawarni, Drajat Indah; Juwana, Wibawa Endra; Yuana, Kumara Ari; Budhijanto, Wiratni; Deendarlianto; Indarto</t>
  </si>
  <si>
    <t>Hydrodynamic characteristics of the microbubble dissolution in liquid using the swirl flow type of microbubble generator</t>
  </si>
  <si>
    <t>Journal of Water Process Engineering</t>
  </si>
  <si>
    <t>10.1016/j.jwpe.2022.102846</t>
  </si>
  <si>
    <t>The present experimental study aimed to investigate the performance and characteristics of the dissolved oxygen in water aeration under the variations of the gap between the air nozzle and the outlet of new developed swirl flow type of the microbubble generator (MBG). The present experimental investigation, the flow rates of both of air (QG) and the water (QL) were determined in the range of (0.1–0.8) l/min and (20–50) l/min, respectively. The shadow photographic technique was used to extract the results of a high-speed camera of microbubbles images to find the bubbles size and their distribution. The dynamic physical absorption model was used to measure the coefficient of the oxygen volumetric mass transfer (KLa). The results show that the microbubbles size (diameter average davg and peak PDF curve) produced by the swirl MBG type was smaller and more uniform than that of produced by orifice MBG type. Next, the characteristics of the microbubbles were investigated by the combinations of QG, QL and the gap between the air nozzle and the outlet of the microbubble generator. Here, it is noticed that the higher the gas flow rate, the higher the average diameter of the bubble. The higher the liquid flow rate, the lower the average diameter of the bubble. Furthermore, the QL increases with KLa. Finally, the empirical correlations to predict the KLa, davg and the log-normal distribution of the bubble diameter were proposed.</t>
  </si>
  <si>
    <t>Song, Qinglin; Sun, Bowen; Gao, Xueping; Zhang, Chen</t>
  </si>
  <si>
    <t>PIV experimental investigation of the outflow temperature from nonlinearly stratified reservoir regulated by floating intake</t>
  </si>
  <si>
    <t>10.1016/j.expthermflusci.2019.109893</t>
  </si>
  <si>
    <t>Floating intake is an effective facility of selective withdrawal to regulate the outflow temperature from thermally stratified reservoirs. The outflow temperature was the result of the interaction among temperature field, flow field and artificial regulation. To characterize them, three influencing factors (i.e., temperature distribution, outflow rate and submerged depth) were chosen. Experiments were conducted to investigate the response of outflow temperature to influencing factors in a nonlinearly stratified fluid with the particle image velocimetry (PIV) technique. Results showed that the withdrawal layer was formed near the level of floating intake inhibited by the density gradient, and its thickness was proportional to stratification intensity. The withdrawal layer ascended with the decrease in submerged depth, and the thickness also changed due to the variation in density gradient. Although the outflow temperature increased, the variation amplitude depended on the temperature gradient between the two submerged depths. However, enlarging the outflow rate within a certain range had relatively small influence on the withdrawal layer thickness and the outflow temperature. Considering the experimental results, a formula was developed for predicting the outflow temperature based on dimensional analysis and energy conservation.</t>
  </si>
  <si>
    <t>Nemati, Omid; Ibarra, Luis M. Candanedo; Fung, Alan S.</t>
  </si>
  <si>
    <t>Review of computer models of air-based, curtainwall-integrated PV/T collectors</t>
  </si>
  <si>
    <t>10.1016/j.rser.2016.04.026</t>
  </si>
  <si>
    <t>Photovoltaic–thermal (PV/T) collectors provide renewable energy, and they are instrumental to achieve grid independency. A subset of these collectors is collectors that are integrated into building envelope. The so-called “building-integrated” PV/T collectors have seen a dramatic rise in popularity recently. This recent popularity has necessitated systematic design optimization. To benefit design optimization, a review of computer models of these collectors was performed. This review was performed by objectively assessing international findings on roof-integrated and curtain-wall integrated PV/T collectors. The scope of this review was thermal collection efficiency. The significance of this review was to identify the weakest link in computer models that should one day lead to more accurate computer models. This weak link is the internal heat transfer rate. To overcome this weakness, a model calibration method was proposed that is based on case-by-case parameter identification. In addition, a detailed dimensional analysis was performed that allowed a new Π group to be introduced to Nusselt (Nu) number correlations of developing, turbulent parallel-plate flow. This Π group is the Stanton number as applied to the inter-channel radiative heat transfer coefficient (Str). Commonly implemented Nu number correlations do not account for this heat transfer rate. They only account for collector geometry, collector air flow inertia and collector air viscosity.</t>
  </si>
  <si>
    <t>Sincomb, S.; Moral-Pulido, F.; Campos, O.; Martínez-Bazán, C.; Haughton, V.; Sánchez, A.L.</t>
  </si>
  <si>
    <t>An in vitro experimental investigation of oscillatory flow in the cerebral aqueduct</t>
  </si>
  <si>
    <t>European Journal of Mechanics - B/Fluids</t>
  </si>
  <si>
    <t>10.1016/j.euromechflu.2024.01.010</t>
  </si>
  <si>
    <t>This in vitro study aims at clarifying the relation between the oscillatory flow of cerebrospinal fluid (CSF) in the cerebral aqueduct, a narrow conduit connecting the third and fourth ventricles, and the corresponding interventricular pressure difference. Dimensional analysis is used in designing an anatomically correct scaled model of the aqueduct flow, with physical similarity maintained by adjusting the flow frequency and the properties of the working fluid. The time-varying pressure difference across the aqueduct corresponding to a given oscillatory flow rate is measured in parametric ranges covering the range of flow conditions commonly encountered in healthy subjects. Parametric dependences are delineated for the time-averaged pressure fluctuations and for the phase lag between the transaqueductal pressure difference and the flow rate, both having clinical relevance. The results are validated through comparisons with predictions obtained with a previously derived computational model. The parametric quantification in this study enables the derivation of a simple formula for the relation between the transaqueductal pressure and the stroke volume. This relationship can be useful in the quantification of transmantle pressure differences based on non-invasive magnetic-resonance-velocimetry measurements of aqueduct flow for investigation of CSF-related disorders.</t>
  </si>
  <si>
    <t>Chaduvula, Uma; Viswanadham, B.V.S.; Kodikara, Jayantha</t>
  </si>
  <si>
    <t>Centrifuge model studies on desiccation cracking behaviour of fiber-reinforced expansive clay</t>
  </si>
  <si>
    <t>Geotextiles and Geomembranes</t>
  </si>
  <si>
    <t>10.1016/j.geotexmem.2022.02.001</t>
  </si>
  <si>
    <t>In this study, randomly distributed fiber reinforcement on the desiccation cracking behavior of expansive clay was investigated. Modeling considerations for the desiccation cracking behavior of unreinforced and fiber-reinforced clay was established using dimensional analysis. A custom-designed setup consisting of a specimen container, heating assembly, and digital image acquisition system was designed, calibrated, and used in the present study. A series of desiccation cracking tests were performed on unreinforced and fiber-reinforced expansive clay in a balanced beam geotechnical centrifuge. The test setup performance was evaluated by conducting tests at varying gravity levels and performing modeling of models. Digital image analysis and particle image velocimetry techniques were used to obtain qualitative information about the cracking of clay under the influence of fiber reinforcement and the varying thickness of the clay layers. The specimens reinforced with fibers exhibited improved cracking resistance than unreinforced clay specimens. The results indicate that the desiccation cracking of clays can be successfully modeled in a geotechnical centrifuge, highlighting the fact that this study is the first-ever such study. This knowledge can be used to study the behavior of critical geotechnical structures, especially clay barriers of landfill cover subjected to desiccation cracking.</t>
  </si>
  <si>
    <t>Pachepsky, Yakov; Hill, Robert L.</t>
  </si>
  <si>
    <t>Scale and scaling in soils</t>
  </si>
  <si>
    <t>STRUCTURE AND FUNCTION OF SOIL AND SOIL COVER IN A CHANGING WORLD: CHARACTERIZATION AND SCALING</t>
  </si>
  <si>
    <t>10.1016/j.geoderma.2016.08.017</t>
  </si>
  <si>
    <t>Scale is recognized as a central concept in the description of the hierarchical organization of our world. Pressing environmental and societal problems require an understanding of how processes operate at different scales, and how they can be linked across scales. Soil science as many other disciplines obtain the bulk of their empirical information at fine scales, whereas results of environmental diagnostics, monitoring, and predictions are needed to make important policy decisions at much larger scales. It becomes imperative to relate the information that is available and produced at different scales. The objective of this work is to present an overview of concepts that are currently used to define and relate scales in soil studies. The paper is not intended to be a compendium, but rather should be viewed as material for discussion, reference, and critique. It discusses definitions and terminology, including general approaches of scale problems in environmental studies that are applicable to soils, including hierarchies, measurement metrics, similitude, non-geometric scale metrics, and notions of upscaling and downscaling. Concepts of general scaling methods and theories are dimensional analysis, power law scaling, space and time dependent scaling. A section on spatiotemporal patterns introduces scaling ideas that were used in soil studies such as empirical orthogonal functions, data assimilation, and cumulative distribution function matching. Reviewed scaling methods developed specifically to soil studies include geometric similitude of pore spaces, scaling with Richards equation, scale dependencies of water and solute flux model parameters, scaling based on temporal stability, overland flow and sediment transport as the scaling phenomenon, and the relevance of scaling to pedotransfer functions. An outlook for scaling research in soils is presented that shows the needs of additional research and the feasibility of using scaling to enrich and advance soil research to help face the grand challenges of modern times.</t>
  </si>
  <si>
    <t>Kenan, Hamit; Azeloğlu, Oktay</t>
  </si>
  <si>
    <t>Design of scaled down model of a tower crane mast by using similitude theory</t>
  </si>
  <si>
    <t>10.1016/j.engstruct.2020.110985</t>
  </si>
  <si>
    <t>In this study, a tower crane mast which is very sensitive to the dynamic effects that will occur due to its delicate structure was scaled by similitude theory for the purpose of using in experimental studies. The variables that describe the structure in terms of dynamic were determined and pi groups were created by using the Buckingham Pi Theorem. A finite element model that is able to calculate the natural frequencies, mass participation factors, and draw the mode shapes of a structure composed of space frame elements was developed. The mast was scaled down to use in the laboratory environment with two different scale factors as 30 and 40. The most suitable model which represents the dynamic behavior of the real-size tower crane mast for the experimental studies was determined by comparing the modal analysis results of the real-size and scale models.</t>
  </si>
  <si>
    <t>Gao, Xing; Jia, Jinqing; Bao, Xiaohua; Mei, Guoxiong; Zhang, Lihua; Tu, Bingxiong</t>
  </si>
  <si>
    <t>Shaking table test for seismic performance of rock slope reinforced by C&amp;S–R anchor cables</t>
  </si>
  <si>
    <t>10.1016/j.soildyn.2024.108596</t>
  </si>
  <si>
    <t>To investigate the seismic reinforcement performance of compression and self-recovery (C&amp;S–R) anchor cables, a series of shaking table comparison tests were conducted on rock slopes reinforced by two types of anchor cables: C&amp;S–R anchor cables and conventional anchor cables, under different seismic intensities. During the tests, multiple accelerometers, displacement meters and strain gauges were synchronously arranged to monitor the strain of anchor cables and the dynamic response of the anchored slopes. The test results reveal that C&amp;S–R anchor cables had better seismic performance. Compared to conventional anchor cables, C&amp;S–R anchor cables had a peak axial strain reduction of approximately 23.0% and an increase in seismic intensity of 0.1g–0.2g. The final natural frequencies of the slope reinforced by C&amp;S–R anchor cables and that of the slope reinforced by conventional anchor cables were 31.25 Hz and 26.1 Hz, respectively, confirming that C&amp;S–R anchor cables reduce the internal damage of the anchored slopes during earthquakes. The results provide guidance and basis for the seismic optimization design of anchored slopes.</t>
  </si>
  <si>
    <t>Deponte, Hannes; Tonda, Alberto; Gottschalk, Nathalie; Bouvier, Laurent; Delaplace, Guillaume; Augustin, Wolfgang; Scholl, Stephan</t>
  </si>
  <si>
    <t>Two complementary methods for the computational modeling of cleaning processes in food industry</t>
  </si>
  <si>
    <t>10.1016/j.compchemeng.2020.106733</t>
  </si>
  <si>
    <t>Insufficient cleaning in the food industry can create serious hygienic risks. However, when attempting to avoid these risks, food-processing plants frequently tend to clean for too long, at extremely high temperatures, or with too many chemicals, resulting in high cleaning costs and severe environmental impacts. Therefore, the optimization of cleaning processes in the food industry has significant economic and ecological potential. Unfortunately, in-situ assessments of cleaning processes are difficult, and the multitude of different cleaning situations complicates the definition of a comprehensive approach. In this study, two methodological approaches for the comprehensive modeling of cleaning processes are introduced. The resulting models facilitate comparisons of different cleaning processes and they can be scaled up for processes with similar conditions, using cleaning time as a response. A dimensional analysis is performed to obtain general results and to allow transfer of the approaches to other cleaning situations. The models are established according to the statistical rules for the deduction of multiple regression equations for the prediction of the response based on the input parameters. The terms of the model equation are confirmed with a significance analysis. A machine learning approach is also used to create model equations with symbolic regression. Both methods and the obtained model equations are validated. The two applied approaches reveal similar significant terms and models. Significant dimensionless numbers are the Reynolds number, the density number that describes the ratio of the density of the soil to the density of the cleaning agent, and the soil number, which is a new dimensionless number that characterizes the properties of food soils. The methodology of both approaches is transparent; therefore, the resulting equations can be compared and similarities are found. Both methods are deemed applicable for the computational modeling of cleaning processes in food industry.</t>
  </si>
  <si>
    <t>Karimi, Bakhtiar; Mohammadi, Parva; Sanikhani, Hadi; Salih, Sinan Q.; Yaseen, Zaher Mundher</t>
  </si>
  <si>
    <t>Modeling wetted areas of moisture bulb for drip irrigation systems: An enhanced empirical model and artificial neural network</t>
  </si>
  <si>
    <t>10.1016/j.compag.2020.105767</t>
  </si>
  <si>
    <t>Suitable design and management of drip irrigation systems depends on an accurate knowledge of the moisture distribution patterns around the emitters. An important parameter in the design of surface and subsurface drip irrigation systems is the wetted pattern of soil area in the up and down wetted areas of drippers. Accurate estimation of the up and down wetted areas in surface/subsurface irrigation systems is essential for enhancing the efficiency of irrigation systems and optimal management of water resources in the field. In this study, artificial neural network (ANN) and nonlinear regression (NLR) methods were used to develop equations for the estimation of the up and down wetted areas around the dripper installation position. Experiments were carried out in a transparent physical Plexiglas with dimensions of 3m×1.22m×0.5m. In this study, three different soil textures (i.e., light, medium, and heavy) were used. The drippers at four installation depths, including 0, 15, 30, and 45 cm, were evaluated. By considering an irrigation time equal to 6 h, the emitter discharge rates (i.e., 2.4, 4, and 6 L/s) were applied. Nine different variables, including soil hydraulic conductivity, emitter discharge, soil apparent density, irrigation application time, dripper installation depth, and the soil texture (i.e. amount of clay, silt and sand)were applied as inputs for the developed NLR and ANN models for estimating the up and down wetted areas of drippers. The comparison results between the measured and simulated values showed that the ANN and NLR models have appropriate performances and that the statistical error indices are within an acceptable range. The use of these models for design goals can be helpful in choosing the accurate distance between laterals and emitters as well as the suitable depth of emitters to minimize water losses via deep percolation in surface/subsurface drip irrigation. Furthermore, the results of the ANN and NLR models were compared with an experimental model (developed based on dimensional analysis (DA)) and confirmed the superiority of the ANN and NLR to DA models.</t>
  </si>
  <si>
    <t>Jena, H.M.; Roy, G.K.; Mahapatra, S.S.</t>
  </si>
  <si>
    <t>Determination of optimum gas holdup conditions in a three-phase fluidized bed by genetic algorithm</t>
  </si>
  <si>
    <t>10.1016/j.compchemeng.2009.07.003</t>
  </si>
  <si>
    <t>Experiments have been carried out in a 0.1m internal diameter, 1.88m height vertical Plexiglas column with an antenna type modified air sparger in the gas–liquid distributor section. This arrangement provides uniform mixing of the fluids, ensures the gas entering the fluidizing section as fine bubbles and reduces the pressure drop encountered through a conventional distributor used for the purpose. The important dimensionless groups which have influence on the gas holdup have been developed by the use of Buckingham Pi theorem. The relation of gas holdup with these dimensionless groups has been expressed in the form of a power law equation developed with very high correlation coefficient. Residual analysis has been carried out to validate the regression model. The optimum operating conditions for maximum gas holdup in a co-current three-phase fluidized bed have been predicted using genetic algorithm.</t>
  </si>
  <si>
    <t>Huang, Shuai; Huang, Mingming; Lyu, Yuejun; Xiu, Liwei</t>
  </si>
  <si>
    <t>Effect of sea ice on seismic collapse-resistance performance of wind turbine tower based on a simplified calculation model</t>
  </si>
  <si>
    <t>10.1016/j.engstruct.2020.111426</t>
  </si>
  <si>
    <t>Sea ice is one of the main loads on a wind turbine tower in ice-prone area and threatens the safe working life of the wind turbine tower; however, design codes at home and abroad do not provide a method of calculation for the coupling of the structure, ice, water, and earthquake. In our study, we considered the sea ice and water as the added masses and proposed a simplified calculation model of the dynamic interaction of the water, sea ice, and wind turbine tower under earthquake action, which could avoid the solution of complex non-linear equations and reduce the computational burden. The dynamic balance equation of the simplified calculation model was established, and the effect of the sea ice on the seismic collapse-resistance performance of the wind turbine tower was investigated. The research results show that the failure rate of the wind turbine tower under the influence of ice increases to more than 50%, and we suggested that the seismic fortification intensity should be raised by more than one degree when undertaking seismic design of a wind turbine tower under the influence of sea ice; in addition, the collapse margin ratio of the wind turbine tower fails to meet the demands when the ice thickness is more than 0.6 m. Finally, a shaking table test was conducted to investigate the dynamic interactions of the water, sea ice, and wind turbine tower under earthquake action, and the accuracy of the calculation results of our proposed simplified calculation model was verified.</t>
  </si>
  <si>
    <t>Wang, Jian; Yang, Ting; Wei, Tao; Chen, Rui; Yuan, Shouqi</t>
  </si>
  <si>
    <t>Experimental determination of local head loss of non-coaxial emitters in thin-wall lay-flat polyethylene pipes</t>
  </si>
  <si>
    <t>10.1016/j.biosystemseng.2019.11.021</t>
  </si>
  <si>
    <t>The hydraulic performance of thin-wall lay-flat polyethylene pipes with non-coaxial emitters were evaluated in this study. Two experiments were performed to measure the dimensional variation of commercially available lay-flat drip irrigation pipes. A model for estimating the corresponding local head loss was developed and validated using dimensional analysis. The model was then implemented in a finite element algorithm to analyse the hydraulic performance of this type of pipes. Finally, a design example was provided. The results revealed that, for a wall thickness of 0.13 and 0.20 mm, the pipe height and width tended to be equal above a relatively low pressure, and the pipe cross-section rapidly inflated from a quasi-rectangular form to circular. For thicker walls, the equivalent diameter (four times the hydraulic radius) increased continuously with increasing pressure head but it hardly reached its nominal diameter (16 mm). The proposed model indicated that the local head loss was affected by the equivalent diameter, emitter geometry, and flow velocity. The model had high accuracy in determining the local head loss. The estimated results were in close agreement with the measured data. According to the numerical simulation, the ratio of local head loss to total loss along a pipe was up to 74.71%. The design results, when using an earlier model, demonstrated a longer maximum lateral length, since the model did not consider further contraction of the flow caused by pipe deformation. However, the model proposed here could be used in the design of systems for thin-wall lay-flat polyethylene pipes.</t>
  </si>
  <si>
    <t>Abdellatif, Ahmed; Jofre, Lluís</t>
  </si>
  <si>
    <t>Empirical heat transfer correlations of high-pressure transcritical fluids at low Reynolds numbers</t>
  </si>
  <si>
    <t>10.1016/j.ijheatmasstransfer.2024.125837</t>
  </si>
  <si>
    <t>Empirical heat transfer correlations serve as indispensable tools for predicting and optimizing the thermal performance of a wide range of engineering devices, like for example in energy conversion and propulsion applications. Although a remarkable number of correlations exist for systems at low (atmospheric) pressures, accurately quantifying heat transfer under high-pressure transcritical conditions poses a notable challenge, especially at low Reynolds numbers due to the scarcity of correlations available in the literature. This difficulty has prompted the widespread use of general empirical correlations, which are inadequate for such flow conditions, and hold significant implications, for instance, in fields like microfluidics technology. In this regard, the aim of this study is to develop novel heat transfer correlations tailored for high-pressure transcritical fluids at relatively low Reynolds numbers. These correlations are derived from a dataset of 18 direct numerical simulations of carbon dioxide confined between differentially heated walls, which induce a transcritical trajectory through the pseudo-boiling region. The correlations are developed for both the cold liquid-like and hot gas-like regions, resulting in a total of 6 correlations that encompass the laminar, transitional, and turbulent flow regimes. In particular, as a function of Reynolds, Prandtl, Eckert and Mach numbers, the proposed empirical correlations provide accurate estimations with relative errors below 8%, which significantly surpass existing literature correlations.</t>
  </si>
  <si>
    <t>Mirzababaie Mostofi, Tohid; Babaei, Hashem; Alitavoli, Majid</t>
  </si>
  <si>
    <t>The influence of gas mixture detonation loads on large plastic deformation of thin quadrangular plates: Experimental investigation and empirical modelling</t>
  </si>
  <si>
    <t>10.1016/j.tws.2017.04.031</t>
  </si>
  <si>
    <t>The investigation leading to the present study is motivated by the fact that dimensional analysis, as well as empirical modelling, are valuable methods for scholars to find the relationships between effective parameters in every process. By suggesting new dimensionless numbers based on the dimensionless governing equations and using a new mathematical method, namely, singular value decomposition method, significant improvements have been made in preparing a wide range predictions of maximum permanent transverse deflections of thin quadrangular metallic plates due to impulsive loads, especially, gas mixture detonation loading. The dimensionless numbers are based on important and effective parameters such as inertia of applied loads, mechanical properties of materials, structural geometry and strain rate sensitivity. The accuracy and benefits of present empirical models have been investigated by validating the obtained results with gas mixture detonation loading experiments and those in the literature for impulsively loaded plates. Experimental data have been obtained by single staged gas detonation apparatus for aluminum alloy and mild steel plates with different thicknesses. A comparative study revealed that when the material coefficients in Cowper-Symonds constitutive equation have been considered as functions of plate thickness, the present empirical models predict the ratio of midpoint deflection to the thickness more accurately than well-known Jones’ theoretical equation.</t>
  </si>
  <si>
    <t>Sutton, Austin T.; Sehhat, M. Hossein; Leu, Ming C.; Newkirk, Joseph W.</t>
  </si>
  <si>
    <t>Modeling powder spreadability in powder-based processes using the discrete element method</t>
  </si>
  <si>
    <t>10.1016/j.addma.2024.104345</t>
  </si>
  <si>
    <t>Powder-bed fusion (PBF) processes refer to a subset of Additive Manufacturing (AM) techniques where powder is spread on the build-plate before melting (by a laser or electron beam). While PBF processes are attractive due to their ability for realizing complex structures that are either difficult or impossible to create through conventional means, the parts fabricated with these techniques can exhibit defects such as pores, inclusions, and excessive surface roughness. To minimize these defects, much research has been dedicated towards process maturation by optimizing laser or electron beam parameters. However, these developmental efforts typically do not address the recoating process where achieving dense and uniform layers of powder is a necessity for ensuring process repeatability and part quality. While the recoating process can be studied through experimentation, the dynamics of particle movement are difficult to analyze experimentally. Therefore, in this study, powder spreading in PBF was simulated through the Discrete Element Method (DEM) to elucidate the mechanisms that control powder-bed quality. Utilizing the Buckingham Pi theorem, a dimensionless metric referred to as the spreading index is developed that combines powder-bed density, roughness, and particle size to assess the quality of powder layers. The formulated spreading index is then related to several dimensionless quantities that provide insight into the mechanisms dominating powder spreading in PBF. The DEM simulations conducted in this work focused on the scenario where powder is spread onto an existing powder bed and revealed that a reduction in the recoating velocity causes an increase in the spreading index while little to no impact on the spreading index was observed when varying layer thickness from 30 µm to 75 µm. Particle size effects on the powder-bed quality were also investigated.</t>
  </si>
  <si>
    <t>Gu, Yingying; Bouvier, Laurent; Tonda, Alberto; Delaplace, Guillaume</t>
  </si>
  <si>
    <t>A mathematical model for the prediction of the whey protein fouling mass in a pilot scale plate heat exchanger</t>
  </si>
  <si>
    <t>Food Control</t>
  </si>
  <si>
    <t>10.1016/j.foodcont.2019.106729</t>
  </si>
  <si>
    <t>A better understanding of protein fouling during the thermal treatment of whey protein concentrate (WPC) solutions is critical for better fouling control. In order to understand the impact of various parameters on the total whey protein fouling mass, a dimensional analysis was applied to the experimental data obtained from a pilot scale plate heat exchanger, setting total fouling mass as the target variable. A model was developed to predict the total fouling mass, covering a series of variables including whey protein solution concentration (2.5–25 g/L), calcium concentration (70-120 ppm), running time (90-330 min), fouling solution flow rate (200-500 L/h), total fouling surface area, outlet temperature (82-97 °C) and differences in whey protein concentrate powders. In addition to temperature dimensionless parameters, the main parameters involved in the model are the Reynolds number (2000-5000) and the calcium to β-lactoglobulin molar ratio (2.7–34.7). The model developed concerns only pure whey proteins solutions since all the testing solutions were casein free. This model has allowed us to provide guidelines as to how the above parameters influence fouling within the plate heat exchanger, as well as empirical correlations for predicting such fouling development.</t>
  </si>
  <si>
    <t>Yurdem, Huseyin; Demir, Vedat; Mancuhan, Aysegul</t>
  </si>
  <si>
    <t>Development of a simplified model for predicting the optimum lengths of drip irrigation laterals with coextruded cylindrical in-line emitters</t>
  </si>
  <si>
    <t>10.1016/j.biosystemseng.2015.06.010</t>
  </si>
  <si>
    <t>Accurate hydraulic design of laterals is one of the most important factors for ensuring water distribution uniformity in drip irrigation systems. In order to keep water distribution uniformity at an appropriate value, pressure and flow rate variations of emitters along a lateral should be within acceptable limits. This makes the determination of the optimum lateral lengths for drip irrigation systems necessary. The objective of this study was to develop a simplified empirical model able to predict the optimum lateral length to obtain uniform water distribution. The model developed is valid for a 16 mm nominal pipe diameter, with cylindrical co-extruded emitters and emitter spacing ranging from 0.2 m to 1 m. Optimum lateral length data was obtained from 26 different drip irrigation pipes. The model developed accounted for 98.3% of the variation in the optimum lateral lengths. The model was obtained by considering pipes with inside diameters ranging from 12.3 to 14.2 mm, emitter inside diameters ranging from 11.5 to 12.6 mm, emitter lengths ranging from 31.6 to 68.2 mm, emitter spacing ranging between 0.2 and 1.0 m, emitter discharges ranging from 1.75 to 4.30 l h−1, and emitter flow variations from 10 % to 20 %, with gradients extending downhill or uphill &lt;3%. The errors in the optimum lateral lengths increased with 3% downhill gradients for 0.75 and 1.0 m emitter spacing. The prediction model can be used to calculate the optimum lateral lengths without using any software.</t>
  </si>
  <si>
    <t>Jiang, Nan; Zhu, Bin; Zhou, Chuanbo; Luo, Xuedong; Li, Haibo; Wu, Tingyao; Lyu, Guopeng</t>
  </si>
  <si>
    <t>Safety criterion of gas pipeline buried in corrosive saturated soft soil subjected to blasting vibration in a coastal metro line</t>
  </si>
  <si>
    <t>10.1016/j.tws.2022.109860</t>
  </si>
  <si>
    <t>The shallow surface stratum in the coastal area is mostly deep blowing soft ground, corrosive and poor engineering geological properties, especially affected by dynamic disturbance. Ensuring the dynamic safety of buried pipelines in soft coastal land is a key concern for urban metro construction in coastal areas. Based on the example of the blasting excavation project along the subway in the coastal area of Shenzhen China, the field blasting vibration test of the full-size buried gas pipeline was designed and implemented. The dynamic response of the pipeline induced by blasting vibration and the possible damage characteristics of the pipeline are analyzed. An orthogonal numerical simulation of bursting vibration of buried gas pipelines under the influence of actual engineering factors such as corrosion degree, bursting distance, burial depth, pipe diameter, and operating pressure was designed based on full-scale blasting test experiments of pipelines. The effect of each factor on the variation of pipeline vibration parameters and stresses were discussed using ANOVA. Based on the dimensional analysis, the prediction models of blast vibration velocity of the pipeline and its ground surface under the blasting action and the prediction model of peak effective stress of the pipeline were established respectively.</t>
  </si>
  <si>
    <t>Zhang, Haibin; Bai, Bofeng; Wang, Yechun</t>
  </si>
  <si>
    <t>Quantitative description of droplet dispersion of hollow cone spray in gaseous crossflow</t>
  </si>
  <si>
    <t>10.1016/j.expthermflusci.2018.01.023</t>
  </si>
  <si>
    <t>In this study, we experimentally investigate the large-scale vortex pair formed by droplets in the spanwise direction of the flow field of a hollow cone spray injected transversely into a gaseous crossflow. Experiments are conducted in a square channel for a wide range of spray and crossflow conditions. The spatial and velocity distributions of the spray droplets for different cross-sections of the flow field in terms of different flow conditions are measured through flow visualization. Three parameters, namely, vortex vorticity, depth of vortex core, and distance between both vortex cores, are used to characterize the counter-rotating vortex pair (CVP) formed by droplets. The crossflow Reynolds number, (initial atomized) droplet Reynolds number, and number of droplets injected per unit time are all found to significantly influence the features of droplets CVP. We newly define the spray-to-crossflow momentum flux ratio (J∗) based on the injected momentum flux of initial atomized droplets. Accordingly, we develop a set of correlations for predicting the features of droplets CVP based on experimental measurements and the Buckingham π theorem. The results show that these correlations well predict all measured conditions. The results of this study should provide insights into the dynamics of spray droplets in a crossflow and an understanding of the large-scale mixing between a hollow cone spray and a crossflow.</t>
  </si>
  <si>
    <t>Brunelli, M.; Alther, S.; Rossi, R.M.; Ferguson, S.J.; Rottmar, M.; Fortunato, G.</t>
  </si>
  <si>
    <t>Nanofiber membranes as biomimetic and mechanically stable surface coatings</t>
  </si>
  <si>
    <t>10.1016/j.msec.2019.110417</t>
  </si>
  <si>
    <t>Elastomers have been extensively exploited to study cell physiology in fields such as mechanobiology, however, their intrinsic high hydrophobicity renders their surfaces incompatible for prolonged cell adhesion and proliferation. Electrospun fiber networks on the other side provide a promising environment for enhanced cell adhesion and growth due to their architecture closely mimicking the structure of the extracellular matrix present within tissues of the human body. Here, we explored the stable integration of electrospun fibers onto the surfaces of elastomeric materials to promote cytocompatibility of these composites. Elastomers based on room temperature vulcanizing silicone (RTV), polydimethylsiloxane (PDMS) as well as functionalized PDMS-based materials were chosen as wafer substrates for attachment of poly(vinylidene fluoride-co-hexafluoropropylene) (PVDFhfp) fibers, a well-known antithrombotic polymer. Electrospinning the fibers onto uncured interfaces acted as bonding agents on the wafers, enabling penetration and formation of a stable bond between the fibers surfaces and the elastomers after curing the interface. Dimensional analysis revealed a relationship between peeling force, intrusion depth and the elastic modulus of the wafers. A design parameter Πα was extrapolated to be used as a predictive tool of the peeling force when intrusion depth of PVDFhfp fibers and elastic modulus of the wafers are known. Cultivating fibroblasts on these hybrid membranes showed cell attachment and growth over 7 days regardless of the composition of the substrate, confirming high cytocompatibility for all composite materials. The presented approach opens avenues to establish nanofiber morphologies as a novel, stable surface texturing tool for tissue engineering, cell biology, medical devices and textiles.</t>
  </si>
  <si>
    <t>Yan, Yu; Hou, Xiaomeng; Zheng, Wenzhong; Fei, Honglu</t>
  </si>
  <si>
    <t>The damage response of RC columns with considering different longitudinal and shear reinforcement under demolition blasting</t>
  </si>
  <si>
    <t>10.1016/j.jobe.2022.105396</t>
  </si>
  <si>
    <t>To investigate the effects of longitudinal and shear reinforcement on the stability and damage response (i.e., the size of damaged zone, bending deflection of longitudinal reinforcement and exposed length of longitudinal reinforcement) of reinforced concrete columns during blasting demolition of structure, a series of tests were conducted considering different longitudinal reinforcement diameters, shear reinforcement diameters and shear reinforcement spacings. The blast failure process was conducted to investigate the mechanism of the formation of damaged zones in RC columns. Based on the test results, it was concluded that shear reinforcement took a more significant role in the damage response of the column than longitudinal reinforcement. Meanwhile, the relationships between the damage response and the diameter of longitudinal and shear reinforcement were established based on dimensional analysis, respectively. Furthermore, this study developed a more accurate prediction model of damage response to optimize the blasting design parameters and improve the economy and safety of demolition blasting. Finally, an effective energy concept was introduced to evaluate the utilization rate of explosive energy.</t>
  </si>
  <si>
    <t>Zhou, Hongyu; Wang, Deyu</t>
  </si>
  <si>
    <t>Corrected similarity laws of stiffened panels considering geometric distortion under low speed impact load</t>
  </si>
  <si>
    <t>10.1016/j.oceaneng.2021.109937</t>
  </si>
  <si>
    <t>In the experiment of scaled models to dealing with the impact of large structures, the strain rate hardening effect can cause large differences between dynamic responses of prototype structure and scaled models. It is almost impossible to completely scale models due to manufacturing restrictions. In the present study, a corrected method based on VSG (V represented initial impact velocity, S represented dynamic flow stress and G represented impact mass) system is developed through Buckingham-Π theorem. The dimensionless analysis focus on factors related to energy absorption, in which the static moment of the cross-section is regarded as the dominant one. Through introducing the corrected velocity factor βv which considered the strain rate hardening effect and geometric distortion, experimental and numerical tests are established and consistent results show the method is effective to relate dynamic responses of scaled models even with distortion to the prototype structure. Additionally, as the distortion factor affects scaled models design greatly, the sensitivity of geometry distortion is discussed and it is shown that a more notable difference occurred when scaled models under the negative βD. Furthermore, it is confirmed in the paper that although exact similitude is not generally possible through the Cowper-Symonds constitutive model, good accuracy is nevertheless achievable regardless of structure facture.</t>
  </si>
  <si>
    <t>Qin, Yezhi; Yao, Xiongliang; Wang, Zhi; Wang, Ying</t>
  </si>
  <si>
    <t>Experimental investigation on damage features of stiffened cabin structures subjected to internal blast loading</t>
  </si>
  <si>
    <t>10.1016/j.oceaneng.2022.112639</t>
  </si>
  <si>
    <t>The damage characteristics of cabin structures under the internal explosion load are of great significance to the design of the anti-explosion performance of the vessel. Therefore, to study the dynamic response characteristics and failure modes of the stiffened cabin structures under the internal blast loading, the experimental studies including 11 tests of stiffened cabin models with TNT charge were carried out. The damage modes of 921A and Q345 steels cabin models with different thicknesses were conducted in the experiments under the condition of scaled detonation distance 0.814m⋅kg−1/3 and 0.493m⋅kg−1/3; The damage similarity tests of Q345 steel stiffened cabin structures were carried out according to the design of scaling factor 1:2:3 under the condition of scaled detonation distance 0.474m⋅kg−1/3; the damage modes of the Q345 steel stiffened cabin models with the same size scaled detonation distance 0.474m⋅kg−1/3 and 0.376m⋅kg−1/3 were studied. In addition, a dimensionless damage number for predicting the damage modes of stiffened cabin structures under internal blast loading is proposed based on dimensional analysis. The results show that the damage modes of 8 mm-Q345 steel cabin structure is similar to that of 6 mm-921A steel cabin structure under internal blast load; the damage mode of Q345 steel cabin structures does not meet the similarity under the condition of large equivalent explosive blasting in the present study; for the same size and steel material cabin structures, the more serious the damage mode is when the scaled detonation distance decreases. According to the experimental results, the dimensionless damage number can predict four damage degrees of the stiffened cabin structures.</t>
  </si>
  <si>
    <t>Juwana, Wibawa Endra; Widyatama, Arif; Dinaryanto, Okto; Budhijanto, Wiratni; Indarto; Deendarlianto</t>
  </si>
  <si>
    <t>Hydrodynamic characteristics of the microbubble dissolution in liquid using orifice type microbubble generator</t>
  </si>
  <si>
    <t>10.1016/j.cherd.2018.11.017</t>
  </si>
  <si>
    <t>The aim of this work was to investigate the characteristics of oxygen dissolution into water in aeration using an orifice type microbubble generator (MBG). The analysis was conducted using dimensional analysis by taking into account bubble diameter distribution and oxygen mass transfer rate. The characteristics of microbubbles produced by MBG were affected by the combination of air and water flow rates through the MBG. In this study, the ranges of air and water flow rates were set at 0.1–1.0l/min and 30.0–80.0l/min, respectively. The microbubbles were captured by a high-speed camera using shadow photographic technique to obtain the bubbles size distribution as well as the average diameter of the bubbles. The volumetric mass transfer coefficient of oxygen was measured using dynamic physical absorption model. The results verified that the size of microbubble depend on air and water flow rates. The increase of the gas flow rate increased the average bubble diameter. On the other hand, the increase of the water flow rate decreased the average bubble diameter. Furthermore, the increase of water flow rate increased the oxygen volumetric mass transfer coefficient. Finally, by using dimensional analysis, the empirical correlation of volumetric mass transfer coefficient, average bubble diameter, and bubble diameter distribution, was proposed. The correlation showed that liquid Reynolds number played most important role in average bubble diameter and oxygen mass transfer rate obtained in MBG aeration.</t>
  </si>
  <si>
    <t>Jeong, Yongju; Son, Seongmin; Cho, Seong Kuk; Baik, Seungjoon; Lee, Jeong Ik</t>
  </si>
  <si>
    <t>Evaluation of supercritical CO2 compressor off-design performance prediction methods</t>
  </si>
  <si>
    <t>10.1016/j.energy.2020.119071</t>
  </si>
  <si>
    <t>A supercritical CO2 (S–CO2) Brayton cycle has a compact and simple layout, which suggests the possibility to serve as a small scale distributed power conversion system. Off-design behaviors of each component determine the system off-design performance in the S–CO2 power cycle. Among components, compressor performances have the largest impact on the system off-design analysis since it operates nearest to the critical point of CO2. In the system analysis, the off-design performance of a compressor is usually pre-calculated for the fixed inlet conditions. The performance map is then converted for the off-design performances prediction using corrected mass flow rate and corrected rpm. Similitude models are used for the conversion. Several similitude models have been developed mostly for air conditions previously, but the applicability of these models to S–CO2 still needs to be tested. In this paper, to evaluate the existing models for the S–CO2 conditions, experimentally validated 1D mean-line code is used to generate wide range of S–CO2 compressor data set. As a result of the evaluation, Pham model showed the most accurate enthalpy rise prediction resulting in the best pressure rise prediction, and the efficiency prediction could be modified with density correction to improve the off-design performance prediction.</t>
  </si>
  <si>
    <t>Wang, Jinzhi; Wang, Yechun; Xie, Xiangdong; Xu, Qiang; Wang, Jiang; Guo, Liejin</t>
  </si>
  <si>
    <t>Investigation on separation characteristics of gas–liquid two-phase flow around the perforated tube</t>
  </si>
  <si>
    <t>10.1016/j.nucengdes.2023.112200</t>
  </si>
  <si>
    <t>Gas-liquid separator plays an important role in the reactor fission gas removal system. Utilizing the differential pressure formed by flow around the perforated tube, the separator achieves gas–liquid separation, meanwhile having advantages such as simple structure. The evolution characteristics of gas–liquid interface and the variation of parameters such as separation efficiency and pressure drop under plug flow and slug flow are investigated. The void fraction in wake region is only related to the inlet volumetric fraction. The variation of air separation efficiency with inlet volumetric fraction is influenced by the inlet flow pattern, and the separation purity increases with the inlet volumetric fraction. The prediction methods of air separation efficiency, pressure drop and other parameters based on Weber number and liquid phase Reynolds number are obtained in accordance with dimensional analysis and minimum kinetic energy principle with the prediction accuracy within ±20 %, which provides guidance for practical application and optimization.</t>
  </si>
  <si>
    <t>Ma, Minghui; Zhou, Siyang; Liu, Shanglin; Kang, Yilan; Zhang, Qian</t>
  </si>
  <si>
    <t>A physics-based dimension reduction and modeling method for monitoring data and its application to tunnel engineering</t>
  </si>
  <si>
    <t>10.1016/j.autcon.2024.105499</t>
  </si>
  <si>
    <t>The promotion of intelligent control of engineering equipment requires extracting vital information from numerous original features in the monitoring data. Data-driven methods solely rely on data distribution to extract dimensional information, facing difficulties in comprehensively understanding and scrutinizing system behavior. To satisfy the control and optimization requirements of intelligent systems, this paper introduces a physics-based dimension reduction and modeling method. According to scientific principles, original features are transformed into causal variables with physical meaning. Then important causal variables are selected through regularization in machine learning. Finally, a concise prediction model with physical representation is established. An application to tunnel engineering demonstrates that the generated low-dimensional space reveals the essential laws between the control parameter and its main influencing factors (i.e., the geological conditions, operating status, and structural characteristics of the tunneling equipment), which can further provide a better prediction model balancing accuracy and dimensionality.</t>
  </si>
  <si>
    <t>Bellocq, B.; Ruiz, T.; Delaplace, G.; Duri, A.; Cuq, B.</t>
  </si>
  <si>
    <t>Screening efficiency and rolling effects of a rotating screen drum used to process wet soft agglomerates</t>
  </si>
  <si>
    <t>Journal of Food Engineering</t>
  </si>
  <si>
    <t>10.1016/j.jfoodeng.2016.09.023</t>
  </si>
  <si>
    <t>The rotating screen drums are largely used in most powder handling and processing industries. They are commonly used for size separation of granular materials. Objectives of the present work are to better understand both roles, screening efficiency and shaping effects and to investigate and model which process parameters are relevant when using an inclined rotating screen drum for processing wet couscous agglomerates. Durum wheat semolina was used as raw material to produce the wet agglomerates. The pilot rotating screen drum equipment was composed of two sieves to separate three fractions: fine, medium, and large agglomerates. The shaping effects of the rotating screen drum were evaluated from the measurements of the physico-chemical characteristics (size distribution, water content, compactness, and circularity) on wet soft agglomerates. To describe the screening efficiency parameters of a rotary screen drum, a specific method was developed by using a matrix analysis of the different measured weights of the collected products. The impacts of rotating screen drum parameters (angle of inclination, rotating speed, and product flow rate) on the sieving efficiency and on the shaping effects were investigated. The present results demonstrate high apparent screening efficiency of the rotating screen drum when used with wet agglomerates of durum wheat, ranging between 89 and 96% depending on the process conditions Finally, using dimensional analysis, two correlations were proposed on the circularity and the apparent screening efficiency whatever the operating conditions used (drum speed, angle of inclination and feed rate).</t>
  </si>
  <si>
    <t>Yin, Zhi-Yong; Chen, Xiao-wei</t>
  </si>
  <si>
    <t>Typical fracture modes of metal cylindrical shells under internal explosive loading</t>
  </si>
  <si>
    <t>10.1016/j.ijimpeng.2023.104803</t>
  </si>
  <si>
    <t>The competition and coupling of various fracture modes, including tensile fracture, shear fracture and spallation, exist in explosively-driven metal shells. However, the fracture mechanisms and influencing factors of different fracture modes are still unclear. In this study, three typical fracture modes of explosively-driven metal shells–tensile fracture, tensile-shear fracture and shear fracture are numerically revealed by using both the maximum principal strain and the Johnson-Cook cumulative-damage failure criterion. The selection of failure criteria is explained in detail. The fracture strain and fragment morphology are in good agreement with the experimental results. Combined with failure criterion, the numerical results are analyzed from the perspective of pressure, stress and strain. It is found that the formation of different fracture modes depends on the competition between the shear failure formed in the inner surface of the shell and the tensile micro-cracks formed in the middle of the shell. To further investigate the influencing factors of different fracture modes, three dimensionless parameters affecting the fracture modes are proposed based on dimensional analysis. In addition, by analyzing 29 sets of experimental data, we propose the dimensionless equations that can control different fracture modes. And the distribution diagrams of three typical fracture modes (tensile, tensile-shear and shear fracture) of explosively-driven metal shells are determined. Furthermore, we propose a parameter that can effectively distinguish adiabatic shear fracture from non-adiabatic shear fracture.</t>
  </si>
  <si>
    <t>Dong, Yifeng; Yang, Heng; Yan, Han; Yao, Xuefeng</t>
  </si>
  <si>
    <t>Design and characteristics of fabric rubber sealing based on microchannel model</t>
  </si>
  <si>
    <t>Composite Structures</t>
  </si>
  <si>
    <t>10.1016/j.compstruct.2019.111463</t>
  </si>
  <si>
    <t>In this paper, both the mechanical behavior and the leakage characteristics of fabric rubber composite in aircraft door are investigated in detail based on microchannel model, which consider the influences of the microchannel shape, the elastic modulus, and the contact stress on the gas leakage rate of the fabric rubber composite. First, the explicit expression of the gas leakage rate at the contact interface of the fabric rubber composite is established based on the contact interface properties. Second, the explicit dimensionless function of the gas leakage rate at the contact interface of the rubber seal is proposed by means of dimensional analysis, finite element analysis and computational fluid dynamics (CFD) method. Finally, the influences of the gas pressure on the gas leakage rate are studied under the same pressure difference at both sides of the fabric rubber composite. The predicted results of the gas leakage rate are in good agreement with the experimental results, which provide an effective model for evaluating the gas leakage characteristics at the contact interface of the fabric rubber composite under any gas pressure and compressive displacement.</t>
  </si>
  <si>
    <t>Caraballo-Arias, N.A.; Conoscenti, C.; Di Stefano, C.; Ferro, V.</t>
  </si>
  <si>
    <t>A new empirical model for estimating calanchi Erosion in Sicily, Italy</t>
  </si>
  <si>
    <t>Geomorphology</t>
  </si>
  <si>
    <t>10.1016/j.geomorph.2014.12.017</t>
  </si>
  <si>
    <t>Calanchi (plural of calanco) are typical badland landforms of the Italian landscape. They consist of dense networks of V-shaped valleys, with a sparse or absent vegetation cover, which frequently develop on unconsolidated or poorly consolidated clayey deposits. In this paper, the dimensional analysis and the incomplete self-similarity theory were used to deduce a model relating the volume of sediments eroded from the calanchi area to a set of geometric attributes of their tributary areas. The morphometric characteristics of 209 calanchi basins were used to calibrate and validate the model. The predictive skill of the model was assessed by calculating the mean square error and the Nash–Sutcliffe model efficiency coefficient. The model was found to provide a reliable prediction of eroded volume from basins entirely covered by calanchi landforms as well as from basins only partially affected by badland erosion processes. Furthermore, as the residuals between the calculated and the measured volume of the eroded material are normally distributed, the deterministic model may be considered complete, meaning that no other variables are necessary to explain the studied physical process. In other words, the model is able to predict erosion volume in calanchi landforms from a deterministic point of view.</t>
  </si>
  <si>
    <t>Zhu, Zenghao; Nathan, Rungun; Wu, Qianhong</t>
  </si>
  <si>
    <t>Multi-scale soft porous lubrication</t>
  </si>
  <si>
    <t>10.1016/j.triboint.2019.05.003</t>
  </si>
  <si>
    <t>This paper reports a comprehensive study of soft lubrication in a porous layer whose thickness ranges from 3.1 mm to 19.0 mm, using two experimental setups for different scales of porous media. We demonstrate that the lubrication theory for soft porous media (Feng and Weinbaum, J. Fluid Mech. 422, 282, 2000) is valid in describing the fluid pressurization, while the theory by Toll (Polym Eng Sci 38, 1337, 1998) is appropriate in predicting the solid phase lifting force. A new model is then developed for estimating the contribution of the fluid pressure to the total lift, which, along with extensive dimensional analysis, provides critical insights for the application of soft porous lubrication in industrial applications.</t>
  </si>
  <si>
    <t>Silgado-Correa, Karen J.; Ferreira, Tatiele D.; Vianna, Sávio S.V.</t>
  </si>
  <si>
    <t>Leak release momentum and the convective flow influence on the calculation of flammable cloud</t>
  </si>
  <si>
    <t>Journal of Loss Prevention in the Process Industries</t>
  </si>
  <si>
    <t>10.1016/j.jlp.2020.104123</t>
  </si>
  <si>
    <t>A mathematical model predicting the fluid flow dynamics of accidental clouds is introduced. It has been found that the dimensionless flammable cloud is related to the accidental leak rate, wind speed, and fluid by means of the balance between the release momentum and the convective wind flow. The non-dimensional cloud volume Vˆ ranges from 0.16 to 62 for the cases investigated. Numerical findings suggest a sinusoidal waveform (sine-cosine function) as in the trigonometric circle. This observation goes in line with the wind rose from meteorological data. The proposed mathematical model agrees very well with numerical data calculated using computational fluid dynamics.</t>
  </si>
  <si>
    <t>Baba, Yahaya D.; Aliyu, Aliyu M.; Archibong, Archibong E.; Abdulkadir, Mukhtar; Lao, Liyun; Yeung, Hoi</t>
  </si>
  <si>
    <t>Slug length for high viscosity oil-gas flow in horizontal pipes: Experiments and prediction</t>
  </si>
  <si>
    <t>10.1016/j.petrol.2018.02.003</t>
  </si>
  <si>
    <t>An experimental investigation was carried out on the effects of high liquid viscosities on slug length in a 0.0762-m ID horizontal pipe using air-water and air-oil systems with nominal viscosities ranging from 1.0 to 5.5 Pa s. The measurements of slug length were carried out using two fast sampling gamma densitometers with a sampling frequency of 250 Hz. The results obtained show that liquid viscosity has a significant effect on slug length. An assessment of existing prediction models and correlations in the literature was carried out and statistical analysis against the present data revealed some discrepancies, which can be attributed to fluid properties in particular, low viscous oil data used in their derivation Hence, a new high viscous oil data presented here from which we derive a new slug length correlation was derived using dimensional analysis. The proposed correlation will improve prediction of slug length as well as provide a closure relationship for use in flow simulations involving heavy oil. This is important since most current fields produce highly viscous oil with some reaching 10 Pa s.</t>
  </si>
  <si>
    <t>Lacressonnière, Fabien; Varais, Andy; Roboam, Xavier; Bru, Eric; Mullins, Timothé</t>
  </si>
  <si>
    <t>Scale electro-thermal model of a lithium-ion battery for time-accelerated experiments in a hardware in the loop process</t>
  </si>
  <si>
    <t>10.1016/j.est.2021.102576</t>
  </si>
  <si>
    <t>A scale electro-thermal model has been developed for LiFePO4/graphite lithium-ion battery. Such model is appropriate in order to develop a physical emulation of a battery in the context of a hardware in the loop process, especially for testing energy management strategies of microgrids under the same conditions (solar irradiation for PV arrays, wind speed for wind turbine, state of health for storage device) and potentially by compressing testing time. Classically, physical emulation allows achieving laboratory size-scaled analysis but one major originality of the proposed approach deals with the “time-compressed experimental analysis”. The electro-thermal model is based on the extended modified shepherd model coupled with a 1D thermal model. The model parameters are estimated through a sequential characterization approach from several input profiles such as the hybrid pulse power characterization protocol and the open circuit voltage measurement. Both the dimensional analysis and the Vaschy-Buckingham theorem are used to obtain the scaling factors (voltage, current, “but also” time) which are applied on the original model parameters. The accuracy of the scale electro-thermal model is validated on a robustness analysis (the battery current profile is based on a specific energy management strategy for a typical microgrid application) with voltage, current and time scaling. The simulation results presented in the paper show that the reduction of the time horizon of experimental tests for HIL process is possible by means of an appropriate dimensional analysis (scaling) on the model parameters.</t>
  </si>
  <si>
    <t>Rojek, Jerzy; Oñate, Eugenio; Labra, Carlos; Kargl, Hubert</t>
  </si>
  <si>
    <t>Discrete element simulation of rock cutting</t>
  </si>
  <si>
    <t>10.1016/j.ijrmms.2011.06.003</t>
  </si>
  <si>
    <t>This paper presents numerical modelling of rock cutting processes. The model consists of a tool–rock system. The rock is modelled using the discrete element method, which is suitable to study problems of multiple material fracturing such as those involved in rock cutting. Both 2D and 3D models are considered in this work. The paper presents a brief overview of the theoretical formulation and calibration of the discrete element model by a methodology combining the dimensional analysis with simulation of the unconfined compressive strength (UCS) and indirect tension (Brazilian) tests. The rock cutting process with roadheader picks, which is typical for underground excavation, has been simulated. The results of the 2D and 3D analyses have been compared with one another, and numerical results have been compared with the available experimental data.</t>
  </si>
  <si>
    <t>Coutinho, Cristiano P.; Baptista, António J.; Dias Rodrigues, José</t>
  </si>
  <si>
    <t>Reduced scale models based on similitude theory: A review up to 2015</t>
  </si>
  <si>
    <t>10.1016/j.engstruct.2016.04.016</t>
  </si>
  <si>
    <t>Similitude theory is a branch of engineering science concerned with establishing the necessary and sufficient conditions of similarity among phenomena, and has been applied to different fields such as structural engineering, vibration and impact problems. Testing of sub-scale models is still nowadays a valuable design tool, helping engineers to accurately predict the behavior of oversized prototypes through scaling laws applied to the obtained experimental results. In this manuscript it has been reviewed the developments in the methodologies used to create reduced scale models as a design tool, including those based in the use of: dimensional analysis, differential equations and energetic methods. Besides, given their importance, some major areas of research were reviewed apart: impacted structures, rapid prototyping of scale models and size effects. At last, some topics on which additional efforts can be undertaken are highlighted.</t>
  </si>
  <si>
    <t>Nonlinear input feature reduction for data-based physical modeling</t>
  </si>
  <si>
    <t>10.1016/j.jcp.2022.111832</t>
  </si>
  <si>
    <t>Osorio, M.; Moreno, F.L.; Raventós, M.; Hernández, E.; Ruiz, Y.</t>
  </si>
  <si>
    <t>Progressive stirred freeze-concentration of ethanol-water solutions</t>
  </si>
  <si>
    <t>10.1016/j.jfoodeng.2017.12.026</t>
  </si>
  <si>
    <t>Progressive freeze-concentration is a technology to separate water from solutions by freezing. In the present investigation, ethanol-water solutions were freeze-concentrated by the progressive stirred technique. The freezing stage was carried out in a stirring vessel. Solute recovery by the fractionated thawing of ice was also studied. The effects of stirring speed (500, 1000, and 2000 rpm), initial concentration of the solution (3%, 5%, and 8% ethanol), and temperature of the thawing stage (0, 10, and 20 °C) on the solute yield and average distribution coefficient were determined using response surface analysis. The ethanol concentration was found to have increased by 1.3 and 2.1 times at the end of the freeze concentration process. It was found that the initial concentration had a significant effect on the distribution coefficient. In addition, the average yield was increased by 28% by fractionated thawing. Subsequently, a non-dimensional analysis of the distribution coefficient was developed to yield a model to predict the distribution coefficient as a function of the Reynolds number, the relationship between the average ice growth rate and the stirring speed, the agitator diameter, and the liquid fraction. This technique proved to be valid with respect to the concentration of ethanol-water solutions, with better yields being obtained at low initial concentrations. This model is the first of its kind to describe the ethanol-water interaction in agitated freeze-concentration systems.</t>
  </si>
  <si>
    <t>Vaheddoost, Babak; Safari, Mir Jafar Sadegh; Ilkhanipour Zeynali, Rasoul</t>
  </si>
  <si>
    <t>Discharge coefficient for vertical sluice gate under submerged condition using contraction and energy loss coefficients</t>
  </si>
  <si>
    <t>10.1016/j.flowmeasinst.2021.102007</t>
  </si>
  <si>
    <t>A novel method is suggested for the determination of flow discharge in vertical sluice gates with considerably small bias. First, in order to derive an equation for the discharge coefficient, energy-momentum equations are implemented to define the physical realization of the phenomenon. Afterward, the discharge coefficient is presented in terms of contraction and energy loss coefficients. Subsequently, discharge coefficient, contraction, and energy loss coefficients were determined through an implicit optimization technique on the data. Data analysis illustrated that there is a meaningful power relationship between the contraction and energy loss coefficients. Thereafter, dimensional analysis is performed and an explicit best-fit regression equation is developed for defining the energy loss coefficient. The obtained equations for contraction and energy loss coefficients were then used in the computation of the discharge coefficient and determination of the flow discharge in the vertical sluice gate. The performance of the developed approach is validated against the selected benchmarks existing in the literature.</t>
  </si>
  <si>
    <t>Singh, Tarlochan; Rathore, Ranjeet Singh; Dvivedi, Akshay</t>
  </si>
  <si>
    <t>Experimental investigations, empirical modeling and multi objective optimization of performance characteristics for ECDD with pressurized feeding method</t>
  </si>
  <si>
    <t>10.1016/j.measurement.2019.107017</t>
  </si>
  <si>
    <t>Electrochemical discharge drilling (ECDD) is a hybrid micromachining process that can be used to drill micro holes on all kind of materials, irrespective of their mechanical and electrical properties. In ECDD, the continual penetration of tool electrode having electrochemical discharge (ECD) energy along the work material generates the holes. The relative movements between tool electrode and work material controls the energy penetration rate, and subsequently effects the performance characteristics. Therefore, the effect of process parameters associated with feeding motion and ECD energy are important to investigate simultaneously with respect to the performance characteristics. In the current study, a Buckingham’s dimensional method was used to determine the relation between input process parameters (that includes simultaneous interaction of ECD energy based parameters and feeding motion based parameters) and performance characteristics. The material removal rate (MRR) and hole overcut (HOC) were considered as the performance characteristics. MRR and HOC symbolize the productivity and accuracy of the process, respectively. During predictive modeling, the constant terms and coefficients were estimated from the non-linear experimental data. The outcomes manifested by the predictive models are in good agreement with the experimental results. The underlying process mechanism for ECDD with the pressurized feeding system has been explored by considering the simulation results as an evidences. Microscopic images of machined holes and discharge characteristics were used to develop the fundamental background of ECDD process mechanism with pressurized feeding method. Additionally, genetic algorithm (GA) was used to perform the multi objective optimization of ECDD process.</t>
  </si>
  <si>
    <t>Teh, Hee Min; Venugopal, Vengatesan</t>
  </si>
  <si>
    <t>Performance evaluation of a semicircular breakwater with truncated wave screens</t>
  </si>
  <si>
    <t>10.1016/j.oceaneng.2013.05.035</t>
  </si>
  <si>
    <t>A semicircular breakwater model with rectangular perforations and with truncated wave screen(s) of different porosities has been developed in this study which could act as an anti-reflection wave barrier, providing wave protection to coastal and marine infrastructures. The hydrodynamic performance of the breakwater model is evaluated through wave measurements in a wave flume under irregular waves. The experiments are undertaken with three setups; (i) a wave screen is attached to the front curved wall of the semicircular breakwater and none at the rear wall, (ii) a wave screen is attached at the rear curved wall of the semicircular breakwater and none at the front wall and (iii) wave screens one each is attached to the front and rear walls of the semicircular breakwater. The wave surface elevations are measured at different locations upstream and downstream of the breakwater model and the coefficients of wave transmission, reflection and energy dissipation are determined. Wave climate in the vicinity of the breakwater and the horizontal wave force on the model are also measured and analysed. The results show that the semicircular breakwater with double screens of 25% porosity is the most viable design that offers reasonably good hydraulic performance as this acts as an energy dissipater rather than a wave reflector. Further, empirical models developed using a multi-regression method for estimation of reflection, transmission and energy loss coefficients as well as the normalised wave force coefficients, correlates well with the experimental data.</t>
  </si>
  <si>
    <t>Baserinia, R.; Sinka, I.C.</t>
  </si>
  <si>
    <t>Powder die filling under gravity and suction fill mechanisms</t>
  </si>
  <si>
    <t>International Journal of Pharmaceutics</t>
  </si>
  <si>
    <t>10.1016/j.ijpharm.2019.01.068</t>
  </si>
  <si>
    <t>In pharmaceutical tablet manufacturing, the powder formulation is filled into a die and compacted into a tablet using rigid punches. Die fill is important because it limits the productivity of tablet presses and determines key quality attributes of tablets including weight and content uniformity. Die fill occurs due to gravity and suction fill mechanisms. A model linear shoe-die filling system has been instrumented with pressure measurement devices for detailed characterisation of air pressure evolution as the powder mass is delivered in the die. Systematic experiments were carried out using a range of microcrystalline cellulose powders to explore the role of powder properties (such as particle size and bulk density) and operating parameters (such as shoe and die geometry, shoe and suction punch kinematics and powder filling level) on powder delivery. Existing models were found inadequate to describe the mass flow rate of powders under a diversity of gravity and suction filling conditions. The pressure measurements enabled the development of a new die fill model using the Buckingham Π theorem. The model includes separate terms for the contribution of the mass of powder delivered under gravity and suction fill mechanisms. The experimental procedures required to extract the parameters of the model are described. The model is applicable to the handling and dosing of fine and cohesive powders where small differences in air pressure have a significant impact on the powder flow process. The practical application of the model for predicting die filling behaviour in a high-speed rotary tablet press is demonstrated by assuming operating conditions of a typical rotary tablet press. This approach can be adapted to assist formulation design and process development for operations involving handling and dosing of fine and cohesive powders.</t>
  </si>
  <si>
    <t>Zhang, Chenhao; Li, Xin; Zhou, Renyu; Engel, Bernard A.; Wang, Yubao</t>
  </si>
  <si>
    <t>Hydraulic characteristics and flow measurement performance of portable primary and subsidiary fish-shaped flumes in U-shaped channels</t>
  </si>
  <si>
    <t>10.1016/j.flowmeasinst.2024.102539</t>
  </si>
  <si>
    <t>Accurate measurement of irrigation water consumption in small channels is an important link in achieving reasonable irrigation area management and agricultural water pricing and improving agricultural irrigation water use efficiency. Fixed water measuring flumes have a high construction cost and are prone to causing local channel sedimentation, compromising the safety of channel water transmission and flow measurement accuracy. Portable water measuring flumes can be used repeatedly in channels within a certain contraction ratio, and the duration of one water measurement is short (generally less than 5 min), which will not cause sedimentation. A new portable primary and subsidiary fish-shaped flume has been proposed by dividing 1 fish-shaped cylinder into 3. The flow measurement and hydraulic performance of measuring flumes with different contraction ratios in a U-shaped channel under different working conditions were studied using prototype experiments and numerical simulation. Compared to the existing portable flume, the primary and subsidiary fish-shaped flumes have achieved high flow measurement accuracy, a large critical submergence degree, a low backwater height, and low head loss. The head loss can be reduced by selecting a suitable length-width ratio and column spacing distance.</t>
  </si>
  <si>
    <t>Jadhav, Dipak A.; Carmona-Martínez, Alessandro A.; Chendake, Ashvini D.; Pandit, Soumya; Pant, Deepak</t>
  </si>
  <si>
    <t>Modeling and optimization strategies towards performance enhancement of microbial fuel cells</t>
  </si>
  <si>
    <t>10.1016/j.biortech.2020.124256</t>
  </si>
  <si>
    <t>Considering the complexity associated with bioelectrochemical processes, the performance of a microbial fuel cell (MFC) is governed by input operating parameters. For scaled-up applications, a MFC system needs to be modeled from engineering perspectives in terms of optimum operating conditions to get higher performance and energy recovery. Several conceptual numerical models to advanced computational simulation approaches have been developed to represent simple-form of a complex MFC system. Application of mathematical and computation models are explored to establish the relationship between operating input-variables and power output. The present review discusses about the complexity of system, modeling strategies used and reality of such modeling for scaling-up applications of MFCs. Additionally, the selection of an appropriate mathematical model reduces the computational duration and provides better understanding of the system process. It also explores the possibility and progress towards commercialization of MFCs and thus the need of development of model-based optimization and process-control approaches.</t>
  </si>
  <si>
    <t>Zhou, Zhiyang; Jia, Baoxin; Yuan, Wenya; Zhang, Jing</t>
  </si>
  <si>
    <t>Vibration response prediction and vibration safety assessment method for building structures around viaducts under the action of high-speed railway trains</t>
  </si>
  <si>
    <t>10.1016/j.conbuildmat.2024.135877</t>
  </si>
  <si>
    <t>Concerning the cumulative damage of building structures caused by the long-term effects from high-speed railway train loads and various environmental impacts, and to ensure the service safety of building structures around viaducts, this paper establishes a vibration safety assessment method for the entire life cycle of building structures with less workload and good applicability, while ensuring the accuracy and effectiveness of the prediction of vibration response of building structures. Firstly, the vibration source function is formed based on the mechanical model of the mobile vibration source of high-speed railway trains, and the vibration wave of high-speed railway trains is numerically simulated. Then the time and frequency characteristics of the simulated high-speed railway train vibration waves are verified through on-site monitoring tests. In addition, the peak particle vibration velocity attenuation formula for the foundation site of the viaduct is derived by the dimension analysis method, and it is used to correct the attenuation characteristics of the simulated high-speed railway train vibration waves. Finally, based on the response spectrum method to realize the prediction and assessment of the overall vibration response of the building structures, and using the cumulative damage coefficient to reflect the cumulative degree of the service damage of the building structure, a vibration safety assessment method for the whole lifecycle of the building structure is proposed. The method overcomes the shortcoming that vibration velocity does not reflect the impact of service damage on the vibration safety of building structures, and avoids neglecting localized vibration damage, and is therefore useful for the rapid, overall vibration safety assessment of any long-term service building structure in a viaduct site.</t>
  </si>
  <si>
    <t>Kumar, Avinash; Moulick, Sanjib; Singh, Basant K.; Mal, Bimal C.</t>
  </si>
  <si>
    <t>Design characteristics of pooled circular stepped cascade aeration system</t>
  </si>
  <si>
    <t>Aquacultural Engineering</t>
  </si>
  <si>
    <t>10.1016/j.aquaeng.2013.04.004</t>
  </si>
  <si>
    <t>Aeration experiments were conducted in a brick masonry tank of dimension 4m×4m×1.5m to study the design characteristics of pooled circular stepped cascade (PCSC) aeration system. Based on dimensional analysis, non-dimensional numbers related to geometric, dynamic and process parameters were proposed. The non-dimensional geometric parameters – number of steps (N), ratio of total height of cascade (H) to the bottom radius of cascade (Rb), % coverage of circumference of each step by enclosure (Pe) and number of enclosures in each step (Ne) were optimized. Maintaining the optimized geometric parameters (N=6, H/Rb=0.25, Pe=20% and Ne=9), aeration experiments were further conducted at different discharges (Q) to develop simulation equations for prediction of aeration characteristics of PCSC aeration system at different dynamic conditions. Simulation equations for oxygen transfer and power consumption based on Froude (Fr) criterion were developed subject to 0.0014≤Fr≤0.0144. SAE of the developed prototype PCSC aerators based on estimated brake power ranged between 2.43 and 3.23kg O2/kWh.</t>
  </si>
  <si>
    <t>Wu, Kaiyuan; Xie, Peimin; Liu, Zhao; Zeng, Min; Liang, Zhuoyong</t>
  </si>
  <si>
    <t>Investigation of double arc interaction mechanism and quantitative analysis of double arc offset in high-power double-wire DP-GMAW</t>
  </si>
  <si>
    <t>10.1016/j.jmapro.2019.10.022</t>
  </si>
  <si>
    <t>In this paper, the double arc interaction mechanism is investigated and the double arc offset is quantitatively analyzed in the high-power double-wire double pulsed gas metal arc welding (DP-GMAW). Arc offsets in the synchronous and alternating phases were captured using high-speed photography and corresponding voltage and current waveforms were simultaneously recorded during the welding process. Experimental results show the arc offset behavior is affected by the electromagnetic field, arc pressure, and arc stiffness. In the alternating phase, offset of the base arc is largest and offset of the peak arc is smallest. In the synchronous phase, the base and peak arc offsets are somewhere between those in the alternating phase. Dimensional analysis method was used to analyze the factors influencing arc stiffness and in addition, the effects of arc stiffness on arc offset were examined. Increasing the arc stiffness can prevent arc offset, by reducing measurement and experimental errors. Furthermore, the arc stiffness effects were found to be more prominent during the strong pulse compared with the weak pulse, and the arc offsets were smaller in the strong pulse. In the alternating phase, the base arc promotes the formation of molten metal deposits, resulting in the appearance of more prominent fish scales compared with the synchronous phase. Marangoni convection in the weld pool becomes stronger as the phase difference between the two arcs decreases. Moreover, the weld width increases, weld penetration becomes shallower and the weld reinforcement will be lower.</t>
  </si>
  <si>
    <t>Chen, Chuanqi; Diao, Yanhua; Zhao, Yaohua; Wang, Zeyu; Liu, Yutong; Han, Yifa; Zhu, Tingting; Fang, Dongran; Li, Jiaxin</t>
  </si>
  <si>
    <t>Melting performance of a cold energy storage device filled with metal foam–composite phase-change materials</t>
  </si>
  <si>
    <t>10.1016/j.est.2022.106567</t>
  </si>
  <si>
    <t>Performance prediction of cold thermal energy storage (CTES) devices is an important step in guiding their design and application. However, related studies are limited, and some do not consider the influence of structural parameters. In this study, a CTES with metal foam–composite phase-change materials (PCMs) was built, and the influence mechanism of the physical parameters of PCMs and structural parameters of metal foam on the melting of composite PCMs was studied through experiments, theory, and numerical simulation. Results show that the porosity, the material of the metal foam, and the thickness of the metal foam are the main factors affecting the melting rate and heat transfer strength of PCMS, whereas the effect of pore density can be ignored. Three general correlations about the liquid fraction; Nusselt number with Fo, Ste, and Ra; and dimensionless structural parameters of metal foams were analyzed and obtained. The results will provide data and theoretical basis for the design of CTES using metal foam–composite PCMs.</t>
  </si>
  <si>
    <t>Xu, Pengcheng; Zou, Zhengping; Yao, Lichao</t>
  </si>
  <si>
    <t>A unified performance conversion method for similar compressors working with different gases based on polytropic analysis and deep-learning improvement</t>
  </si>
  <si>
    <t>10.1016/j.enconman.2021.114747</t>
  </si>
  <si>
    <t>The similitude method for compressors working with different gases makes it possible to obtain the performance map of a gas compressor through the experiment of a similar air compressor, which thereby largely simplifies the test rig and saves the cost. Existing similitude methods choose isentropic efficiency as the similitude parameter, which cannot take into account all the impact factors (e.g. the real-gas effect) in the performance conversion, thus resulting in limited applications. In this paper, the similitude parameter for efficiency is theoretically deduced by analyzing the essential polytropic compression process. It is proved that polytropic efficiency serves as a more unified similitude parameter than isentropic efficiency. On this basis, a unified performance conversion method is first proposed and then validated. Results show that the unified method can be applied to all kinds of gases, including incompressible gases, ideal gases, and real gases. Relative errors in the performance conversion are less than 4% for weak real-gas-effect gases while about 6% for strong real-gas-effect gases. To further reduce the errors for strong real-gas-effect gases, two correction coefficients are introduced and deep learning technology are adopted to predict their values. It is validated that errors can be reduced to less than 2% by the deep-learning improvement.</t>
  </si>
  <si>
    <t>Shen, Guiying; Cao, Dingye; Li, Shanshan; Li, Guodong</t>
  </si>
  <si>
    <t>Numerical and sensitivity analysis of hydraulic characteristics of triangular labyrinth side weir</t>
  </si>
  <si>
    <t>10.1016/j.flowmeasinst.2024.102686</t>
  </si>
  <si>
    <t>Triangular labyrinth side weirs have significantly more discharge capacity than traditional nonlinear weirs, and the complex hydraulic parameter interaction mechanism has been the research focus. This study used Computational Fluid Dynamics (CFD) to analyze the side weir's flow characteristics. Then, the Bayesian optimization algorithm and Extreme Learning Machine (BELM) developed a prediction model for the side weir's discharge coefficient. Finally, Sobol's method performed a sensitivity analysis for hydraulic parameters. The results show that the main channel's streamline is evenly distributed and begins to shift when it is close to the side weir. The overflow front is increasing and secondary flow also increases. BELM's Mean Absolute Percentage Error and Root Mean Square Error are 8.793 % and 0.455 in the testing stage, respectively, declined by about 56.24 % and 32.29 % compared with ELM; Froude number Fr, weir crest angle θ and the ratio of overflow front length to weir head l/h1 are the most critical hydraulic parameters affecting the discharge coefficient, the global sensitivity coefficients are 0.4393, 0.4218 and 0.4152, respectively.</t>
  </si>
  <si>
    <t>Vijith, V.; Shetye, S.R.; Baetens, K.; Luyten, P.; Michael, G.S.</t>
  </si>
  <si>
    <t>Residual estuarine circulation in the Mandovi, a monsoonal estuary: A three-dimensional model study</t>
  </si>
  <si>
    <t>Estuarine, Coastal and Shelf Science</t>
  </si>
  <si>
    <t>10.1016/j.ecss.2016.01.041</t>
  </si>
  <si>
    <t>Observations in the Mandovi estuary, located on the central west coast of India, have shown that the salinity field in this estuary is remarkably time-dependent and passes through all possible states of stratification (riverine, highly-stratified, partially-mixed and well-mixed) during a year as the runoff into the estuary varies from high values (∼1000 m3 s−1) in the wet season to negligible values (∼1 m3 s−1) at end of the dry season. The time-dependence is forced by the Indian Summer Monsoon (ISM) and hence the estuary is referred to as a monsoonal estuary. In this paper, we use a three-dimensional, open source, hydrodynamic, numerical model to reproduce the observed annual salinity field in the Mandovi. We then analyse the model results to define characteristics of residual estuarine circulation in the Mandovi. Our motivation to study this aspect of the Mandovi's dynamics is derived from the following three considerations. First, residual circulation is important to long-term evolution of an estuary; second, we need to understand how this circulation responds to strongly time-dependent runoff forcing experienced by a monsoonal estuary; and third, Mandovi is among the best studied estuaries that come under the influence of ISM, and has observations that can be used to validate the model. Our analysis shows that the residual estuarine circulation in the Mandovi shows four distinct phases during a year: a river like flow that is oriented downstream throughout the estuary; a salt-wedge type circulation, with flow into the estuary near the bottom and out of the estuary near the surface restricted close to the mouth of the estuary; circulation associated with a partially-mixed estuary; and, the circulation associated with a well-mixed estuary. Dimensional analysis of the field of residual circulation helped us to establish the link between strength of residual circulation at a location and magnitude of river runoff and rate of mixing at the location. We then derive an analytical expression that approximates exchange velocity (bottom velocity minus near freshwater velocity at a location) as a function of freshwater velocity and rate of mixing.</t>
  </si>
  <si>
    <t>Hao, Qiangqiang; Bi, Mingshu; Deng, Zilong; Liu, Xing; Hou, Zhihao; Ren, Jingjie</t>
  </si>
  <si>
    <t>Study on the impact of different hole shapes on liquefied gas leakage behavior</t>
  </si>
  <si>
    <t>10.1016/j.fuel.2024.131549</t>
  </si>
  <si>
    <t>Accidental leakage of liquefied gas is a common occurrence during its storage, transportation, and usage. The shape of the leakage holes varies due to different causative factors. In this paper, we have established an experimental setup using R134a as the medium to simulate liquefied gas leakage. Different nozzle shapes are used to simulate the effect of various leakage hole shapes on the release process. The results indicate that, when the hole area (A) is constant, the discharge coefficient (Cd(exp)) decreases in the order of circular, square, and triangular holes. Simultaneously, based on dimensional analysis, we propose an empirical formula to predict the Cd(pre) for both circular and non-circular hole leakage. Notably, non-circular holes exhibit an axis-switching phenomenon during flash vaporization spray, leading to an asymmetric structure in the spray cone angle (θ) of triangular holes. The spray area of circular holes displays significantly larger lowest temperature and low-temperature regions compared to non-circular holes.</t>
  </si>
  <si>
    <t>Meng, Yi; Zhang, Yuwu; Li, Xiangcheng; Qi, Zizhen; Lin, Yuliang</t>
  </si>
  <si>
    <t>Cutting energy absorption property analysis and homogenization analysis of combined honeycomb subject to explosive loading</t>
  </si>
  <si>
    <t>10.1016/j.tws.2021.108602</t>
  </si>
  <si>
    <t>Limited studies were reported about energy absorption characteristics of combined honeycombs subjected to uniformly distributed explosive loading in air. In this paper, the cutting strain of the combined honeycomb core considering the effects of core diameter, explosive charge mass and scaled distance was first investigated through air explosion experiments. A full-scale finite element (FE) model and a homogenization method were then proposed and verified by comparing the numerical solutions with the experimental results. Based on the FE model, the individual effects of the peak overpressure and positive impulse on the cutting performance were revealed. The experimental results demonstrated that either a decreasing scaled distance or an increasing charge mass resulted in a larger cutting strain. The numerical solutions indicated that similar changing tendencies to cutting strain were observed for the cutting plateau stress and energy absorbed by the combined honeycomb. Based on the dimensional analyses, a semi-empirical formula was proposed for predicting the relationship between the absorbed energy and cutting plateau stress. In addition, a deformation mode map was developed. The map plotted the peak overpressure vs. the impulse and identified the dominant deformation mode for each application point in this space. The map can be used in combination with the semi-empirical formula, and then the cutting performance of the combined honeycomb can be determined easily and quickly.</t>
  </si>
  <si>
    <t>Tang, Yuchuan; Wu, Chenhao; Wu, Gang</t>
  </si>
  <si>
    <t>Automated detection of velocity pulses in ground motions based on adaptive similarity search in response spectrum</t>
  </si>
  <si>
    <t>10.1016/j.soildyn.2021.106626</t>
  </si>
  <si>
    <t>Ground motions with strong pulse-like features are of special concern for structural engineers. Detection and characterization of the pulse-like features are fundamental in seismic hazard analysis, ground motion selection/simulation, and structural analysis. From the perspective of earthquake engineering, a pulse-like feature in a ground motion is of significance only if it dominates certain structural response to the ground motion. In order to identify such kind of pulse-like features, the current study establishes the so-called response spectra associated with various velocity waveforms through dimensional analysis of structural response to a generic velocity pulse. The congruence and the shifts between the ΠPV and the pseudo-velocity response spectra associated with identical velocity waveform allow automatic detection of velocity pulses through adaptive similarity search in bi-logarithmic spectrum curves. Following this approach, velocity pulses are detected and characterized in hundreds of historical ground motion records. The majority of the detection results are comparable to the velocity pulses identified through wavelet analysis in literature, while significant differences are noticed for a few cases. Further investigation shows our approach is able to capture the velocity pulse that retains the impulsive effect of the original ground motion on structures and thus provides a worthy supplement to the existing pulse identification methods.</t>
  </si>
  <si>
    <t>Yun, Gaojie; Liu, Chunguang</t>
  </si>
  <si>
    <t>A model for underwater shaking table tests on the basis of different similar criteria</t>
  </si>
  <si>
    <t>10.1016/j.apor.2021.103010</t>
  </si>
  <si>
    <t>Shaking table testing is still considered a reliable approach when examining the seismic performance of structures, however, for long-span and large-scale hydraulic structures, limited by the constraints of test equipment and the influence of water, during underwater shaking table testing, if the earthquakes input, water levels and similitude law obtained on the basis of the test model and the resulting similar relationship do not fall within the operating range of the shaking table, the obtained results cannot truly reflect the dynamic response of the tested structure. To solve this problem, the improved dimensional analysis method and the finite element software ANSYS are used to study similar relationships and derive the design model of a certain bridge. Within the elastic similarity criteria, effective and feasible test models are proposed. The distortion model is designed by increasing the added mass can reduce the time scale, guarantee that the test runs smoothly, and better reflect the dynamic response of the prototype structure after such modification, however, for the long and thin model structure, the appropriate added mass adopted to ensure that within the bearing capacity of the structure and the shaking table, the elastic similarity meets the design requirements of the structure model of irregular and regular cross-sections and is suitable for the model design requirements of long-span and large-scale structures. Within the elasticity-gravity similar criteria, the distortion model designed by added mass can reflect the dynamic response of the prototype structure, which needs to be configured with certain added masses, and the bearing capacity of the model itself and the shaking table needs to be considered. The elasticity-gravity similitude law is suitable for examining regular cross-sections and short-span and small-scale test models, but the fluid-structure coupling and failure mechanism of structures can be examined. The distinctive peak acceleration will not affect the error of the dynamic response of the lacking-artificial added mass model, the distortion model and the prototype. The reinforcement ratio will not affect the error of the dynamic response of the distortion model and the prototype structure, but it will affect the error of the dynamic response of the lacking-artificial added mass model and the prototype structure. The added mass of the water triggered by the flexible movement of the structure under the action of earthquake changes the dynamic characteristics of the structure and the rigid movement of the structure triggers the water to exert an external force on the structure, which affects the dynamic characteristics and responses of the structure. This paper can provide a reference for the examine of other hydraulic structures and is beneficial to the examine of applied ocean engineering problems.</t>
  </si>
  <si>
    <t>Yapıcı, Ekin Özgirgin; Ayli, Ece; Nsaif, Osama</t>
  </si>
  <si>
    <t>Numerical investigation on the performance of a small scale solar chimney power plant for different geometrical parameters</t>
  </si>
  <si>
    <t>10.1016/j.jclepro.2020.122908</t>
  </si>
  <si>
    <t>In recent decades, demand for energy has been significantly increased, and considering environmental impacts and the degrading nature of fossil fuels, clean and emission-free renewable energy production has attracted a great deal of attention. One of the most promising renewable energy sources is solar energy due to low cost and low harmful emissions, and from the 1980s, one of the most beneficial applications of solar energy is the utilization of solar chimney power plants (SCPP). A SCPP is a simple and reliable system that consists of three main components; a solar collector, a chimney (tower) and a turbine to utilize electrical energy. Recently, by the advancement in computer technology, the use of CFD methodology for studying SCPP has become an extensive, robust and powerful technique. In light of the above, in this study, numerical simulations of a SCPP through three-dimensional axisymmetric modeling is performed. A numerical model is created using CFD software, and the results are verified with an experimental study from the literature. After ensuring good agreement with the experiments, chimney’s and collector’s geometric parameters effects and different configurations effects on SCPP performance, simultaneously and additively is investigated. The study introduces an insight to the performance enhancement methods and finding the best configuration of a SCPP model, which will be the basis of a detailed prototyping process. Based on the numerical results, the best configuration of the SCPP has been found as the diverging chimney which enhances the generated power. The results of the study showed that the chimney height and collector radius increase has a positive effect on the power output and efficiency of the system, but when construction and material costs are also considered, each has an optimal value. The maximum impact on the performance is found to be by the chimney tower radius and the collector height and inclination are found to have optimum values considering performance. According to the obtained results, the best performance for the SCPP was obtained with 3.5 m chimney height, 30 cm tower diameter, 400 cm of collector diameter with 6 cm height and zero inclination angle. By the correct selection of the dominant performance parameter which can be done by correctly interpreting the results of this study, “the best” design of a SCPP real scale prototype considering maximum power requirement can be done.</t>
  </si>
  <si>
    <t>Yang, Heng; Yao, Xue-Feng; Wang, Shen; Yuan, Li; Ke, Yu-Chao; Liu, Ying-Hua</t>
  </si>
  <si>
    <t>Simultaneous determination of gas leakage location and leakage rate based on local temperature gradient</t>
  </si>
  <si>
    <t>10.1016/j.measurement.2018.10.017</t>
  </si>
  <si>
    <t>In this study, a quantitative non-contact detection method for gas leakage problem based on infrared thermography technology is developed. First, the relationship between the gas leakage rate and the temperature gradient at the edge of the leaking hole is established based on thermodynamics, dimensional analysis and numerical methods. Second, the temperature fields surrounding the gas leakage location are extracted using an infrared thermal imager. Both the gas leakage location and leakage rate are obtained for the damaged rubber seals. Finally, the detections of gas leakage location with arbitrary shape and no obvious temperature difference are discussed and generalized. These results will play an important role in detecting the leakage rate for the damaged seal structures or containers.</t>
  </si>
  <si>
    <t>Yang, Yangyiwei; Großmann, Alexander; Kühn, Patrick; Mölleney, Jan; Kropholler, Lorenz; Mittelstedt, Christian; Xu, Bai-Xiang</t>
  </si>
  <si>
    <t>Validated dimensionless scaling law for melt pool width in laser powder bed fusion</t>
  </si>
  <si>
    <t>10.1016/j.jmatprotec.2021.117316</t>
  </si>
  <si>
    <t>The melting process during laser powder bed fusion (LPBF) is accompanied by complex physical phenomena, which can be rarely scaled with acceptable effort to utilize the melting process in component design to obtain tailored mechanical properties with adequate machine productivity. A constitutive law relating melt pool geometry to the process parameters thereby plays an essential role in practically fostering machine productivity and component quality in LPBF. In this work, we derive an improved dimensionless scaling law based on dimensional analysis to characterize the melt pool width, which is also capable of scaling the beam-size-dependent laser attenuation. Measurements from LPBF-produced specimens and 3D phenomenological LPBF finite element simulations are also performed in batch to validate the derived law. The regression analysis presents the correlation ∼97–98% for the simulated melt pool widths and ∼70–90% for experimental measured ones, with fabricated minimum strut thickness of 113 μm. After scaling the effective laser power with the calibrated laser attenuation, the proposed scaling law can be extended to be beam-size independent, as demonstrated by the regression of overall experimental measurements and simulation results, performed under different laser beam diameter, to the unified law with correlation ≥97%. It demonstrates the feasibility of proposed scaling law in melt pool controlled LPBF manufacturing for designing and producing thin-walled components with strut thicknesses in the micrometer range.</t>
  </si>
  <si>
    <t>Tschisgale, Silvio; Kempe, Tobias</t>
  </si>
  <si>
    <t>Deterioration of heat transfer in turbulent channel flows due to nanoparticles</t>
  </si>
  <si>
    <t>10.1016/j.ijheatmasstransfer.2021.121392</t>
  </si>
  <si>
    <t>Custom-designed nanoparticles offer the possibility of influencing the thermo-physical properties of heat carriers, such as water and transformer oil. The present study aims to clarify to what extent such nanofluids may improve convective heat transfer under turbulent flow conditions. The applied assessment methodology is based on wall-resolving large eddy simulations and analytical considerations, exemplified by diamond-water nanofluids of different particle concentrations. It is observed that a change in heat transfer due to nanoparticles is affected by two competing mechanisms. On the one hand, the modified thermo-physical properties of the suspension obviously favor heat transfer. On the other hand, an addition of particles drastically dampens turbulence which causes the opposite effect. At fixed energy input by the pump, the second effect usually dominates, so that the performance of the nanofluid deteriorates compared to the carrier fluid without particles. In other words, increasing the turbulence intensity of the carrier fluid is more efficient to transfer a certain amount of thermal energy than using nanofluids. However, if a specific turbulence level shall not be exceeded in a technical system, nanoparticles can help to further improve convective heat transfer.</t>
  </si>
  <si>
    <t>Pradhan, Chandan; Banerjee, Arghyadeep; Roy, Rana</t>
  </si>
  <si>
    <t>Evolution of a 3D model for free-standing rigid blocks and its behavior under base excitations</t>
  </si>
  <si>
    <t>International Journal of Non-Linear Mechanics</t>
  </si>
  <si>
    <t>10.1016/j.ijnonlinmec.2022.103992</t>
  </si>
  <si>
    <t>Highly nonlinear behavior of slender rigid blocks subjected to base excitations is intended to be explored for a 3D prism. To this end, a physical model (PM) capable of handling the intricate dynamics and of viewing the motion of a rigid body during rocking/ overturning has been developed. Limited case studies show satisfactory performance of the PM to represent dynamics of such blocks both in unidirectional and bidirectional excitations. Subsequently, the dynamics of the 3D prism has been studied under trigonometric pulses. Interestingly, it appears that, under bidirectional shaking, the body may rotate about its own longitudinal axis and, due to this spin, the body may ‘walk’ from its original position even when sufficient friction at the interface prevents sliding. This residual displacement of the body under no sliding condition could not be recognized from 2D analysis. Using principles of dimensional analysis, self-similarity in response for complex nonlinear motions of the rocking oscillators has been established. This follows a comparative account on overturning spectra for 2D and 3D motions constructed in non-dimensional formats. A prognosis to chaos is uncovered from a scrutiny of long-term behavior of rocking oscillators in 3D using a set of non-dimensional parameters.</t>
  </si>
  <si>
    <t>Kang, Huang; Guo, Xianghua; Zhang, Qingming; Cui, Hailin; Wang, Shu; Yan, Wenmin</t>
  </si>
  <si>
    <t>Predicting the behavior of armored plates under shallow-buried landmine explosion using incomplete scaling models</t>
  </si>
  <si>
    <t>10.1016/j.ijimpeng.2021.103970</t>
  </si>
  <si>
    <t>Due to the influence of strain rate effect, distorted geometry and surface effect, the dynamic response of high strength steel plates under shallow-buried explosion will not follow the geometry similarity law. Therefore, the corrected relationship between strain-rate effect and specific impulse is derived by dimensional analysis. The exponential function presented by Oshiro and Alves is adopted to establish the corrected formula for the distorted thickness model, in which the surface effect is taken into account for alleviating the deviation caused by the manufacturing procedure. Based on the test data, which Rigby measured in the buried explosion, a set of revised empirical formulas for calculating the relationship between the specific impulse and the mass of explosives is determined. Moreover, by these models, one can predict the mid-point deflection of plates subjected to landmine explosion. Given all this, a rapid solution to predict the behavior of the prototype is presented in this paper. Three different shapes of plates subjected to landmine explosion are analyzed to validate this method. It is shown that the corrected incomplete scaling model can accurately predict the response of the prototype, which is helpful to design the incomplete scaled-down model test for mines resistant armored vehicles.</t>
  </si>
  <si>
    <t>Sellami, Ilyas; Nait-Said, Rachid; de Izarra, Charles; Chetehouna, Khaled; Zidani, Fatiha</t>
  </si>
  <si>
    <t>Quantitative consequence analysis using Sedov-Taylor blast wave model. Part I: Model description and validation</t>
  </si>
  <si>
    <t>10.1016/j.psep.2018.02.002</t>
  </si>
  <si>
    <t>BLEVE (Boiling Liquid Expanding Vapor Explosion) phenomenon is one of the major industrial accidents observed in gas processing industry, which remains a major concern for risk decision-makers. BLEVE blast wave mechanism has been widely studied by several authors who proposed simplified approaches based on simple physical models or empirical correlations, but only few approaches including analytical solutions have been undertaken. Moreover, the simplified and empirical approaches are not very satisfactory because they overestimate overpressure measures. In this paper (Part I), an analytical model based on Sedov-Taylor blast wave solution and self-similar theory, which is of great interest in various fields of physics, is proposed for estimating BLEVE overpressure effects. The parameters characterizing the blast wave evolution (overpressure, radius and velocity) are established by applying the Vashy-Buckingham theorem (Pi theorem). To demonstrate the ability of the proposed model to deliver reliable predictions, a validation with large and medium-scale BLEVE experiments issued from the literature is carried out. Furthermore, a comparison with the TNT equivalent model and other models (empirical and simplified physical) is performed. The results of these comparisons are very encouraging and show good agreement in terms of precision. This is Part I of two papers, focusing on description and validation of the Sedov-Taylor blast wave model. Part II deals with application of the model on a LPG accumulator in an Algerian gas processing unit.</t>
  </si>
  <si>
    <t>Kuzuu, Kazuto; Hasegawa, Shinya</t>
  </si>
  <si>
    <t>Numerical investigation of a thermoacoustic engine core via heat transfer calculations coupled with acoustic field analyses</t>
  </si>
  <si>
    <t>10.1016/j.applthermaleng.2020.116223</t>
  </si>
  <si>
    <t>Thermoacoustic engines are generating increased interest due to their potential use in renewable energy systems. The heat transfer characteristics of such engine cores were examined in this study via numerical simulations, taking into consideration the interactions between the acoustic field and thermal motion of fluids in a thermoacoustic device. Our calculations were based on the energy conservation equation under the assumption of a periodically steady oscillatory flow and thermoacoustic linear theory. The temperature field of the engine core was numerically solved by applying the finite difference method (FDM) to the energy equation, and also compared with CFD results. To systematically clarify the heat transfer characteristics of the oscillatory flow in the engine core, dimensional analyses for the associated geometries and physical values were performed, and nondimensional parameters were selected to determine the heat transfer characteristics. The simulation was performed using these nondimensional parameters, and the correlations of local Nusselt number distributions and some nondimensional parameters were considered. Based on the correlations among heat transfer characteristics, a model was constructed for predicting the temperature gap between the wall and the fluid at the edge of a regenerator. This model was satisfactory when the Reynolds number ranged from 30 to 120 and the nondimensional relaxation time was 0.3–1.3.</t>
  </si>
  <si>
    <t>Zhang, Penghao; Douglas, Kurt; Chen, Hongzhe; Song, Chongmin; Russell, Adrian R.</t>
  </si>
  <si>
    <t>Non-dimensionalization and scaling of fracture processes in concrete and rock</t>
  </si>
  <si>
    <t>10.1016/j.engfracmech.2024.109854</t>
  </si>
  <si>
    <t>Many types of engineering structures may fracture, due to extreme external loads or due to inherent damages arising while in service or during their manufacturing/creation. The fractures may form at various scales, particularly within geological or cementitious materials like rock and concrete. Understanding and simulating accurately the fracturing processes at different scales, from laboratory to field, assists with the optimization of structural design and enhances reliability. This paper proposes novel non-dimensional scaling laws for fracture mechanics problems. They improve the prediction and interpretation of crack initiation and evolution and the subsequent mechanical response of structures. They have direct applicability in advanced numerical models like phase field models, where the governing parameters and mesh sizes can be appropriately scaled prior to conducting the numerical simulation. This leads to a unique dimensionless model output for any given loading configuration. Rescaling the unique non-dimensional output, which may incorporate varying pre-peak and post-peak fracture resistances, allows for the fracture behavior of a structure at any scale to be determined. The non-dimensionalization and rescaling techniques are demonstrated and validated against independent analytical and experimental benchmark problems. The scaling laws enable the adoption of coarse meshes in numerical models, significantly reducing computational cost while maintaining accuracy and capturing the fundamental mechanics. It is shown that the challenges associated with modeling fracture processes across scales can be mitigated as long as the problem is appropriately scaled.</t>
  </si>
  <si>
    <t>Nicosia, Alessio; Ferro, Vito</t>
  </si>
  <si>
    <t>Flow resistance due to shrubs and woody vegetation</t>
  </si>
  <si>
    <t>10.1016/j.flowmeasinst.2023.102308</t>
  </si>
  <si>
    <t>In this paper, a theoretical open channel flow resistance equation was verified using flow depth and discharge measurements carried out by Freeman et al. in a large channel, 2.44 m wide, for ten different types of uniform-sized plants (shrubs and woody vegetation). The plants, which are broadleaf deciduous vegetation commonly found in floodplains and riparian zones, were placed in staggered rows inside the channel whose bed was constructed to accept plants with their root systems. For each species, the available measurements were carried out by Freeman et al. with plants having different values of plant density, height, and bending stiffness. The available literature database (87 measurements) was divided into two groups which were separately used to calibrate and test the theoretical approach. In particular, 46 measurements were used to calibrate the relationship between the scale factor Γ of the velocity profile, the Froude number, and the channel slope. This relationship was calibrated using the entire available dataset or varying the scaling coefficient a with the investigated vegetation type. The measured values of the Darcy-Weisbach friction factor, obtained by the measured flow velocity, water depth and slope values, were compared with those calculated by the theoretical flow resistance law, coupled with the relationship for estimating the Γ function having a scaling coefficient different for each investigated vegetation type. This comparison allowed to demonstrate that an accurate estimate of the Darcy-Weisbach friction factor (errors less than or equal to ±10% for 87% of the investigated cases) can be obtained. However, for the investigated vegetation species, that are characterized by a large range of bending stiffness, also a mean value of the scaling coefficient a equal to 0.3283 allows an accurate estimate of the Darcy-Weisbach friction factor.</t>
  </si>
  <si>
    <t>Mu, Chaomin; Zhou, Hui; Ma, Haifeng</t>
  </si>
  <si>
    <t>Prediction method for ground shock parameters of explosion in concrete</t>
  </si>
  <si>
    <t>10.1016/j.conbuildmat.2021.123372</t>
  </si>
  <si>
    <t>The ground shock caused by the explosion is the main load causing the destruction of underground engineering. To study the propagation law of ground shock parameters in concrete, free-field tests of explosions at seven different scaled depth of burial (SDOB) have been carried out by using self-constructed concrete blocks with large-sizes. The results indicate that when the SDOB ranges from −0.25 to 1.2 m/kg1/3, the pressure and acceleration at the same scaled distance from the explosion center increase with the SDOB. When the SDOB reaches 1.2 m/kg1/3, the explosion energy is completely enclosed into underground, and the coupling coefficient reaches 1.0. Combined with the dimensional analysis theory, it is found that when the SDOB of an explosion is determined, the propagation law of pressure and acceleration presents a power function attenuation with the increase of the scaled distance from the explosion center. For the three different strength grades of C30, C50, C70 concrete under semi-buried explosion, the attenuation gradient of the pressure or acceleration is inconsistent with an increase in the scaled distance from the explosion center. The higher the concrete strength, the slower the gradient changes. By introducing the depth of burial (DOB) coefficient of equivalent energy, the prediction method of ground shock parameters at different SDOB of explosion and explosions with different mass of charge can be obtained, and it has high accuracy for calculating the ground shock parameters of explosion with large mass charge which verified by numerical simulation.</t>
  </si>
  <si>
    <t>Castell, A.; Solé, C.</t>
  </si>
  <si>
    <t>An overview on design methodologies for liquid–solid PCM storage systems</t>
  </si>
  <si>
    <t>10.1016/j.rser.2015.07.119</t>
  </si>
  <si>
    <t>Energy storage can facilitate the transition process from the actual energetic model to a model based on renewable energies. A lot of attention has been put in such technology, being the use of phase change materials (PCM) of high interest. However, design methodologies for PCM storage systems are still a limiting factor for its deployment. This paper compiles and structures the most common and promising design methodologies and highlights their usefulness and limitations. These methodologies are classified in six types: (1) empirical correlations and characterizing parameters, (2) dimensional analysis and correlations, (3) effectiveness–NTU, (4) Log Mean Temperature Difference (LMTD), (5) Conduction Transfer Functions (CTF), and (6) numerical models. Dimensionless correlations and effectiveness–NTU are the most common and straight-forward methods as well as the ones that offer more possibilities for general solutions. Empirical correlations and numerical models are problem based and difficult to generalize. On the other hand, the adaptation of LMTD and CTF to PCM systems still requires detailed research.</t>
  </si>
  <si>
    <t>Qin, Yezhi; Wang, Ying; Wang, Zhi; Yao, Xiongliang</t>
  </si>
  <si>
    <t>Investigation on similarity laws of cabin structure under internal blast loading</t>
  </si>
  <si>
    <t>10.1016/j.oceaneng.2022.111998</t>
  </si>
  <si>
    <t>Owing to the influence of the strain-rate effect of materials, scale models of cabin structures under internal blast loading do not accurately represent similar the prototypes. In this study, an optimal approximation method for correcting the specific impulse factor is utilized based on a dimensional analysis method. The effects of the strain-rate sensitivity parameters (C and P) on the dynamic similarity of the material used were analyzed according to the Cowper-Symonds constitutive model. A numerical cabin structure model was established according to the experimental background. A comparison of the numerical and experimental results demonstrate that the numerical method and material models are able to utilize the similarity law for the correction of scale models. The prototype and scale models of the cabin structure subjected to the internal explosion were calculated, which indicated that a smaller the scale factor β leads to larger error in the prototype response’ prediction. Based on the analysis of the calculation results following the correction by employing the method proposed in this study, it can be seen that the modified models significantly improve the prediction accuracy of the scaling model to the prototype structure.</t>
  </si>
  <si>
    <t>Liu, Ping; Liu, Yan; Zhang, Xiong</t>
  </si>
  <si>
    <t>Internal-structure-model based simulation research of shielding properties of honeycomb sandwich panel subjected to high-velocity impact</t>
  </si>
  <si>
    <t>10.1016/j.ijimpeng.2014.11.004</t>
  </si>
  <si>
    <t>Honeycomb sandwich panel has been widely used in aerospace and aeronautic engineering as load-bearing components. Cost-effective shielding structure can also be built based on honeycomb sandwich panel. The shielding properties of honeycomb sandwich panel subjected to high-velocity impact is of great concern to spacecraft design. Three dimensional internal-structure-based simulation research of honeycomb sandwich panels under high-velocity impact is carried out. The point-type internal structure model is constructed, where the impacted area is refined to capture localized deformation and improve the accuracy. The internal structure model is validated by experimental results and empirical formula. Then typical impact processes are simulated to investigate the cutting and channeling effect of the honeycomb core on the projectile. Projectile mass, impact velocity and internal-structure parameters of the honeycomb core are varied to obtain their influences on the channeling effect of the fragmented projectile. The thickness of the honeycomb core influences is found to affect much on the shape of the hole on the rear facesheet. Three empirical equations with respect to impact parameters and internal structure parameters are presented based on numerical results and the dimensional analysis.</t>
  </si>
  <si>
    <t>Wang, Shuai; Xu, Fei; Zhang, Xiaoyu; Dai, Zhen; Liu, Xiaochuan; Bai, Chunyu</t>
  </si>
  <si>
    <t>A directional framework of similarity laws for geometrically distorted structures subjected to impact loads</t>
  </si>
  <si>
    <t>10.1016/j.ijimpeng.2021.104092</t>
  </si>
  <si>
    <t>ABSTRACT A directional framework of similarity laws, termed oriented-density-length-velocity (ODLV) system, is suggested for the geometrically distorted structures subjected to impact loads. The distinct feature of the framework is that the newly proposed oriented dimensions, dimensionless numbers and scaling factors for all basic physical quantities are explicitly expressed by three characteristic lengths of spatial directions, which overcomes the inherent defects only with one scalar length in the traditional dimensional analysis. Meanwhile, similarity laws of the directional stresses, strains and displacements are expressed by different power law relationships of the ratios of undistorted characteristic lengths to distorted characteristic lengths. Therefore, the ability of similarity theory to express structural geometric characteristics are effectively developed. Based on the newly proposed framework, the non-scalabilities of geometric and material distortion (including strain hardening and strain rate effects) and the gravity effects could be compensated by correction methods of velocity, density and geometry. The analytical models of beams subjected to impact mass and impulsive velocity are verified. The results show that the proposed framework has excellent performance for expressing various dimensionless response equations and geometrically distorted scaling. A numerical model of circular plate subjected to dynamic pressure pulse is further carried out to verify the geometrically distorted scaling of the directional components of displacement, strain and stress. The refined analysis results show that, structural dimensionless responses in different directions can behave good consistency between the scaled model and the prototype in both the spatial and the temporal fields, with the correction of the directional physical quantities using different powers of the ratios of characteristic lengths.</t>
  </si>
  <si>
    <t>Okumura, Dai; Sugiura, Junya; Tanaka, Hiro; Shibutani, Yoji</t>
  </si>
  <si>
    <t>Buckling and postbuckling of etching-induced wiggling in a bilayer structure with intrinsic compressive stress</t>
  </si>
  <si>
    <t>10.1016/j.ijmecsci.2018.03.032</t>
  </si>
  <si>
    <t>In this study, we investigate buckling and postbuckling of etching-induced wiggling in a bilayer structure consisting of mask and masked layers. To show effects of explicit modeling of etching process, two mask–masked ridge models with and without etching (Models w/E and w/oE) are analyzed using finite element analysis. The etching process is explicitly introduced via step-by-step eigenvalue buckling analysis. Although Model w/oE predicts a constant value of the critical wavelength of wiggling regardless of the change in ridge width, Model w/E predicts a shorter wavelength depending on the decrease in ridge width and the increase in intrinsic compressive stress in the mask layer. In postbuckling analysis, Model w/oE predicts a monotonic increase in the wiggling amplitude with the constant wavelength, whereas Model w/E predicts saturation of the wiggling amplitude owing to the decreasing wavelength. In the explicit modeling of etching process, the wiggling behavior shows completely opposite tendencies. Dimensional analysis is performed to obtain empirical equations, which are compared with an experiment.</t>
  </si>
  <si>
    <t>Manetti, Leonardo Lachi; Moita, Ana Sofia Oliveira Henriques; Cardoso, Elaine Maria</t>
  </si>
  <si>
    <t>A new pool boiling heat transfer correlation for wetting dielectric fluids on metal foams</t>
  </si>
  <si>
    <t>10.1016/j.ijheatmasstransfer.2021.121070</t>
  </si>
  <si>
    <t>Porous structures, as metal foams, can enhance the heat transfer performance. For a safe industrial application, a predictive model for both heat transfer coefficient and maximum heat flux is required. But, there is no correlation for dielectric fluids on metal foams available in the literature. This work aims to develop a correlation based on dimensional analysis for metal foam surfaces in pool boiling with different dielectric fluids. The model takes into account the porous heating surface characteristics (porosity, pore diameter, and thickness), the working fluid thermophysical properties, and its interaction. The model was developed based on the experimental database obtained by the authors and validated with the open literature database. Two metal foams with different characteristics were used for carrying out the pool boiling tests with two different working fluids: HFE-7100 and ethanol. The newly developed correlation predicted well the database with an average error equal to 10.8% where 93.8% within the error range of ± 30%. To the maximum heat flux, the average error was 13.6% where 100% within the error range of ± 30%. The pore diameter and thickness play an important role in both models. The porosity and solid-phase thermal conductivity from the metal foam change the porous medium thermal conductivity, which influences the heat transfer coefficient (HTC). Finally, the properties of the working fluid also influence the predictive model, mainly the latent heat of vaporization, liquid thermal conductivity, and saturation temperature.</t>
  </si>
  <si>
    <t>Majedi-Asl, Mahdi; Ghaderi, Amir; Kouhdaragh, Mehdi; Omidpour Alavian, Tohid</t>
  </si>
  <si>
    <t>A performance comparison of the meta model methods for discharge coefficient prediction of labyrinth weirs</t>
  </si>
  <si>
    <t>10.1016/j.flowmeasinst.2024.102563</t>
  </si>
  <si>
    <t>Weirs are hydraulic structures with various applications, such as flow measurement, flow diverting, and/or flow control. Labyrinth weir as a nonlinear weir with a folded crest enhances the spillway system discharge capacity by increasing the crest length for a given channel width. As a remarkable parameter, the discharge coefficient plays an important role in determining weirs' passing capacity. So, it is important that the discharge coefficient be accurately represented to ensure an appropriate and economical design. This research evaluates the prediction accuracy of four soft computing techniques, such as support vector machines (SVM), gene expression programming (GEP), software (QNET), and artificial intelligence networks (ANN), to predict the discharge coefficient of labyrinth weirs using three different scenarios. The model's input parameters included the total water head ratio (HT/P), magnification (Lc/W), and cycle wall angle (α). On reviewing the outcomes of the developed models, it appeared that each of them demonstrated satisfactory performance in predicting the discharge coefficient. However, ANN and SVM reveal more accuracy compared to other techniques. The prediction results reveal that the ANN as a superior model has the following performance metrics: R2 = 0.998, DC coefficient = 0.996, and RMSE = 0.006. The sensitivity analysis results indicate that HT/P is the most effective factor in determining the labyrinth weir discharge coefficient in all methods. This suggests that the ratio of HT (total water head) to P (weir height) has a significant impact on the overall model performance. Upon comparing the results of this research with those of other researchers, it is evident that the evaluation indicators for all methods employed in this study are relatively superior.</t>
  </si>
  <si>
    <t>Sellathurai, Andrew J.; Mypati, Sreemannarayana; Kontopoulou, Marianna; Barz, Dominik P.J.</t>
  </si>
  <si>
    <t>High yields of graphene nanoplatelets by liquid phase exfoliation using graphene oxide as a stabilizer</t>
  </si>
  <si>
    <t>10.1016/j.cej.2022.138365</t>
  </si>
  <si>
    <t>The exfoliation of graphene nanoplatelets (GNP) in aqueous media is challenging due to their restacking tendency. The sheets need to overcome the van der Waals attractive forces as well as the π−π interactions to form stable dispersions. The use of surfactants can resolve this issue but compromises the properties of GNP and therefore requires additional processing steps. In this work, we utilize graphene oxide as a dispersing agent in the liquid phase exfoliation of GNP from raw graphite. We first analyze the exfoliation process and determine that the relevant process parameters are graphene oxide and graphite concentration, graphite sheet size, dynamic viscosity of the dispersion, shear rate, and exfoliation time. Applying dimensional reasoning reduces the problem to four non-dimensional groups. A set of experiments, guided by a factorial design, is undertaken to analyze the exfoliated content using UV–Vis spectroscopy. We achieve a high GNP concentration of 8.6 mg ml−1, corresponding to a yield of 23 wt%, after a relatively-short exfoliation time of around 3 h. This is a considerably better performance compared to other liquid phase exfoliation processes. Experimental results are used to derive a functional correlation between the dimensional groups, which can be used for optimization. Additionally, we use exfoliated graphene dispersions to synthesize graphene hydrogels as electrode material for flexible aqueous supercapacitors. We measure a capacitance of 206 F g−1 and 143 F g−1 at a current density of 1 A g−1 and 10 A g −1, respectively. The supercapacitor retains 87% of the initial capacitance over 1000 charge and discharge cycles at a current density of 10 A g −1.</t>
  </si>
  <si>
    <t>Teigland, Andreas; Dale, Stein Inge; Sangesland, Sigbjørn; Brechan, Bjørn</t>
  </si>
  <si>
    <t>A generalized empirical expression for the collapse of worn tubulars with a crescent-shaped wear groove under combined loads</t>
  </si>
  <si>
    <t>10.1016/j.petrol.2021.109187</t>
  </si>
  <si>
    <t>As a large proportion of easily recoverable global hydrocarbon reserves is extracted and fields in operation are maturing, the oil and gas industry requires new methods of ensuring well integrity. Production of the remaining reserves may involve, for instance, extended-reach wells, multilateral wellbores, long horizontal sections and highly deviated trajectories. Moreover, wells in mature fields are being used to increase recovery through side-tracking. Casing wear has a significant influence on the well integrity in such operations and the ability to assess its effects is crucial, both in terms of its impact on health, safety and environment, and in terms of enabling cost-efficiency. This article utilizes the Finite Element Method (FEM) to analyze the stress distribution in worn tubulars with a crescent-shaped wear groove under external pressure. A model for tubular collapse is proposed using generalized empirical expressions for stress concentration factors in worn tubulars. The generalized expressions are based on 640 finite element analyses of different geometries designed to represent typical dimensions used in the oil and gas industry. Comparisons with experimental data and existing models demonstrate improvement in both accuracy and precision using the developed approach.</t>
  </si>
  <si>
    <t>Lyu, Meng-Ze; Fei, Zi-Jian; Feng, De-Cheng</t>
  </si>
  <si>
    <t>Copula-based cloud analysis for seismic fragility and its application to nuclear power plant structures</t>
  </si>
  <si>
    <t>10.1016/j.engstruct.2024.117754</t>
  </si>
  <si>
    <t>This paper presents a copula-based cloud analysis method for seismic fragility assessment with practical applications for nuclear power plant structures. Copula theory enables the flexible and efficient modeling of joint probability density function (PDF) for critical parameters, specifically the intensity measures (IM) and the engineering demand parameters (EDP). It decomposes the joint PDF into the product of marginal PDFs and copula density function, which are then separately fitted to the data. The study showcases the versatility of parameterized joint distribution models in estimating optimal distribution parameters derived from structural seismic analysis data. By utilizing copula functions, the method calculates conditional EDP distributions given IM, facilitating the construction of seismic fragility curves. The research compares various copula models’ suitability for fitting fragility curves, employing methods like Akaike information criterion (AIC) for model selection. The study provides a comprehensive framework for seismic fragility assessment, from random sampling of structural parameters and seismic data to nonlinear finite element modeling and copula-based parametric cloud analysis. The application to prestressed concrete containment vessel (PCCV) structures exemplifies the method’s adaptability. This innovative approach not only highlights the flexibility of copula-based analysis in assessing structural performance under different dynamic scenarios but also offers invaluable insights for performance-based earthquake engineering (PBEE) and safety assessments.</t>
  </si>
  <si>
    <t>Hanna, Steven</t>
  </si>
  <si>
    <t>Britter and McQuaid (B&amp;M) 1988 workbook nomograms for dense gas modeling applied to the Jack Rabbit II chlorine release trials</t>
  </si>
  <si>
    <t>Atmospheric Environment</t>
  </si>
  <si>
    <t>10.1016/j.atmosenv.2020.117539</t>
  </si>
  <si>
    <t>The Britter and McQuaid (B&amp;M) 1988 Workbook for Dense Gas Modeling uses principles of basic physics and thermodynamics to develop simplified nomograms for calculating dense gas dispersion, involving dimensionless combinations of the fundamental variables and parameters. There is one nomogram for instantaneous releases, and another for continuous releases. The B&amp;M nomograms were applied to the three Jack Rabbit II (JR II) chlorine release trials being used for the multi-model comparison described in other papers in this special issue. The intent was to use the B&amp;M model as a baseline against which other, more sophisticated models, could be compared. In any model applied to the JR II trials, it is important to properly initialize the cloud characteristics (geometry, density, etc.). The B&amp;M handbook has a simple basic thermodynamics method to calculate the initial size and density of a cloud released as a two-phase pure mixture. It is shown that the B&amp;M nomograms’ predictions of arc maximum concentration (arc max C) for JR II trials 1, 6, and 7 have skill about in the middle of the group of 17 models that are being compared. The B&amp;M predictions are relatively unbiased for Trials 6 and 7 (which has the largest arc max C), but overpredict by a factor of 2 or 3 for Trial 1. It is concluded that the B&amp;M nomograms are conservative and are adequate for first-cut estimates of maximum concentrations following large scale dense gas releases.</t>
  </si>
  <si>
    <t>Demirel, Gizem; Acar, Erdem; Celebioglu, Kutay; Aradag, Selin</t>
  </si>
  <si>
    <t>CFD-driven surrogate-based multi-objective shape optimization of an elbow type draft tube</t>
  </si>
  <si>
    <t>Special Issue on The 4th European Conference on Renewable Energy Systems (ECRES 2016), 28-31 August 2016, Istanbul, Turkey</t>
  </si>
  <si>
    <t>10.1016/j.ijhydene.2017.03.082</t>
  </si>
  <si>
    <t>Draft tube is the part of Francis turbines which is used to both discharge water and recover kinetic energy at the exit of the runner. A design optimization study of an elbow type draft tube based on the combined use of Computational Fluid Dynamics (CFD), design of experiments, surrogate models and multi-objective optimization is presented in this study. The geometric variables that specify the shape of the draft tube are chosen as input variables for surrogate models and the pressure recovery factor and the head loss are selected as output responses. It is determined that, pressure recovery factor, which is the main performance parameter, can be increased by 4.3%, and head loss can be reduced by %20 compared to the initial CFD aided design. Pressure recovery factor, is represented with a second order polynomial regression model in terms of the geometrical parameters based on the optimization results. The verification of the model is also provided by comparison with CFD results for different draft tubes other than that are used in the development of the model. The model is verified using 30 different design points and it can predict the pressure recovery factor with an error of less than 8%. This model allows the fast and correct design and optimization of elbow type draft tubes, without the need for further CFD simulations.</t>
  </si>
  <si>
    <t>Castaldo, Paolo; Miceli, Elena</t>
  </si>
  <si>
    <t>Optimal single concave sliding device properties for isolated multi-span continuous deck bridges depending on the ground motion characteristics</t>
  </si>
  <si>
    <t>10.1016/j.soildyn.2023.108128</t>
  </si>
  <si>
    <t>The present study investigates the analysis of the optimal friction coefficient with respect to the seismic performance of isolated multi-span continuous deck bridges, equipped with single concave friction pendulum (FPS) isolators. A six-degree-of-freedom system is used to model the structural system and the FPS friction property is described by means of a law that considers the dependency on the velocity. The equations of motions have been implemented in nondimensional form by considering the peak ground acceleration-to-velocity ratio (PGA/PGV) and the peak ground acceleration (PGA) as ground motion parameters for two different sets of seismic records: near-fault and far-field inputs. In addition, different bridge models are considered for various parameters (i.e., pier period, deck period, friction coefficient and mass of the structural system). The results show the effectiveness of the PGA/PGV ratio within the proposed nondimensionalization together with the existence of an optimum value of the friction coefficient that minimizes the nondimensional response of the pier. At the end, a linear regression expression is presented with the aim to compute the optimal value of the normalized friction coefficient as a function of the deck period and PGA/PGV ratio, which can be used in the preliminary phase to design the FPS bearings. Additionally, a multivariate non-linear regression expression is also provided to evaluate the pier response.</t>
  </si>
  <si>
    <t>Delgado, Xavier M.; Merrett, Craig G.</t>
  </si>
  <si>
    <t>Examination of isotropy assumption in isogrid structures through analysis and experimentation on four isogrid variations</t>
  </si>
  <si>
    <t>10.1016/j.actaastro.2022.10.040</t>
  </si>
  <si>
    <t>An isogrid is a lattice structure with a high strength to weight ratio making it an ideal structure for spacecraft. Isogrids were originally designed to yield isotropic properties; however, recent finite element analyses show that isogrids do not exhibit isotropic behavior. Isogrids are theorized to be isotropic because of the equal distribution of stresses induced by the structure’s geometry. To determine the isotropy of an isogrid, truss and finite element analyses are executed to predict failure among four various isogrid specimens. The isogrid specimens are 3D printed and vary in geometry to determine the effect of geometric parameters on the isotropy of the structure. In addition, experimental tests are conducted by applying compressive loads to the specimens using a universal testing machine (UTM) with digital image correlation (DIC) to measure strain. The analyses indicate that isogrids are not isotropic because of the observed unequal load distributions.</t>
  </si>
  <si>
    <t>Xu, Ming Cai; Song, Zhao Jun; Pan, Jin</t>
  </si>
  <si>
    <t>Study on the similarity methods for the assessment of ultimate strength of stiffened panels under axial load based on tests and numerical simulations</t>
  </si>
  <si>
    <t>10.1016/j.oceaneng.2020.108294</t>
  </si>
  <si>
    <t>Since the geometrical dimensions of stiffened panels including length and thickness are very different, considering fabrication, the complete similarity method is generally not realistic or economic to scale thin-wall models for testing. The present paper aims to figure out a partial similarity method to design testing small scale models for stiffened panels, which could consider the effects of buckling behaviours and dimensional distortions. The partial similarity method corresponding to different collapse modes is proposed to design small scale testing models according to the principal influential parameters of plate, column and torsional slenderness, instead of only geometrical dimensions. Seven specimens were tested for assessing the ultimate strength of the stiffened panels under in-plane compressive loads, which are used to verify the FE modelling technology. The influences of various partial similarity methods on the collapse behaviours are discussed by using experimental and numerical results. The strategy of proposed partial similarity method by considering different principle parameters combinations for various collapse modes could give close results between the full and small scale models, which would be a good option for designing testing models.</t>
  </si>
  <si>
    <t>Hu, Xinli; Liu, Dongzi; Zheng, Wenbo; Tannant, Dwayne; Kang, Chao</t>
  </si>
  <si>
    <t>1-g physical modeling in engineering geology and its application of pile-reinforced reservoir landslides</t>
  </si>
  <si>
    <t>Engineering Geology</t>
  </si>
  <si>
    <t>10.1016/j.enggeo.2024.107450</t>
  </si>
  <si>
    <t>Reservoir operations can induce massive landslides due to the regional hydraulic effects, where pile reinforcement is a widely used stabilization method. The 1-g physical modeling is one of the most common methods used to study reservoir landslides and their pile reinforcement, while some limitations have been presented in the method, slowed its development down, and adverse to novel results. This paper presents a systematic review and discussion of 1-g physical modeling relevant to pile-reinforced reservoir landslides. Various aspects, from the theoretical basis (i.e., principle of similitude) to experimental details (i.e., model construction, test technique, and data acquisition and interpretation), are investigated. The principle of similitude and application in the physical modeling of pile-reinforced reservoir landslides are discussed. Factors causing distortions in a 1-g physical landslide model are discussed, and measures for distortion control are proposed. The significance and limitations of the physical model construction and obtained data are analyzed, and some improvements are proposed. Based on previous work and our experience, the lessons learned in the technical aspects of 1-g physical modeling are presented along with recommendations for the physical modeling of landslides, especially those reinforced with piles.</t>
  </si>
  <si>
    <t>Abushammala, Omran; Hreiz, Rainier; Lemaître, Cécile; Favre, Éric</t>
  </si>
  <si>
    <t>Laminar flow friction factor in highly curved helical pipes: Numerical investigation, predictive correlation and experimental validation using a 3D-printed model</t>
  </si>
  <si>
    <t>10.1016/j.ces.2019.07.018</t>
  </si>
  <si>
    <t>Highly curved helical pipes offer attracting potentialities for intensified mass/heat transfer performances as they generate intense Dean-type vortices. The evaluation of friction factor in such geometries is necessary for assessing the trade-offs between the increase of transfer efficiency and the associated specific energy requirement. Unfortunately, such data are lacking for highly curved helixes, probably due to the difficulty to manufacture these geometries through traditional manufacturing techniques. In this paper, CFD simulations are carried out for determining the laminar flow friction factor in helical pipes, particularly highly curved ones. For an experimental validation of the numerical results, a highly curved helix was built by 3D-printing. Existing correlations are shown to fail for the accurate prediction of the friction factor in highly curved helixes. A new correlation is thus proposed. An excellent agreement is obtained between the experimental pressure drop measurements and the proposed correlation predictions.</t>
  </si>
  <si>
    <t>Montazerian, Arman; Tagarielli, Vito; Pinho, Silvestre; Øverli, Jan Arve; Goutianos, Stergios</t>
  </si>
  <si>
    <t>Electrical conductivity of multifunctional cementitious composites reinforced by graphene derivatives: A finite element-based computational micromechanics model</t>
  </si>
  <si>
    <t>10.1016/j.conbuildmat.2024.137162</t>
  </si>
  <si>
    <t>Graphene derivatives (GDs) are known for their considerable conductivity and electron mobility, making them promising candidates for developing electrically conductive cementitious composites (CCs). Consequently, CCs reinforced with GDs (CRGDs) can serve a variety of applications in the construction industry. Despite several experimental studies on the conductivity of CRGDs, finite element (FE) models have rarely been developed to investigate the conductivity of CRGDs. Previous FE models primarily focused on one-dimensional fillers like carbon nanotubes within polymeric matrices, overlooking the distinctive anisotropic behaviour of GDs in cementitious matrices. This study introduces a computational micromechanics model (CMM), integrating the representative elementary volume (REV) concept with FE analysis, to investigate the electrical conductivity of CRGDs. This model is particularly noted for its computational efficiency, as it converts the problem dimensions from 3D to 2D while ensuring an acceptable degree of accuracy. The CMM captures the anisotropic conductivity of GDs and includes critical conductivity mechanisms such as conductive pathways, the tunnelling effect, and field emission. Subsequently, REV size sensitivity analysis is performed to ensure the statistical relevance of the REV, followed by the model's validation against experimental data from the literature. Afterwards, the model's sensitivity analysis clarifies how different parameters, including the constituent properties, influence prediction results. The sensitivity analysis results suggest that the aspect ratio of GDs has considerable impacts on the electrical conductivity and the percolation threshold of CRGDs. Ultimately, this study aims to provide insights into the optimization and design of electrically conductive CRGDs and lay the foundation for future research in this area.</t>
  </si>
  <si>
    <t>Mozaffar, Mojtaba; Liao, Shuheng; Xie, Xiaoyu; Saha, Sourav; Park, Chanwook; Cao, Jian; Liu, Wing Kam; Gan, Zhengtao</t>
  </si>
  <si>
    <t>Mechanistic artificial intelligence (mechanistic-AI) for modeling, design, and control of advanced manufacturing processes: Current state and perspectives</t>
  </si>
  <si>
    <t>10.1016/j.jmatprotec.2021.117485</t>
  </si>
  <si>
    <t>Today's manufacturing processes are pushed to their limits to generate products with ever-increasing quality at low costs. A prominent hurdle on this path arises from the multiscale, multiphysics, dynamic, and stochastic nature of many manufacturing systems, which motivated many innovations at the intersection of artificial intelligence (AI), data analytics, and manufacturing sciences. This study reviews recent advances in Mechanistic-AI, defined as a methodology that combines the raw mathematical power of AI methods with mechanism-driven principles and engineering insights. Mechanistic-AI solutions are systematically analyzed for three aspects of manufacturing processes, i.e., modeling, design, and control, with a focus on approaches that can improve data requirements, generalizability, explainability, and capability to handle challenging and heterogeneous manufacturing data. Additionally, we introduce a corpus of cutting-edge Mechanistic-AI methods that have shown to be very promising in other scientific fields but yet to be applied in manufacturing. Finally, gaps in the knowledge and under-explored research directions are identified, such as lack of incorporating manufacturing constraints into AI methods, lack of uncertainty analysis, and limited reproducibility and established benchmarks. This paper shows the immense potential of the Mechanistic-AI to address new problems in manufacturing systems and is expected to drive further advancements in manufacturing and related fields.</t>
  </si>
  <si>
    <t>Oliver, Todd A.; Bogard, David G.; Moser, Robert D.</t>
  </si>
  <si>
    <t>Large eddy simulation of compressible, shaped-hole film cooling</t>
  </si>
  <si>
    <t>10.1016/j.ijheatmasstransfer.2019.04.119</t>
  </si>
  <si>
    <t>Shaped-hole film cooling is an essential cooling technology in modern gas turbine engines. The performance of a given film cooling design, and thus the life of the cooled part, is dependent on the scenario parameters that define the environment in which it operates, including Reynolds and Mach numbers, upstream boundary layer and turbulence characteristics, blowing ratio, density ratio, pressure gradient, surface curvature, etc. Of these, one parameter that has received relatively little attention in the open literature is Mach number. This work evaluates the role of Mach number in shaped-hole film cooling performance by comparing results of two large eddy simulations of a plenum-fed 7-7-7 hole cooling a flat plate at freestream Mach numbers of 0.25 and 0.5, with all other relevant scenario parameters fixed. This comparison shows important differences between the two cases. To begin, the performance, as measured by laterally-averaged adiabatic effectiveness, is dramatically different, with the high Mach case performing up to 50% worse. This decrease in performance at high Mach is due to the coolant jet separating from the surface and a large scale oscillation that leads to significant asymmetry in the time-averaged flow, features which are absent in the low Mach case. These changes appear to be caused by changes to the flow in the cooling hole, which is also asymmetric in the high Mach case. This asymmetry leads to entrainment of hot gas into the hole on one side. Further, in the high Mach case, the flow in the hole is mildly supersonic and has sequence of weak shocks, which are, of course, absent in the low Mach scenario.</t>
  </si>
  <si>
    <t>Cao, Wen; Younis, Rami M.</t>
  </si>
  <si>
    <t>Empirical scaling of formation fracturing by high-energy impulsive mechanical loads</t>
  </si>
  <si>
    <t>10.1016/j.ijrmms.2023.105613</t>
  </si>
  <si>
    <t>Recent technological advances to trigger high-energy seismic waves from within the wellbore have spurred interest in their potential application to induce fracturing within deep subsurface formations. Although a considerable body of experimental observations at the bench scale (on the order of 1 cubic foot) show promise, there remains considerable uncertainty in how the process may scale to the field. This work characterizes the relationship between the extent and intensity of fracturing and the duration and strength of the dynamic load. Our approach uses a direct numerical simulation of the elastodynamic equations while accounting for nonlinear fracture mechanics. A hybrid Finite-Discrete Element Method (FDEM) is applied whereby cohesive (elastoplastic) laws hold mesh elements together until complete failure. Beyond failure, elements act as deformable free bodies that can interact via contact constraints, including friction. The consistency of the model is first verified and it is validated with observations from previously reported physical experiments. Subsequently, we apply the model to conduct a numerical exploration of the dimensionless parameter space that defines plausible loading waveforms. We model an infinite domain that contains a spherical inclusion within which various impulsive loads are applied. The dynamic loading waveform is parameterized by its rise time to peak stress, followed by a decay period, and occurring within micro- to milliseconds. The dimensionless parameter space is sampled by varying loading characteristics (rise time, peak pressure, and impulse) to reveal the stimulated damaged bulk volume and crack intensity. Consistent with reported experimental observations, the model reproduces a nearly linear trend between the radius of damage and the maximum stress on the bench scale. Beyond that scale, however, the model predicts that this scaling slows considerably to a fractional power law between the damaged radius and the peak stress. This limitation coincides with a geometric increase in the intensity of damage within the stimulated volume. We present loci curves of the expected damage radii as functions of the loading waveform properties.</t>
  </si>
  <si>
    <t>Liu, Qiao; Wei, Ying-Kang; Luo, Xiao-Tao; Chen, Chao-Yue; Wang, Jiang; Li, Chang-Jiu</t>
  </si>
  <si>
    <t>Processing map of the in-situ micro-forging (MF) assisted cold spray for additive manufacturing of fully dense metals without MF particle inclusion</t>
  </si>
  <si>
    <t>10.1016/j.addma.2023.103644</t>
  </si>
  <si>
    <t>The newly developed in-situ micro-forging assisted cold spraying (MFCS) is an economical and convenient way to deposit dense metals with porosity lower than 0.1 %. During this process, forging effect induced by impact of large-size hard micro-forging particles to in-situ densification of the deposited materials. Therefore, a fully dense metallic deposit could be produced at moderate gas temperature and pressure without using expensive helium gas. However, it is found that the porosity is highly dependent on the type of depositing materials, shot-penning particle size, and spraying parameters. Shot-peening particle deposition-induced inclusion is frequently observed for soft depositing materials. This makes the application challenging and a universal processing map is in great demand. In this study, pure Al, pure Ti, pure Ni, 2219 Al, 6061 Al, 7055 Al, and TC4 with different hardness values are used as examples to explore a universal spraying processing map for MFCS. The influence of impact velocity and volume fraction of the shot-peening particle, types of the depositing materials, and spraying parameter on densification and shot-peening particle deposition is investigated. Adding 30 vol. % of 410 stainless steel MF particles into the depositing powders decreases the porosity of all deposits and particle deposition-induced inclusion is observed in pure Al, all three Al alloys, and pure Ti deposits. The single particle deposition experiment and the numerical simulation reveal that mechanical interlocking is the prime mechanism for MF particle deposition. A critical embedding MF particle size (dcr,e), above which MF particle inclusion can be avoided, is defined. A new concept of MF intensity (IMF) is proposed to comprehensively consider all main factors influencing the densification of the deposit. Finally, optimized processing maps for depositing fully dense metals without MF particle inclusion are established by plotting the critical embedding velocity and IMF against the hardness of the depositing materials.</t>
  </si>
  <si>
    <t>Ren, Siyuan; Zhang, Qingming; Gao, Fang; Wu, Qiang; Liang, Haozhe; Liu, Wenjin; Zhong, Xianzhe; Song, Guangming</t>
  </si>
  <si>
    <t>Impact resistance mechanism of reactive material bumper for spacecraft Whipple shield: Experiments and numerical simulations</t>
  </si>
  <si>
    <t>10.1016/j.ast.2022.107646</t>
  </si>
  <si>
    <t>With the rapid development of human manned spaceflight, the threat of hypervelocity impact of space debris to spacecraft safety has attracted more and more attention, and new materials for spacecraft shield need to be developed to meet the challenges caused by explosive growth of space debris. In this paper, the experiments of projectiles with hypervelocity impact on the Whipple shields with reactive material as bumpers were carried out by using two-stage light-gas gun. Through numerical simulations and experiments, the interaction between projectile and reactive material bumper was studied, and the fragments distribution, velocity and temperature of debris cloud induced by projectile impacting on reactive material bumper were analyzed. The hypervelocity impact resistance mechanism of Whipple shield with reactive material as bumper was obtained. The results show that the impact and detonation reaction combined effect of reactive material bumper can cause the projectile to be subjected to shock wave load twice, which leads to more effective fragmentation of projectile, more effective dispersion and deceleration of debris cloud, and more effective temperature rise of material. Reactive material bumper can improve the protective capability of Whipple shield, and has a great potential application prospect.</t>
  </si>
  <si>
    <t>Chen, Jinchang; Wang, Lanmin; Wang, Ping; Che, Ailan</t>
  </si>
  <si>
    <t>Failure mechanism investigation on loess–mudstone landslides based on the Hilbert–Huang transform method using a large-scale shaking table test</t>
  </si>
  <si>
    <t>10.1016/j.enggeo.2022.106630</t>
  </si>
  <si>
    <t>Loess–mudstone landslides occur easily because of earthquakes or rainfall; they account for a large number of landslides in the loess area of China. The Buzi landslide was one of the two largest landslides triggered by the 2013 Minxian–Zhangxian Ms. 6.6 earthquake and resulted in two deaths. Field investigations showed that it was a loess–mudstone landslide with a short sliding distance (approximately 20 m). By simplifying the original site conditions of the landslide, a model slope was built to perform a large-scale shaking table test. The dynamic response of the model was investigated in the time–frequency–energy space using the Hilbert–Huang transform method, and the failure mechanism was clarified from an energy perspective. The Hilbert spectrum indicates that the distribution characteristics of the instantaneous frequency energy are completely different between the loess layer and mudstone layer. Under 0.06 g, large energy is mainly concentrated in a frequency range 10–40 Hz in the loess layer, whereas the energy is mainly concentrated in the 5–10 Hz range in the mudstone layer. This implies that complex reflection and refraction waves occurred in the loess layer. With the increase in intensity, the energy in the loess layer gradually concentrates in the 5–10 Hz range, suggesting that the absorption capacity of the loess layer for high-frequency energy from the relative movement of soil particles increased. The marginal spectra changed from single peak to multipeak with increase in elevation under 0.06 g and changed from multipeak to single peak (with a predominant frequency of approximately 5.6 Hz) with increase in intensity, demonstrating that elevation (&gt;1/2H) can amplify the high-frequency cumulative energy under 0.06 g, showing that input seismic energy gradually takes dominance. Large cumulative energy (10–40 Hz) and instantaneous energy are mainly distributed at the slope shoulder and loess layer. This causes the formation of cracks and a sliding surface in the loess layer. The failure phenomenon of the model slope is close to that of the Buzi landslide, in which sliding occurred at the middle–upper part of the slope within the loess layer.</t>
  </si>
  <si>
    <t>Raju Kulkarni, A.; La Rocca, G.; Veldhuis, L.L.M.; Eitelberg, G.</t>
  </si>
  <si>
    <t>Sub-scale flight test model design: Developments, challenges and opportunities</t>
  </si>
  <si>
    <t>10.1016/j.paerosci.2021.100798</t>
  </si>
  <si>
    <t>Growing interest in unconventional aircraft designs coupled with miniaturization of electronics and advancements in manufacturing techniques have revived the interest in the use of Sub-scale Flight Testing (SFT) to study the flight behaviour of full-scale aircraft in the early stages of design process by means of free-flying sub-scale models. SFT is particularly useful in the study of unconventional aircraft configurations as their behaviour cannot be reliably predicted based on legacy aircraft designs. In this paper, we survey the evolution of various design approaches (from 1848 to 2021) used to ensure similitude between a sub-scale model and its full-scale counterpart, which is an essential requirement to effectively perform SFT. Next, we present an exhaustive list of existing sub-scale models used in SFT and analyse the key trends in their design approaches, test-objectives, and applications. From this review, we conclude that the state-of-the-art sub-scale model design methods available in literature have not been used extensively in practice. Furthermore, we argue that one sub-scale model is not sufficient to predict the complete flight behaviour of a full-scale aircraft, but a catalog of tailored sub-scale models is needed to predict full-scale behaviour. An introduction to the development of such a catalog is presented in this paper, but the development of a formal methodology remains an open challenge. Establishing an approach to develop and use a SFT catalog of models to predict full-scale aircraft behaviour will help engineers enhance confidence on their designs and make SFT a viable and attractive testing method in the early stages of design.</t>
  </si>
  <si>
    <t>Komaragiri, Satyavati; Gigliotti, Alex; Bhasin, Amit</t>
  </si>
  <si>
    <t>Feasibility of using a physics engine to virtually compact asphalt mixtures in a gyratory compactor</t>
  </si>
  <si>
    <t>10.1016/j.conbuildmat.2021.124977</t>
  </si>
  <si>
    <t>Optimization of asphalt mixtures in the laboratory is essential to maximize its performance in a pavement structure and reduce the likelihood of expensive premature failures. Several material and mixture variables affect the performance of an asphalt mixture. Evaluating the innumerable combinations of these variables in the laboratory to optimize an asphalt mixture is onerous. Computational models can supplement such laboratory-based optimization studies due to their capability of executing a broad range of parametric and probabilistic analyses. This study demonstrates the potential of using a physics engine to simulate the asphalt mixture compaction process. Physics engines were originally developed for animation and video games, however, with improvement in their accuracy, they are currently being used in many research areas. This study presents a computational model developed using an open source physics engine to virtually compact asphalt mixtures in a gyratory compactor. This model uses 3D laser-scanned representations of real aggregate particles and incorporates the viscous and cohesive nature of the asphalt mortar through customized subroutines. To demonstrate the feasibility of this model, the effect of the three key compaction parameters (i) angle of gyration, (ii) compaction pressure, and (iii) specimen height on the compaction characteristics were analyzed and compared with laboratory findings from various studies. Results suggest that the developed model can be used as a reasonably accurate means to simulate asphalt mixture compaction. This study also demonstrates that such simulations can be carried out using realistic and representative particle shapes in 3D, in a reasonable time using desktop computers.</t>
  </si>
  <si>
    <t>Seyedzadeh, Amin; Yasi, Mehdi; Farhoudi, Javad</t>
  </si>
  <si>
    <t>Hydraulic characteristics of a sluice gate over a broad-crested weir</t>
  </si>
  <si>
    <t>10.1016/j.flowmeasinst.2023.102432</t>
  </si>
  <si>
    <t>Vertical sluice gates are commonly used to control and measure flow in irrigation and drainage networks. To reduce their size and associated maintenance and operation costs, they are sometimes installed above broad-crested weirs. To explore the effects of the installation location of the sluice gate and the sill height on the hydrodynamic characteristics of the flow passing through the sluice-gated weir, six laboratory models were tested. The 427 and 449 data points included both free- and submerged-flow conditions, respectively. Analytical relationships were developed for the contraction, head-loss, and Henry's (1950) discharge coefficients. Based on the maximization of the discharge and contraction coefficients and the minimization of the head-loss coefficient, results suggest that a gate should be installed at a distance of L/2 (where L is the sill length) from the upstream end of the weir crest, and the height of 1.25Hd (where Hd is the water depth as referenced from the weir sill elevation) is the optimal height for the weir. By conducting experiments and constructing correlations for determining the contraction and head-loss coefficients under free flow conditions, the average values of these coefficients for the laboratory models were obtained as 0.664 and 0.133, respectively. Applying the average contraction and head-loss coefficients to the developed relationship for estimating the free and submerged discharge coefficients resulted in an error of 4% and 6%, respectively. WinGate alpha 0.2 software was used to estimate the experimental free and submerged discharge coefficient of the gated weir with an average error of 5.4% and 12.7%, respectively. It was done without any consideration of the cross-section shape of the weir or the location of the gate on the weir sill. In addition, an inspection of the submergence threshold of the gated weir showed an increase in the submergence threshold when the gate was moved further downstream from the upstream end of the sill.</t>
  </si>
  <si>
    <t>Tang, Yuchuan; Cai, Changpeng; Xie, Yazhou</t>
  </si>
  <si>
    <t>Improved lumped parameter model for shear wall–frame structures with geometric and material nonlinearities</t>
  </si>
  <si>
    <t>10.1016/j.jobe.2024.109633</t>
  </si>
  <si>
    <t>Lumped parameter macroscopic structural models, such as those consisting of springs and rigid sticks, are useful for parametric studies and probabilistic analyses of individual building structures as well as for regional-level assessments on building stock. The existing lumped parameter models (LPMs) for shear wall–frame dual systems exhibit some drawbacks. There is a discrepancy in their arrangement of springs. They are calibrated to match only two modal periods of the original multi-story or even high-rise building structure. The existing models also have limitations when confronted with the P-Δ effect. After a careful investigation, this paper developed new schemes of spring-stick assemblies that accurately reproduce the elastic stiffness matrix of a two-dimensional Euler–Bernoulli or Timoshenko beam–column element and cope with geometric and material nonlinearities. The developed assemblies, which are essentially lumped parameter substitutes for beam–column elements, can be used to build LPMs for moment frames and shear walls. For moment frames, the traditional fishbone model is converted into a LPM that not only reflects the beam-to-column stiffness ratio and strength ratio but also captures the P-Δ effect. Combining the LPM for shear wall with the lumped parameter fishbone model results in an improved LPM for wall–frame dual systems. Together with lumped floor masses, the improved LPM is able to accurately predict all the global vibration modes and nonlinear seismic responses of a dual system. The proposed LPM possesses distinct advantages when simplified macroscopic models are preferred for building structures.</t>
  </si>
  <si>
    <t>Nguyen, Van Bac; Huh, Jungwon; Meisuh, Bismark Kofi; Tran, Quang Huy</t>
  </si>
  <si>
    <t>Shake table testing for the seismic response of a container crane with uplift and derailment</t>
  </si>
  <si>
    <t>10.1016/j.apor.2021.102811</t>
  </si>
  <si>
    <t>In the seismic analysis, the boundary condition of a container crane is a complex problem when dealing with the contact between the crane's toes and the ground surface or wharf deck. In operation, the wheels of container cranes move on rails freely but are usually anchored when at rest. Therefore, the wheels could be lifted up and derailed due to seismic excitation. The boundary condition of a container crane has not been fully addressed in past research. It has mostly been simplified as pin supports without considering the possibilities of uplift and derailment of the crane legs. Hence, there is a need to conduct a study focusing on the effects of derailment and uplift on a container crane's seismic response. This paper investigates the seismic response of a container crane via a shake table testing of a 1/20 scale crane constructed according to the similitude law, with a simulation of the boundary condition of the scale crane as a pin and a friction boundary. A white noise test was conducted to determine the natural frequencies of the scale crane, then the seismic response of the container crane was determined via three input ground motions. The three input ground motions were designed by matching real earthquakes to the Korean design elastic response spectrum and scaling down for the shake table testing. Under these seismic excitations, the responses of the container crane were considered in terms of uplift, derailment, portal movement, and bending moments. The shake table testing shows that the maximum difference in the natural frequencies of the crane for the portal sway mode, between the friction boundary and pin support, was 2.1%. Due to the effects of derailment and uplift of the landside legs, the bending moments in the crane's seaside legs with a friction boundary were 109% higher than those with a pinned boundary. In addition, a residual deformation was observed in the portal frame after the vibration had stopped when the scale crane was assigned a friction boundary.</t>
  </si>
  <si>
    <t>Liu, Pengtao; Yang, Dingge; Wang, Xiaopeng; Zhang, Xiaowei; Wang, Yongquan</t>
  </si>
  <si>
    <t>Research on vibration response distorted similitude of cylindrical shells under modal distribution disorder</t>
  </si>
  <si>
    <t>10.1016/j.tws.2024.112247</t>
  </si>
  <si>
    <t>Similitude theory enables local-scale models to reflect the dynamic characteristics of full-scale models and is widely employed in engineering experimentation. However, shell structures, constrained by wall thickness, cannot undergo experiments through proportional downsizing. Existing similitude studies with retained wall thickness exhibit only minimal distortion, and accurate prediction of vibration responses is hindered by modal distribution disorder. To address these challenges, a method based on modified frequency response functions of natural frequencies and mode shapes is proposed. Scaling laws for natural frequencies and mode shapes of cylindrical shells with retained wall thickness are established. This method yields a maximum prediction error of 4.29 % for prototype natural frequencies, compared to 50.57 % for existing methods. Predicted prototype vibration acceleration responses correspond well with theoretical calculations in both frequency and amplitude, while existing methods fail entirely. The phenomenon of modal distribution disorder and the effectiveness of the proposed method in mitigating it are verified by modal experiments and response tests. Research reveals that the sensitivity of different modal frequencies to the wall thickness scaling factor varies, serving as the cause of modal distribution disorder. The modal distribution with the same circumferential wave number is unaffected by wall thickness. Modes above the bending frequency, with axial half-wavelength consistent with bending modes, are prone to disorder due to wall thickness distortion. During wall thickness distortion, a mode originally with the lowest frequency is surpassed towards lower frequency by the mode with larger circumferential wave number and the same axial half-wave number, leading to disorder. The proposed method addresses the challenge of minimal distortion in structural vibration response and poor performance, advancing the development of distorted similitude.</t>
  </si>
  <si>
    <t>Imran, Wafa; Kakosimos, Konstantinos E.; Srour, Ola; Véchot, Luc N.</t>
  </si>
  <si>
    <t>Nomograph derivation for underwater sour gas releases in shallow waters based on computational fluid dynamics simulations</t>
  </si>
  <si>
    <t>10.1016/j.psep.2024.06.053</t>
  </si>
  <si>
    <t>Ruptured underwater pipelines releasing sour gas (i.e., natural gas with high concentrations of H2S) pose significant threats to environmental safety due to their toxic and contaminative properties. This study suggests a transient Eulerian-Eulerian multiphase computational fluid dynamics (CFD) model for assessing the environmental impact of sour gas releases in shallow, ecologically sensitive waters. Employing the Realizable k-ε turbulence model and additional bubble plume mechanisms, the model was rigorously validated against well-documented experimental data, showing high levels of agreement across multiple metrics. Key environmental safety parameters—such as rise time and H2S surface gas concentration, indicative of toxic exposure risk to aquatic life and human health—were extracted for multiple release scenarios. To present generalized and easily accessible data, these parameters were nondimensionalized and incorporated into a nomograph, enabling environmental risk assessments to be conducted four orders of magnitude faster than with high-fidelity simulations. The study emphasizes the nomograph's utility in rapid, environmentally relevant risk assessment and emergency planning for mitigating the impact of sour gas spills. An error and sensitivity analysis revealed uncertainties of ±7 % for rise time and ±58 % for surface gas concentration, pinpointing avenues for future research.</t>
  </si>
  <si>
    <t>Wu, Yuxue; Chen, Hang; Song, Xingfu</t>
  </si>
  <si>
    <t>Experimental and numerical study on the bubble dynamics and flow field of a swirl flow microbubble generator with baffle internals</t>
  </si>
  <si>
    <t>10.1016/j.ces.2022.118066</t>
  </si>
  <si>
    <t>Microbubble generators have been widely applied in various fields. This paper explored the bubble generation performance and two-phase flow characteristics of a swirl flow microbubble generator with baffle internals. It showed that the bubble size evolution process in the generator was more sensitive to the liquid flow rate than the gas phase. A semi-empirical expression considering the dimensionless factors of gas-liquid flow rate ratio, Reynolds number, and Weber number predicted the Sauter mean diameter reasonably. Meanwhile, the hydrodynamic simulations were conducted for the generator by using various bubble breakage and aggregation kernels. The Lehr-Liao and Luo &amp; Svendsen-turbulent model combinations were determined to predict the bubble dynamics performance well. The hydrodynamic simulations showed that the larger the liquid flow rate, the higher the turbulent dissipation rate, which resulted in a smaller bubble size. The work is helpful to the design and operation of the swirl flow microbubble generator.</t>
  </si>
  <si>
    <t>Wang, Jung-Chang; Wang, Rong-Tsu; Chang, Tien-Li; Hwang, Daw-Shang</t>
  </si>
  <si>
    <t>Development of 30Watt high-power LEDs vapor chamber-based plate</t>
  </si>
  <si>
    <t>10.1016/j.ijheatmasstransfer.2010.05.018</t>
  </si>
  <si>
    <t>This study utilizes experimental analysis with window program VCTM V1.0 to investigate the thermal performance of the vapor chamber and apply to 30Watt high-power LEDs. The thermal experiment method is derived a novel empirical formula for the effective thermal conductivity of the vapor chamber and calculated its thermal performance. Results show that the maximum effective thermal conductivity is 870W/m°C from the novel empirical formula, and comparing it with the experimental value, the calculating error is no more than ±5%. And the LED vapor chamber-based plate works out hot-spot problem of 30Watt high-power LEDs, successfully.</t>
  </si>
  <si>
    <t>Haghighi, E.; Pooshideh, S.M.; Ghadami, A.</t>
  </si>
  <si>
    <t>Building isolation against train-induced vibrations considering the effects of soil and structure: A numerical and experimental study</t>
  </si>
  <si>
    <t>10.1016/j.soildyn.2023.108251</t>
  </si>
  <si>
    <t>Base isolation is probably the most prevalent method used to protect buildings from disruptive train-induced vibrations. While the isolators' performance has been the subject of several studies, certain vital limitations remain. Firstly, the optimal effectiveness of isolators with respect to the characteristics of the superstructure and underlying soil is unclear. Secondly, there is a notable lack of a prediction model assessing the isolators' efficacy before any detailed analysis. Lastly, the dearth of empirical evidence that testifies to the performance of isolators in real situations is palpable. This study was devoted to addressing these shortcomings. In order to meet this goal, a 2D numerical model of a building, soil medium, and under-foundation resilient layer (UFRL) was created. Extensive parametric analysis of the model demonstrated that the performance of UFRLs was significantly (up to 15 dB) affected by the features of the soil and building. The conditions in which UFRLs have optimal performance were identified. Based on the results obtained, a prediction model was proposed to estimate the efficacy of UFRLs. Afterward, a 3D numerical and physical simulation of a five-story building was developed to evaluate the performance of UFRLs and validate the proposed prediction model in practical scenarios. A comparison of predicted and computed insertion loss values showed that the mean absolute error for the sixteen scenarios examined here is 1.2 dB.</t>
  </si>
  <si>
    <t>Haghbin, Masoud; Sharafati, Ahmad; Aghamajidi, Roozbeh; Haji Seyed Asadollah, Seyed Babak; Noghani, Mohamadreza Hosseinian Moghadam; Jalón, María L.</t>
  </si>
  <si>
    <t>Determination of discharge coefficient of stepped morning glory spillway using a hybrid data-driven method</t>
  </si>
  <si>
    <t>10.1016/j.flowmeasinst.2022.102161</t>
  </si>
  <si>
    <t>The accurate assessment of the discharge coefficient (Cd) of spillways is one of the complex problems in the safety of dams and reservoirs. In this research, the capabilities of Support Vector Regression-Invasive Weed Optimization (SVR-IWO), Support Vector Regression (SVR), Gaussian Process Regression (GPR), and Kernel Ridge Regression (KRR) for estimating discharge coefficients of 21 different layouts of morning glory spillways with the different number of vortex breakers are investigated. In addition, the aleatory and epistemic uncertainties are quantified using classical Mutual information theory and four various Bayesian entropies. The Froud number (Fr), number of vortex breakers (N), and three dimensionless parameters consisting of the water height, vortex height, and breaker thickness over the spillway diameter (H/Ds, h/Ds, and t/Ds, respectively), obtained from 120 experiments, were used as input variables. The findings reveal that SVR-IWO is superior to other models based on several performance metrics, including R, RMSE, MSE, and MAE. Besides, the SVR-IWO (R=0.804,RMSE=0.131,MSE=0.017,MAE=0.074) enhanced the performance indices obtained from standalone SVR (R=0.632,RMSE=0.352,MSE=0.124,MAE=0.255) up to 86.13%.</t>
  </si>
  <si>
    <t>Emin Emiroglu, M.; Kisi, Ozgur; Bilhan, Omer</t>
  </si>
  <si>
    <t>Predicting discharge capacity of triangular labyrinth side weir located on a straight channel by using an adaptive neuro-fuzzy technique</t>
  </si>
  <si>
    <t>10.1016/j.advengsoft.2009.09.006</t>
  </si>
  <si>
    <t>Side weirs are widely used for flow diversion in irrigation, land drainage, urban sewage systems and also in intake structures. It is essential to correctly predict the discharge coefficient for hydraulic engineers involved in the technical and economical design of side weirs. In this study, the discharge capacity of triangular labyrinth side weirs is estimated by using adaptive neuro-fuzzy inference system (ANFIS). Two thousand five hundred laboratory test results are used for determining discharge coefficient of triangular labyrinth side weirs. The performance of the ANFIS model is compared with multi nonlinear regression models. Root mean square errors (RMSE), mean absolute errors (MAE) and correlation coefficient (R) statistics are used as comparing criteria for the evaluation of the models’ performances. Based on the comparisons, it was found that the ANFIS technique could be employed successfully in modeling discharge coefficient from the available experimental data. There are good agreements between the measured values and the values obtained using the ANFIS model. It is found that the ANFIS model with RMSE of 0.0699 in validation stage is superior in estimation of discharge coefficient than the multiple nonlinear and linear regression models with RMSE of 0.1019 and 0.1507, respectively.</t>
  </si>
  <si>
    <t>Lin, Pengfei; Hu, Gang; Tse, K.T.; Song, Jie; Leung, Anthony Kwan; Jiang, Zhenliang; Zou, Lianghao</t>
  </si>
  <si>
    <t>Characterizing wind-induced reconfiguration of coaxial branched tree</t>
  </si>
  <si>
    <t>Agricultural and Forest Meteorology</t>
  </si>
  <si>
    <t>10.1016/j.agrformet.2023.109590</t>
  </si>
  <si>
    <t>Tree dynamics have been extensively studied because of their reconfiguration ability under oncoming wind flow. However, there is still a gap in the effect of crown configuration on the tree reconfiguration. The present study examined the wind-induced reconfiguration performance of 9 coaxial branched trees with three different pruning techniques by wind tunnel tests, to comprehensively and thoroughly reveal the effects of crown configurations on tree reconfiguration. Results showed that normalized crown mass is the best parameter for correlating with the maximum normalized drag force acting on the tree. Meanwhile, it was found that area reduction effect decreases with an increase in LAI1 (the ratio of leave area and ground area) and LAI2 (the ratio of leave area and frontal area). Streamlining effect is gradually enhanced with an increase in λct (the ratio of crown height and trunk height), but shows a trend of first increasing and then decreasing with the increase of LAI1 and LAI2. Finally, a reconfiguration model was proposed to show the dynamic behavior of the coaxial branched tree under different dimensionless tree parameters. The revealed tree reconfiguration mechanism and the reconfiguration model can guide tree managers and researchers for understanding the tree behavior and tree dynamics.</t>
  </si>
  <si>
    <t>García, A.E.; Marcel, C.P.; Delmastro, D.F.</t>
  </si>
  <si>
    <t>Experimental assessment of fluid-to-fluid scaling for critical heat flux investigations in rod bundles at low mass flow</t>
  </si>
  <si>
    <t>10.1016/j.nucengdes.2022.111951</t>
  </si>
  <si>
    <t>Critical heat flux (CHF) is an essential topic in nuclear technology and for that reason it has been investigated during several decades. Novel nuclear reactor designs, such as self-pressurized small modular integral reactors (SMiR), represent a new challenge regarding this issue since they are designed to work at conditions for which traditional tools and procedures may cause too large uncertainties. In addition, traditional fluid-to-fluid modeling techniques for CHF tests have been derived from experiments mainly performed at PWR conditions and therefore its use is doubtful at different conditions. In this work we make use of water and Freon (CCl2F2) experimental data points obtained at low mass flow condition and relatively low subcooling representing natural circulation CAREM-25 SMiR at nominal pressure and at 10 MPa. The test section consists of 19-rods in a hexagonal array mimicking 1/6 of CAREM-25 fuel bundle. Traditional fluid-to-fluid mass flux scaling rules (derived by Ahmad and Katto) are then used to quantify its performance by comparing water and Freon data tests performed at similar conditions in a dimensionless space. Such a space is defined by the subcooling number, the phase change number and the so-called mass flux number. As a result of this part of the study it is concluded that the use of Katto’s scaling rule for the mass flux produces an average error in estimating water data of around 10 %. In addition, the use of Ahmad’s scaling rule causes an average error of about 20 % when estimating water data. Due to these modest performances, a dedicated mass flux scaling rule was derived based on the dimensionless Weber and liquid Reynolds numbers. The new scaling rule succeeded in reducing the average difference between water and Freon test data to less than 3 %. The use of the proposed scaling rule allowed treating the Freon and water data as a single dataset, which in turn enlarged the experimental domain. The proposed mass flux scaling rule is thus recommended for fluid-to-fluid CHF tests at low mass flux conditions and reduced subcooling numbers.</t>
  </si>
  <si>
    <t>Mattos-Villarroel, Erick; Flores-Velázquez, Jorge; Ojeda-Bustamante, Waldo; Díaz-Delgado, Carlos; Salinas-Tapia, Humberto</t>
  </si>
  <si>
    <t>Influence of crest geometric on discharge coefficient efficiency of labyrinth weirs</t>
  </si>
  <si>
    <t>10.1016/j.flowmeasinst.2021.102031</t>
  </si>
  <si>
    <t>Labyrinth type weirs are structures that, due to their geometry, allow the discharge capacity to be increased compared to linear weirs. They are a favorable option for dam rehabilitation and upstream level control. There are various geometries of labyrinth type weirs such as trapezoidal, triangular or piano key as well as different types of crest profiles. Geometric changes are directly related to hydraulic efficiency. The objective of this work was to analyze the hydraulic performance of a labyrinth type weir, by simulating several geometries of the apex and of the crest using Computational Fluid Dynamics (CFD). For model validation, experimental studies reported in the literature were used. Tests were carried out with trapezoidal and circular apexes and four types of crest profiles: sharp-crest, half-round, quarter-round and Waterways Experiment Station (WES). The results revealed a determination coefficient of R2 = 0.984 between experimental and simulated data with CFD, which provides statistical agreement. Simulations showed that circular-apex weirs are more efficient than those with trapezoidal apex, because they have a higher discharge coefficient (4.7% higher). Of the four types of crest profiles analyzed, the half-round and the WES crest profiles had similar discharge coefficients and were generally greater than those of the sharp-crest and the quarter-round (5.26% y 8.5% higher) profiles. Nevertheless, to facilitate a practical construction process, it is recommended to use a half-round profile. For hydraulic heads with HT/P &gt; 0.5 ratio, all profiles generated sub-atmospheric pressures on the side walls of the weir. However, when HT/P ≈ 0.8 ratio the half-round crest generated a higher negative pressure (−1500 Pa), while the sharp-crest profile managed to increase the pressure by 76% (−350 Pa), but with a greater area of negative pressure. On the other hand, the WES profile reduced the negative-pressure area by 50%.</t>
  </si>
  <si>
    <t>D'Amico, A.; Ciulla, G.; Tupenaite, L.; Kaklauskas, A.</t>
  </si>
  <si>
    <t>Multiple criteria assessment of methods for forecasting building thermal energy demand</t>
  </si>
  <si>
    <t>10.1016/j.enbuild.2020.110220</t>
  </si>
  <si>
    <t>Nowadays worldwide directives have focused the attention on improving energy efficiency in the building sector. The research of models able to predict the energy consumption from the first design and energy planning phase is conducted to improve building sustainability. Use of traditional forecasting tools for building thermal energy demand tends to encounter difficulties relevant to the amount of data required, implementation of the models, computational costs and inability to generalize the output. Therefore, many studies focused on the research and development of alternative resolution methods, but the choice of the most convenient is not clear and simple. Single comparison of statistical quality indexes does not allow an adequate identification of the most efficient method, as the necessary efforts for implementation of the methods from the initial data collection to the use phase are not considered. In this work, the authors propose to apply, for the first time, the multicriteria assessment to determine the most efficient alternative method, used for forecasting of building thermal energy demand. Three alternative “black-box” methods, previously investigated by the authors, were compared by the multiple criteria Complex Proportional Assessment Method. Such a procedure revealed ranking of the methods in four phases, namely Pre-processing, Implementation, Post-processing and Use, as well as overall assessment and selection of the most efficient method in terms of evaluated criteria. This first application could represent an incentive for future multi-criteria analyses involving a growing number of alternative forecasting methods.</t>
  </si>
  <si>
    <t>Li, Haochen; Sansalone, John</t>
  </si>
  <si>
    <t>A CFD-ML augmented alternative to residence time for clarification basin scaling and design</t>
  </si>
  <si>
    <t>10.1016/j.watres.2021.117965</t>
  </si>
  <si>
    <t>Particulate matter (PM), while not an emerging contaminant, remains the primary labile substrate for partitioning and transport of emerging and known chemicals and pathogens. As a common unit operation and also green infrastructure, clarification basins are widely implemented to sequester PM as well as PM-partitioned chemicals and pathogens. Despite ubiquitous application for urban drainage, stormwater clarification basin design and optimization lacks robust and efficient design guidance and tools. Current basin design and regulation primarily adopt residence time (RT) as presumptive guidance. This study examines the accuracy and generalizability of RT and nondimensional groups of basin geometric and dynamic similarity (Hazen, Reynolds, Schmidt numbers) to scale clarification basin performance (measured as PM separation and total PM separation). Published data and 160,000 computational fluid dynamics (CFD) simulations of basin PM separation over a wide range of basin configurations, loading conditions, and PM granulometry (particle size distribution [PSD], density) are examined. Based on the CFD database, a novel implementation of machine learning (ML) models: decision tree (DT), random forest (RF), artificial neural networks (ANN), and symbolic regression (SR) are developed and trained as surrogate models for basin PM separation predictions. Study results indicate that: (1) Models based solely on RT are not accurate or generalizable for basin PM separation, with significant differences between CFD and RT models primarily for RT &lt; 200 hr, (2) RT models are agnostic to basin configurations and PM granulometrics and therefore do not reproduce total PM separation, (3) Trained ML models provide high predictive capability, with (R2) above 0.99 and prediction for total PM separation within ±15%. In particular, the SR model distilled from CFD simulations is entirely defined by only two compact algebraic equations (allowing use in a spreadsheet tool). The SR model has a physical basis and indicates PM separation is primarily a function of the Hazen number and basin horizontal and vertical aspect ratios, (4) With common presumptive guidance of 80% for PM separation, a Pareto frontier analysis indicates that the CFD-ML augmented SR model generates significant economic benefit for basin planning/design, and (5) CFD-ML models show that enlarging basin dimensions (increasing RT) to address impaired behavior can result in exponential cost increases, irrespective of land/infrastructure adjacency conflicts. CFD-ML applications can extend to intra-basin retrofits (permeable baffles) to upgrade impaired basins.</t>
  </si>
  <si>
    <t>Nourani, Bahram; Arvanaghi, Hadi; Salmasi, Farzin</t>
  </si>
  <si>
    <t>A novel approach for estimation of discharge coefficient in broad-crested weirs based on Harris Hawks Optimization algorithm</t>
  </si>
  <si>
    <t>10.1016/j.flowmeasinst.2021.101916</t>
  </si>
  <si>
    <t>Accurate determination of the discharge coefficient play a very important role in estimating the flow discharge over the weirs. As a result, it is significant to estimate the discharge coefficient correctly. The aim of this study is simulation and estimation the discharge coefficients (Cd) over the broad-crested weirs with cross section rectangular and suppressed. Hence, numerical simulation of hydraulic characteristics of these weirs were performed by ANSYS FLUENT software and results were obtained. Then two intelligent models of ANN, GPR and hybrid both of models namely ANN-HHO, GPR-HHO were used to determine the discharge coefficients using the efficient parameters and the results of these models were compared. Assessment of the results were performed using the statistical metrics: coefficient of determination (R2), root mean square error (RMSE), mean absolute error (MAE), scatter index (SI) and Kling-Gupta efficiency (KGE) and graphical diagrams including violin plot, percent relative error (RE%) plot and probability density function (PDF) plot of residuals. It was found that hybrid artificial neural network and gaussian process regression with Harris Hawks optimization (ANN-HHO and GPR-HHO) could improve ANN and GPR models performance in estimating the Cd in broad-crested weirs. Overall, results indicated that a combination of the HHO with the ANN (ANN-HHO) model performs better than GPR-HHO model for the estimation of the Cd.</t>
  </si>
  <si>
    <t>Chen, Guangpeng; Yang, Changwei; Tong, Xinhao; Wen, Hao; Yue, Mao</t>
  </si>
  <si>
    <t>Shaking table test on dynamic response of a deposit slope with a weak interlayer reinforced by the pile-anchor structure</t>
  </si>
  <si>
    <t>10.1016/j.soildyn.2023.107912</t>
  </si>
  <si>
    <t>Owing to its low shear strength, the presence of a weak interlayer frequently plays an adverse role on slope stability. Through a shaking table test, this study investigated the dynamic response of the deposit slope with weak interlayer at the exit of the Zheduo Mountain Tunnel reinforced by pile-anchor structures. The acceleration field of the slope, peak value of the dynamic earth pressure of the pile, deformation of the pile, anchor cable tension and load-sharing ratio were considered. The findings demonstrate that as an earthquake intensifies, the slope soil behind a pile gradually becomes compressed; subsequently, tension cracks emerge at the back edge of the slope and expand significantly, eventually forming a penetrating sliding surface. Under various earthquake intensity levels, the acceleration amplification coefficient of the slope increases with the elevation. A weak interlayer can amplify the amplitude of the Fourier spectra, which results in a difference in the vibration between the deposit and bedrock and damage to the slope. When the acceleration exceeds 0.3g, the soil behind pile begins to squeeze it, and the peak value of the dynamic earth pressure first increases and then decreases along the elevation of the pile, reaching its maximum near the sliding surface. The load-sharing ratio of the pile-anchor structure steadily decreases as the peak acceleration of the seismic wave, tension of the anchor cable, and limiting effect of the anchor cable on the pile displacement increase. We suggest that the amplification effect of seismic acceleration should be considered in the seismic design of pile-anchor structures, with local reinforcement near the sliding surface of the pile, and the load-sharing ratio of the structure should be flexible.</t>
  </si>
  <si>
    <t>Barbeau, Lucka; Étienne, Stéphane; Béguin, Cédric; Blais, Bruno</t>
  </si>
  <si>
    <t>Solid–fluid force modeling: Insights from comparing a reduced order model for a pair of particles with resolved CFD-DEM</t>
  </si>
  <si>
    <t>10.1016/j.ijmultiphaseflow.2024.104882</t>
  </si>
  <si>
    <t>Solid–fluid force models are essential to efficiently model multiple industrial apparatuses such as fluidized beds, spouted beds, and slurry transport. They are generally built using strong hypotheses (e.g. fully developed flow and no relative motion between particles) that affect their accuracy. We study the effect of these hypotheses on particle dynamics using the sedimentation of a pair of particles. We develop new induced drag, lift and torque models for pairs of particles based on an artificial neural network (ANN) regression. The fluid force model covers a range of Reynolds numbers of 0.1 to 100 and particle centroid distance of up to 9 particle diameters. The ANN model uses 3475 computational fluid dynamics (CFD) simulation results as the training data set. Using this fluid force model, we develop a reduced-order model (ROM), which includes the virtual mass force, the Meshchersky force, the history force, the lubrication force, and the Magnus force. Using the results of a resolved computational fluid dynamics coupled with a discrete element method (CFD-DEM) model as a reference, we analyze the discrepancies between the ROM and CFD-DEM results for a series of sedimentation cases that cover particle Archimedes number from 20 to 2930 and particle to fluid density ratio of 1.5 to 1000. The errors primarily stem from particle history interactions that are not accounted for by the fully developed flow hypothesis. The importance of this effect on the dynamic of two particles is isolated and it is shown that it is more pronounced in cases with a lower particle-to-fluid density ratio (such as solid–liquid cases). This work underscores the need for more research on these effects to increase the precision of solid–fluid force models for small particle-to-fluid density ratios (1.5).</t>
  </si>
  <si>
    <t>Hashem, Thaer; Mohammed, Ahmed Y.; Alfatlawi, Thair J.</t>
  </si>
  <si>
    <t>Hydraulic characteristics of labyrinth sluice gate</t>
  </si>
  <si>
    <t>10.1016/j.flowmeasinst.2024.102556</t>
  </si>
  <si>
    <t>Two hundred experiments were conducted on triangular cross-section gates, folded in one and two-cycle modes, with varying apex angles and opening heights under different upstream flow conditions. The results were analyzed and compared with standard gates under identical hydraulic conditions. The hydraulic performance of the proposed models was then evaluated. The models with smaller internal angles and one cycle demonstrated significant efficiency improvements. However, as the interior angle and/or cycle number increased, the efficiency improvements declined. The discharge coefficient values increased up to 200%, the percentage of upstream flow depth reduction reached more than 50%, the passing discharge achieved gains of up to 96%, and the rate of downstream Froude number reduction reached 70%. Finally, A reliable equation for the discharge coefficient was developed, yielding an RMSE of 5.459%, MAPE of 5.95%, and R2 of 0.9066. The results of this study can be beneficial in situations where high flow rates need to be accommodated, particularly in flood season, and minimize the risk of overflow, reducing the number of gates for a particular discharge; thereby, the supporting infrastructure's effective cost will minimize. Furthermore, it can help to mitigate erosion and maintain the stability of downstream environments.</t>
  </si>
  <si>
    <t>Guo, Jun; Gao, Wenjing; Cai, Guobin; Liu, Yin; Wen, Hu</t>
  </si>
  <si>
    <t>Numerical study on fire-induced smoke temperature characteristics in small curvature radius UTLT-like tunnels under emergency state</t>
  </si>
  <si>
    <t>10.1016/j.tust.2022.104599</t>
  </si>
  <si>
    <t>Extensive studies have usually focused on an ordinary single straight or large curvature radius tunnel fire. However, the curvature effect of small curvature radius curved tunnel on the fire-induced smoke temperature characteristics still needs to clarify. Therefore, a three-dimensional transient computational fluid dynamics (CFD) fire model for small curvature radius urban traffic link tunnel (UTLT)-like tunnel was established to understand the scope and extent of curvature effect on the fire-induced smoke under emergency state. The results show that, in the curved tunnel area, small curvature radius or large critical ventilation velocity results in stronger centrifugal force of the fire smoke, readily destabilizing the fire smoke downstream of the fire source. Compared with large radius of curvature and straight tunnels, due to the greater resistance of curved walls in small curvature radius tunnel, the length of smoke back-layering is longer. Simultaneously, the temperature of the high-temperature smoke on the outer wall of the ceiling cross section is higher than the inner wall. Prediction mathematical models for the maximum temperature and longitudinal temperature profiles were further developed by taking the curvature and ventilation velocity effect, which is basically consistent with experimental and simulated results.</t>
  </si>
  <si>
    <t>Optimization of heat flow analysis for exceeding hundred watts in HI-LEDs projectors</t>
  </si>
  <si>
    <t>10.1016/j.icheatmasstransfer.2015.07.002</t>
  </si>
  <si>
    <t>This study conducted a heat flow-lighting performance test to evaluate and analyze an exceeding hundred watts of HI-LEDs (higher-power LEDs) projector. In addition, a Windows-based optimization program was developed to optimize the heat sink of the HI-LEDs projector. The results indicated that the maximal LED temperature of the projector was 108°C at a steady temperature state (approximately 1h of operation). When the metal-core printed circuit board (MCPCB) of the projector was replaced with a vapor-chamber PCB (VCPCB), the LED temperature decreased to 87.6°C. Iterative calculations were subsequently performed using the self-developed Windows-based optimization program for determining the optimal fin interval (8.94mm) and thickness (2.56mm). These optimal parameters were simulated using CFD (computational fluid dynamics), and the results were compared with those of the original 150-W HI-LEDs projector. A Rayleigh number of 6.1304×105 was obtained, indicating a laminar flow model. When the optimized heat sink was used, the LED temperatures for the MCPCB and VCPCB HI-LEDs projector samples decreased by 14 and 9.74°C, respectively. The h value of the optimized HI-LEDs projector (8.094W/m2k) was higher than that of the original HI-LEDs projector (7.154W/m2k), and its weight was reduced by approximately 2%.</t>
  </si>
  <si>
    <t>Sorgun, Mehmet; Muftuoglu, Tevfik Denizhan</t>
  </si>
  <si>
    <t>A new friction factor formula for single phase liquid flow through geothermal pipelines</t>
  </si>
  <si>
    <t>10.1016/j.geothermics.2020.101901</t>
  </si>
  <si>
    <t>Proper selection of pumps has been an important issue for energy efficiency in geothermal energy. In a research conducted among machines that consume electricity, pumps come first with 25 %. Accurate estimation of pressure losses is a key point in order to select pump systems. Hot water from the geothermal area is carried by pipeline systems. In this study, extensive experimental study is conducted at Izmir Katip Celebi University Flow Loop using pure water for fluid temperature from 25 °C to 60 °C, for four various relative roughness values, and for Reynolds Number ranges from 6.2 × 104 to 7.8 × 105. This study has mainly two objectives: First is to identify if the absolute pipe roughness values of commercially available pipes vary according to the pipe diameter. The second objective is to investigate fluid temperature effects on frictional pressure losses in rough pipes and to present a new friction factor correlation for using in geothermal pipelines, considering the fluid temperature effects. Experimental study shows that absolute pipe roughness varies substantially for pipe diameters. The proposed friction factor has a good agreement with explicit formulas of Blasius (1913) and Taler (2016) equations for smooth pipes and Colebrook (1939) equation for rough pipes, as well as experimental data at various temperature values. Additionally, frictional pressure losses are accurately estimated using new friction factor equation. Results show that both relative roughness and temperature have a significant influence on the friction factor for turbulent flow through rough pipes. For this reason, pipe roughness should be determined correctly and the effects of fluid temperature on pressure losses should be considered. This may influence frictional head losses per unit length and, consequently, the predicted pumping requirements in geothermal pipelines.</t>
  </si>
  <si>
    <t>Fan, Shiqi; Shi, Dongyan; Ma, Guihui; Zhang, Wangkai; Chen, Yingyu; Sun, Longquan; Yuan, Kai; Yang, Zhiyong; Zhang, Miao</t>
  </si>
  <si>
    <t>Research on similarity of water entry load for scaled-down underwater vehicle based on different model test environments</t>
  </si>
  <si>
    <t>10.1016/j.oceaneng.2023.115697</t>
  </si>
  <si>
    <t>The incompatibility of similarity quotients and the lack of test simulation capability can be effectively addressed by overcoming “similarity constraint” using diverse model test environments (varying parameters such as atmospheric pressure and gravitational acceleration). In order to examine the scaling effects in different model test environments, this paper presents a numerical study of the prediction accuracy of a flat-head scaled-down vehicle for full-scale prototype water entry impacts in the normal compression, reduced compression and hypergravity model test environments using the experimentally validated FLUENT overlapping mesh technique. The study compared and analyzed the pressure load and flow field evolution under different initial conditions. The findings revealed that the over-simulation of the entry cushion effect of the scaled-down model and dynamic pressure in the normal compression environment led to inaccurate prediction of the full-scale prototype. The prediction results improved in the reduced compression environment than in the normal compression environment. However, the cavitation effect was over-simulated and the dynamic pressure was weakened. In contrast, the hypergravity environment enables the simulation of solid and fluid inertia to the same extent, satisfying the scaled-down model for full prediction of the prototype water entry cavity evolution and impact loads.</t>
  </si>
  <si>
    <t>Liu, Pengtao; Wang, Xiaopeng; Wang, Yongquan; Mao, Feiran</t>
  </si>
  <si>
    <t>Research on coupling distorted similitude method of coupled cylindrical–conical shells</t>
  </si>
  <si>
    <t>10.1016/j.tws.2022.109734</t>
  </si>
  <si>
    <t>Complete similitude and distorted similitude are widely used in the experimental verification of large equipment structures. However, the existing similitude studies have only a single distorted factor and insufficient prediction accuracy. And the coupled shells cannot be scaled down for experimental verification due to the limitation of wall thickness. Aiming at solving the above problems, a new method of distorted similitude for coupling scaling laws is proposed. The coupling distorted scaling laws and the complete scaling laws of coupled cylindrical–conical shells are established to study the bending mode natural frequency. The predictive performance of different distorted factors on prototype characteristics is investigated. The simulation results show that the prediction errors of the coupling distorted scaling laws established by this method for the prototype natural frequency are less than 0.32%. Experimental results show the proposed method can predict the bending mode natural frequency of the prototype, and its error is within ±1%. The method proposed in this paper has less simulation calculation and high precision, and can be extended to more complex thin-walled structures.</t>
  </si>
  <si>
    <t>Martín-Alcántara, Antonio; Aranda-Hidalgo, José Luis; Jiménez-Solano, Alberto; Sarsa-Rubio, Antonio J.</t>
  </si>
  <si>
    <t>Analysis and design of an inverted oscillating water column for energy storage under choked flow conditions</t>
  </si>
  <si>
    <t>10.1016/j.energy.2023.129356</t>
  </si>
  <si>
    <t>A novel idealised system based on an inverted, oscillating water column (iOWC) immersed in a mass of water as a potential mechanism for energy storage has been investigated. The system consists of a cylindrical tube separated by a moving disc, dividing the device into two chambers. One chamber contains air and the other water. During the discharge, water enters and contributes to the compression of the air enclosed in the lower chamber. Simultaneously, the compressed air exits the iOWC, ideally at atmospheric choked conditions. The device has been conceived for the energy storage during low-price periods, and for the recovery (e.g. through a low-pressure gas turbine) during peak-pricing hours. The performance the iOWC has been examined for two main design parameters, namely the aspect ratio Λ and of the nondimensional size of the outlet orifice δ. It has been concluded that Λ=16.5 and δ=0.0044 might be a realistic configuration for the practical implementation because (i) the gas is choked at the exit orifice, and (ii) the iOWC’s performance is stable (with relatively small oscillations). Additionally, a thermal study analysing the gas temperature has been conducted. Approximate theoretical solutions for the variables in study have been provided.</t>
  </si>
  <si>
    <t>Li, Hujun; Wu, Hongxiao; Wang, Zhen; Zhang, Guokai; Li, Jie; Zhou, Hang; Wang, Mingyang; He, Yong</t>
  </si>
  <si>
    <t>Experimental and numerical simulation of the propagation law of shock waves in corrugated steel-lined tunnels</t>
  </si>
  <si>
    <t>10.1016/j.psep.2022.10.051</t>
  </si>
  <si>
    <t>Corrugated steel support structures are widely used in engineering tunnels owing to their rapid construction and high bearing performance, allowing for the complex propagation of shock waves. To clarify the propagation law of shock waves in a corrugated steel tunnel with interior lining, a 30-m-long straight tunnel was built to explore the propagation of an explosion shock wave, and three different tunnel inner walls were designed, namely, a concrete inner wall and two types of corrugated steel linings. Based on the data on the monitored shock wave, the propagation law of shock waves in the tunnel was obtained, and the influence of corrugated steel linings on the shock waves was analyzed. A finite element model of the channel was established to verify the results of experiment and determine the model and related parameters. This model was also used to perform a numerical simulation of explosion shock wave propagation in corrugated steel-lined tunnels of various sizes. Based on the experimental and numerical simulation results, a prediction model of shock wave overpressure in corrugated steel-lined tunnels was obtained. Research showed that the shock-wave energy of wavefronts near walls was diverted, the formation and propagation of waves reflected from walls was affected by corrugated steel linings, which effectively improved the attenuation efficiency of shock waves in tunnels.</t>
  </si>
  <si>
    <t>Zarrabi, Navid; Moghim, Mohammad Navid; Eftekhar, Mohammad Reza</t>
  </si>
  <si>
    <t>A semi-analytical study of fiber reinforced concrete abrasion-erosion through water-borne sand-jet flow in hydraulic structures</t>
  </si>
  <si>
    <t>10.1016/j.triboint.2023.108568</t>
  </si>
  <si>
    <t>In this study, a simple physical concept is introduced and used to develop a semi-analytical equation for estimating maximum abrasion depth in concrete subjected to a sand-containing water jet flow. Besides, momentum and friction equations in fluid mechanics are employed to develop the proposed equation. For this purpose, certain flow parameters at the impact point of the jet flow are required. In the absence of laboratory equipment for studying air-water two-phase flow characteristics at the impact point, a numerical simulation was implemented using the FLOW-3D software. The semi-analytical equation thus obtained is found capable of estimating abrasion depth in concrete specimens.</t>
  </si>
  <si>
    <t>Mukherjee, Sayantan; Wciślik, Sylwia; Chandra Mishra, Purna; Chaudhuri, Paritosh</t>
  </si>
  <si>
    <t>Nanofluids: Critical issues, economics and sustainability perspectives</t>
  </si>
  <si>
    <t>Particuology</t>
  </si>
  <si>
    <t>10.1016/j.partic.2023.06.021</t>
  </si>
  <si>
    <t>According to the Scopus database, every year several hundreds of new research papers are published in the field of nanofluids. This area is attracting growing attention because of the significant improvement in the heat transfer and energy efficiency of the systems working with nanofluids. However, as results from numerous scientific studies conducted by independent laboratories, there are several fundamental problems related to the unambiguous determination of their physical properties, their production, and economic use. Although most studies often focus on one issue or cover one kind of research or mathematical correlation, this review paper provides insights into many problems during nanofluids research by proposing solving possibilities, which is the strength of our work. The paper discusses the case of nanofluids quality, and morphology, thermal conductivity enhancement and the discrepancies in mathematical modelling, errors in dimensional and similarity analysis, nanofluid erosion, safety guidelines, and toxicology tips. Moreover, the sustainability and economics of nanofluids usage are also being discussed.</t>
  </si>
  <si>
    <t>Lischka, Clemens; Gerl, Stefan; Kappes, Jasmin; Chauhan, Anshuman; Nirschl, Hermann</t>
  </si>
  <si>
    <t>Experimental &amp; simulative assessment of mixing quality for dry Li-Ion cathode production in an Eirich intensive mixer</t>
  </si>
  <si>
    <t>10.1016/j.powtec.2023.119072</t>
  </si>
  <si>
    <t>We investigated the possibility to characterize the dry-mixing in Li-Ion battery production by a simple quality parameter, the bulk density. We present a dimensionless number that allows to calculate the bulk density of the mixture in dependence on mixing parameters. Suitability of the dry powders for cell production was investigated with electrical conductivity measurements. The highest powder conductivity of 1 S/m was measured for the highest mixing tool velocity of 25 m/s after a mixing time of 4000 mixing tool revolutions in the EL0.1 mixing vessel. This indicates that high energy mixing for a short mixing time can result in a beneficial electrical conductivity in the bulk. Longer mixing times generally led to lower powder conductivities for all investigated mixing tool speeds between 5 m/s and 25 m/s in both mixing vessels. The experimental results were incorporated into a DEM simulation model and analyzed further.</t>
  </si>
  <si>
    <t>Xu, Ying; Zhang, Yumeng; Yuan, Chao; Wei, Chuanshun; Li, Tao</t>
  </si>
  <si>
    <t>Measurement method of wet gas two-phase flow rate based on the main frequency and the modulus of vector acceleration of swirl flowmeter</t>
  </si>
  <si>
    <t>10.1016/j.measurement.2023.113539</t>
  </si>
  <si>
    <t>The swirl flowmeter is widely used in the wellhead measurement of low-permeability gas fields in China. In this study, the MEMS three-axis acceleration sensor (MEMS-TAAS) replaced the traditional piezoelectric sensor to distinguish the frequency signal from the interference noise. Based on the MEMS-TAAS, the vector acceleration signals of swirl flowmeter were acquired and analyzed simultaneously with the precession frequency signals to establish a wet gas two-phase flow measurement model. The method of establishing a liquid volume fraction prediction model based on the vector acceleration modulus parameter was pioneered. Finally, a dual-parameter wet gas measuring method under normal pressure was constructed using an iteration algorithm. The results demonstrate that this model’s relative errors are acceptable. This method effectively provides further development thought for swirl flowmeter which can achieve the accurate prediction of two-phase flow using only one swirl meter with a MEMS-TAAS, without the need for other flow meters or differential pressure sensors, especially for the low-liquid-fraction wet gas.</t>
  </si>
  <si>
    <t>Mateus, Rafaela; Pereira, José M.C.; Pinto, Armando</t>
  </si>
  <si>
    <t>Natural ventilation of large air masses: Experimental and numerical techniques review</t>
  </si>
  <si>
    <t>10.1016/j.enbuild.2023.113120</t>
  </si>
  <si>
    <t>Natural Ventilation (NV) contributes to the energy performance and Indoor Air Quality (IAQ) of existing buildings and Nearly Zero Energy Buildings (NZEB). To predict and validate the airflow rates and patterns of airflow inside buildings, studies have been investigating the different methods, techniques, and tools to evaluate ventilation performance. However, few studies have investigated the experimental methodology in full-scale models and/or in-situ to validate Computational Fluid Dynamics (CFD) models for large air masses. This study aims to review the experimental methodologies applied to study the natural ventilation of large air masses and techniques used for the validation of CFD models. This study is supported by a scientific repository and compares the variables, methodologies and simplifications applied in the study by NV of large air masses and normal air masses since studies of large spaces are scarce and therefore studies of normal spaces can provide reasonable indicators to consider. In the experimentation mostly no patterns and direct relationships were identified between parameters, dimensions, and studies. In the simulation, a greater agreement was observed in the formulation of the models, however, it was concluded that the definition of boundary conditions and the validation process is typically dependent on the complementary experimentation process. Some perceptions, conclusions and suggestions were provided to assist the study of large air masses, through the reliability of the validation of the CFD models.</t>
  </si>
  <si>
    <t>Raeisi, Fariba; Kabiri-Samani, Abdorreza</t>
  </si>
  <si>
    <t>Hydraulic characteristics of flow at grid drop-type dissipators with the upstream supercritical approach flow</t>
  </si>
  <si>
    <t>10.1016/j.flowmeasinst.2023.102426</t>
  </si>
  <si>
    <t>Through installing a grid drop-type dissipator at the edge of the vertical drops with an upstream supercritical approach flow, the present study investigates hydraulic characteristics of flow up- and downstream of the drop, based on model experimentation. Experiments were conducted on three different drop heights, considering eight different grid drop-type dissipators with certain grids dimensions. Results demonstrate that assembling this type of dissipator at the edge of a vertical drop increases the rate of energy dissipation up to about 70%, compared to a plain vertical drop. Owing to the increase in flow momentum and the falling jets’ collision with bottom of the downstream channel, for a given flow discharge, while the porosity of the grid drop-type dissipator is increased, the wetted length of the dissipator and the energy dissipation decrease; however, the length and depth of the pool at the drop base increase. The relative length of the pool is significantly affected by air entrainment, caused by the spaces between the separated falling jets. By increasing flow discharge, pressure fluctuations decrease and trend of the variation of average pressure becomes smoother. Although the former researchers reported a hydraulic jump downstream of the grid drop-type dissipators with an upstream subcritical approach flow, it was not the case in some tests of the present study with an upstream supercritical approach flow. Finally, based on statistical and error analyses, empirical relationships were derived to predict the flow hydraulic characteristics, to be used by design engineers in practice.</t>
  </si>
  <si>
    <t>Wu, Zhenggang; Cai, Wenxiang; Zhang, Tao; Chen, Xiong; Li, Weixuan</t>
  </si>
  <si>
    <t>An improved model for predicting dynamic total pressure distortion</t>
  </si>
  <si>
    <t>10.1016/j.ast.2022.107932</t>
  </si>
  <si>
    <t>In order to accurately predict the dynamic total pressure distortion produced by crescent baffle distortion simulator in its practical application, an improved turbulence correlation model is proposed in this paper. Several turbulence parameters from CFD solution are correlated with the measured turbulence via the improved model. Back-propagation artificial neural network (BP ANN) is used to find the correlation and establish a turbulence prediction model. Dynamic distortion intensity is represented by the predicted turbulence. The results show that dynamic distortion indexes predicted by the improved model are more accurate, with a maximum error of 7.72%. Finally, the dynamic distortion flow field of crescent baffle distortion simulator is predicted by applying the established prediction model. Analysis of dynamic distortion characteristics provides important guidance for the application of crescent baffle distortion simulator.</t>
  </si>
  <si>
    <t>Wu, Tingyao; Jiang, Nan; Zhou, Chuanbo; Luo, Xuedong; Li, Haibo; Xia, Yuqing</t>
  </si>
  <si>
    <t>Dynamic response and safety assessment of buried gas pipe subjected to ground surface explosion</t>
  </si>
  <si>
    <t>International Journal of Pressure Vessels and Piping</t>
  </si>
  <si>
    <t>10.1016/j.ijpvp.2021.104527</t>
  </si>
  <si>
    <t>Dynamic response of buried gas pipe subjected to the ground explosion is an important issue for the safety assessment of pipe. In this paper, the explosion tests of the full-scale model and 3D numerical models were employed to evaluate the dynamic response characteristics of the ground particles and the pipe. Meanwhile, parametric analysis was conducted to discuss the effects of different types of parameters for explosion source and pipe on the buried gas pipe's peak particle stress (PPS). Meanwhile, combined with the dynamic stress yield criterion of the pipe, the control standard of explosive charge under the action of the ground explosive load is obtained to prevent the damage of pipelines in different buried depths. The results showed that during third-party blasting operations, the internal pressure of the pipe should be reduced to better protect the pipe from damage, and attention should be paid to the velocity in the Y-direction of the pipe and the ground surface. Meanwhile, more attention should be paid to the safety protection of the buried pipe close to the interface between rock and soil.</t>
  </si>
  <si>
    <t>Medina, S.A.; González, E.V.; Blanco, N.</t>
  </si>
  <si>
    <t>Transition time threshold for Double Cantilever Beam specimens under high loading rates</t>
  </si>
  <si>
    <t>10.1016/j.engfracmech.2021.107754</t>
  </si>
  <si>
    <t>Inertial force effects complicate the determination of the mode I interlaminar fracture toughness under high loading rates in composites. Although using a quasi-static analysis is a common approach, it is not always valid. A time-based threshold criterion is proposed to determine when dynamic effects might be neglected during the analysis of a high loading rate Double Cantilever Beam test. The criterion compares a transition time, time after which inertia effects can be neglected, versus the time for the initiation of fracture propagation. Three different methods are considered for the transition time. Good agreement is found when comparing the expressions with numerical simulations. It is also demonstrated that the transition time is affected by the velocity profile. The proposed criterion and approach to determine the transition time are useful tools to define when a quasi-static data-reduction scheme can be used.</t>
  </si>
  <si>
    <t>Hou, Duo; Zhang, Zhi; Geng, Yanan; Yue, Jiaping; Wu, Zhiqiang</t>
  </si>
  <si>
    <t>Study on channeling-leakage pressure of casing-cement sheath-stratum assembly in thermal recovery wells</t>
  </si>
  <si>
    <t>10.1016/j.fuel.2023.129592</t>
  </si>
  <si>
    <t>The main purpose of the article is to study the critical leakage pressure of the casing cement sheath stratum assembly for cyclic alternating thermal effect in the thermal recovery wells, to provide technical measures for sealing integrity of thermal recovery wells. To achieve those objectives, a device for evaluating the sealing integrity of casing-cement sheath-stratum assembly in a high-temperature, high-pressure cyclic alternating environment is established in this paper due to wellbore safety risks of offshore thermal recovery directional wells, such as wellbore fluid channeling-leakage and sustained annular pressure caused by the alternating thermal effect of multi-round steam huff and puff. The device is adopted to simulate two working conditions: low-temperature production at 50 ℃ and ultra-high temperature curing at 350℃. The channeling-leakage curves of different gas-sealing pressures at cementing interfaces I and II are measured to obtain the critical channeling leakage pressure of the assembly. The influence rules of cyclic alternating thermal effect on the microstructure and pore characteristics of cement sheath are analyzed using industrial CT scanning technology. The study clarifies the equivalent diameter of pores inside the cement sheath and the dimensional variation of cracks. Moreover, the mechanism of cementing interface damage is revealed, and the wellbore’s sealing integrity failure under cyclic alternating thermal effect acting on thermal recovery wells is investigated. Technical measures are proposed to improve the wellbore’s sealing integrity of thermal recovery wells from three aspects: elastic-plastic parameters design of cement sheath, elastic-specific work optimization, and control of wellbore critical temperature and pressure. Thus, theoretical basis and technical support are provided for ensuring the wellbore’s entire-life sealing integrity of offshore thermal recovery wells.</t>
  </si>
  <si>
    <t>Ahi, Oğulcan; Ertunç, Özgür; Bundur, Zeynep Başaran; Bebek, Özkan</t>
  </si>
  <si>
    <t>Automated flow rate control of extrusion for 3D concrete printing incorporating rheological parameters</t>
  </si>
  <si>
    <t>10.1016/j.autcon.2024.105319</t>
  </si>
  <si>
    <t>The use of inline quality assessment technologies is of great importance in meeting the consistent extrusion requirements of 3D concrete printing (3DCP) applications. This paper presents a system to regulate extrusion speed and maintain the flow rate at a target value during 3DCP processes. The system is based on a new equation that combines printing parameters and the material’s rheological properties in the printing process. The proposed control strategy is designed to effectively function with various cement-based mixtures. Validation tests demonstrate that the proposed system can maintain an instantaneous flow rate within a certain range and eventually achieve a constant flow rate. During operation, the flow rate is consistently maintained around the targeted value with an average error rate of 6.7 percent. The flow rate control mechanism shows promise as a reliable and efficient solution for achieving precise and constant flow rates, regardless of the cement mix design used.</t>
  </si>
  <si>
    <t>Nerattini, Alessia; Pizzoli, Marco; Martinez-Carrascal, Jon; Saltari, Francesco; González-Gutiérrez, Leo Miguel; Mastroddi, Franco</t>
  </si>
  <si>
    <t>Loads-based optimal fuel-usage strategy by using a neural-network-based reduced-order model for vertical sloshing</t>
  </si>
  <si>
    <t>10.1016/j.ast.2024.109408</t>
  </si>
  <si>
    <t>This paper explores methods to reduce aircraft design loads through an optimal fuel usage strategy, which maximises the beneficial effects of wing-tank sloshing-induced damping. A reduced-order neural network models the nonlinear sloshing behaviour in various tank fill level scenarios. Integrated into an aeroelastic framework, this model allows for the assessment of incremental sloshing-induced damping in gust response of wings. The optimised fuel usage strategy enables control of fuel consumption from each individual tank to provide maximisation of load alleviation.</t>
  </si>
  <si>
    <t>Haase, S.</t>
  </si>
  <si>
    <t>Characterisation of gas-liquid two-phase flow in minichannels with co-flowing fluid injection inside the channel, part II: gas bubble and liquid slug lengths, film thickness, and void fraction within Taylor flow</t>
  </si>
  <si>
    <t>10.1016/j.ijmultiphaseflow.2016.09.002</t>
  </si>
  <si>
    <t>Current research proofs the potential of apparatuses containing minichannel flow structures to intensify gas-liquid-solid contacting processes. The excellent heat and mass transfer in these devices as well as a sharp RTD mainly result from the Taylor flow regime. A proper design of corresponding contactors requires precise information on the provided interfacial areas. However, the characterisation of gas-liquid Taylor flow with industrially relevant fluids at elevated pressure and created by capillary injection devices gained little attention so far. This work analyses adiabatic gas-liquid Taylor flow in a square minichannel of 1.0mm hydraulic diameter using water, water-glycerol, or water-ethanol mixtures as liquid phase and hydrogen or nitrogen as gas phase to cover a broad range of material parameters. In the mixing zone located within the flow channel, gas was injected into the co-flowing liquid by so-called capillary injectors with variable inner diameter (0.184, 0.317, 0.490mm). Two different bubble forming mechanisms were identified leading to a complex interaction between physical properties of the fluids, geometrical parameters and the observed gas bubble and liquid slug lengths. According to the Pi-theorem, these lengths were affected by 6 dimensionless groups, namely (uG,s/ uL,s), ReL, WeL, (dIn,CI/ dh), (dOu,CI / dh), and Θ*. Based on more than 370 experimental data, novel correlations to predict gas bubble and liquid slug lengths were developed.</t>
  </si>
  <si>
    <t>Hu, Jun; Kang, Yanming; Lu, Yihang; Yu, Jia; Zhong, Ke</t>
  </si>
  <si>
    <t>Simplified models for predicting thermal stratification in impinging jet ventilation rooms using multiple regression analysis</t>
  </si>
  <si>
    <t>10.1016/j.buildenv.2021.108311</t>
  </si>
  <si>
    <t>Inappropriate thermal stratification characteristics can degrade the ventilation performance of impinging jet ventilation (IJV). In the present study, an analysis method using dimensionless parameters is proposed for predicting the thermal stratification, and the Box-Behnken design method is employed to determine the simulation cases of inﬂuencing factors for thermal stratification. The thermal performance in IJV cooling room is investigated by computational fluid dynamics (ANSYS Fluent), and the effects of supply air parameters, inlet area (S*) and height (h*) on thermal stratification are discussed, respectively. A further supply air parameter is represented by the thermal length scale (Lm), which is applied to evaluate the combined effect of inertial force and thermal buoyancy on supply airflow. The results show that the driving force on supply airflow changes from buoyancy dominated to inertial dominated with increasing Lm, leading to the thermal stratification profiles changing from thermal stratification to uniform distribution. For small Lm, the thermal stratification profiles are similar for different inlet areas, while the dimensionless air temperature decreases with increasing inlet area. However, the larger inlet area promotes a more uniform temperature distribution for large Lm. In addition, the thermal stratiﬁcation profiles are similar regardless of the inlet height for both small and large Lm conditions, indicating that the dimensionless air temperature is a weak function of inlet height. Finally, multiple regression models related to Lm, S* and h* are developed for predicting the thermal stratification, which can provide a reference basis for the determination of temperature distribution in IJV cooling rooms.</t>
  </si>
  <si>
    <t>Luo, Yantao; Sun, Jing; Cammi, Antonio; Wang, Xiang</t>
  </si>
  <si>
    <t>Dimensional comparable numerical analysis of the thermal stratification in the lead-cooled experimental facility CLEAR-S</t>
  </si>
  <si>
    <t>10.1016/j.pnucene.2024.105084</t>
  </si>
  <si>
    <t>A numerical analysis was conducted to investigate the thermal stratification within the CLEAR-S facility, employing both two-dimensional (2D) and three-dimensional (3D) models through the utilization of the commercial code STAR-CCM+. The primary objective of this study was to explore the influence of dimensionality and assess the potential of replacing the computationally intensive 3D model with a more efficient 2D model. Additionally, porous media were employed to simulate various components, including the core simulator, heat exchanger, pump, and decay heat removal systems. Initially, a steady-state calculation was performed, involving a comprehensive series of sensitivity analyses on mesh parameters, wall properties, and turbulent models. Furthermore, three distinct mass flow rates, namely 100%, 50%, and 25%, were investigated. Subsequently, transient simulations were carried out, considering different time step sizes and geometry scales. Notably, forced and natural circulations were examined, encompassing scenarios that involved the loss of mass flow and circulation height. The obtained results demonstrated the presence of thermal stratification within the cold pool (CP) for both the 2D and 3D models in steady-state and transient simulations. However, the temperature distribution within the hot pool (HP) exhibited significant disparities between the 2D and 3D models. Meanwhile, the Richardson number difference between two models indicated that the 2D model is capable, but difficult to accurately represent the thermal stratification of the 3D model. One prominent reason was that the relative concentration of hot lead-bismuth eutectic within the HP was relatively lower in the 2D model compared to that in the CP, which deviated from the proportions observed in the 3D model.</t>
  </si>
  <si>
    <t>Yang, Yue-Tzu; Wang, Yi-Hsien; Chen, Ke-Wei</t>
  </si>
  <si>
    <t>Numerical optimization of gas diffusion layer with a wavy channel</t>
  </si>
  <si>
    <t>10.1016/j.icheatmasstransfer.2014.01.013</t>
  </si>
  <si>
    <t>In this study, the multi-parameter constrained optimization procedure integrating the design of experiments (DOE), full factorial experimental design (FFED), genetic algorithm (GA) and computational fluid dynamics (CFD) are proposed to design a gas diffusion layer (GDL) linked to a wavy channel. The Forchheimer–Brinkman extended Darcy model and two-equation energy model are adopted to describe the fluid flow and heat transfer characteristics in the porous media. Numerical computations are performed with a wavy channel for the parameters studied. That is, Reynolds number (Re), wave amplitude (α), wave number (β) and gas diffusion layer porosity (ε) in the range of 200≤Re≤1000, 0.1≤α≤0.3, 2≤β≤10, 0.4≤ε≤0.5, respectively. The interactive effects of Re, α, β, and ε on the local Nusselt number (Nu) and the average Nusselt number (Nu¯) are discussed in this study. The results show that computations of local and average Nusselt numbers within the wavy channel are enhanced compared to the straight channel. In addition, the optimization of this problem is also presented by using a full factorial experimental design and the genetic algorithm (GA) method. The objective function defined as thermal performance factor (TPF) has developed a correlation function with three design parameters. That is, wave amplitude α, wave number β and gas diffusion layer porosity ε. The results show that the thermal performance factor (TPF) prediction can be approached under the maximum error of 6.2% from the present regression model, which is compared with CFD results.</t>
  </si>
  <si>
    <t>Han, Yafeng; Liu, Xinrong; Zhou, Xiaohan; Deng, Zhiyun; Wang, Zhonghao; Lai, Guoshen; Zhang, Gang</t>
  </si>
  <si>
    <t>Experimental study on the progressive failure behaviour of shallow tunnel-type anchorage in soft-rock strata using digital image correlation</t>
  </si>
  <si>
    <t>10.1016/j.measurement.2022.112220</t>
  </si>
  <si>
    <t>The instability of shallow tunnel-type anchorages (TTAs) installed in soft-rock strata is a progressive process; however, these have not been completely investigated. Hence, in this study, the pullout behaviours and crack-propagation characteristics of TTAs are investigated using the digital image correlation (DIC) technique. Digital images of the anchorage are captured during an experiment and are processed using the DIC to obtain the surrounding-rock deformation fields. Subsequently, the TTA pullout performance and the mechanical response of surrounding rock are analysed, and propagation of cracks in different load-bearing stages of the TTA are investigated. The results show that TTA failure gradually changed from single failure of rock mass to dual failure of rock mass and interface slip and debonding. Losing of bearing capacity of TTAs is caused by the continuous propagation of cracks, leading to the weakening of the clamping effect of rock mass and deteriorating of the shear capacity of interface.</t>
  </si>
  <si>
    <t>Wang, Longlong; Liu, Fuhao; Song, Zhansheng; Ni, Yunlong; He, Zhizhu; Zhai, Zhiqiang; Zhu, Zhongxiang; Zhou, Quan; Song, Zhenghe; Li, Zhen</t>
  </si>
  <si>
    <t>Advances in tractor rollover and stability control: Implications for off-road driving safety</t>
  </si>
  <si>
    <t>10.1016/j.compag.2024.109483</t>
  </si>
  <si>
    <t>Off-road vehicles undertake various tasks in complex road environments. Rollover accidents involving these vehicles, accompanied by intense impacts, pose severe threats to both driver safety and equipment integrity. This paper focuses on agricultural tractors operating in intricate terrain conditions and on roads with varying surface roughness, providing a comprehensive review of the rollover and stability control methods for such vehicles. Initially, a detailed summary of kinematic and dynamic models related to tractor lateral stability is provided. After discussing safety classification and lateral stability indices, emerging passive protection and active prevention methods are extensively analyzed, including various rollover protective structures (ROPS), stability monitoring, rollover warning, and active attitude and stability control technologies. Subsequently, considering the safety hazards of off-road testing, this paper summarizes specific simulation and experimental methods to provide reliable guidance for investigating lateral stability control in off-road vehicles. Finally, it further discusses the challenges faced by passive and active safety control methods and provides recommendations for future work.</t>
  </si>
  <si>
    <t>Lychnos, G.; Davies, P.A.</t>
  </si>
  <si>
    <t>Modelling and experimental verification of a solar-powered liquid desiccant cooling system for greenhouse food production in hot climates</t>
  </si>
  <si>
    <t>10.1016/j.energy.2012.02.021</t>
  </si>
  <si>
    <t>Experiments and theoretical modelling have been carried out to predict the performance of a solar-powered liquid desiccant cooling system for greenhouses. We have tested two components of the system in the laboratory using MgCl2 desiccant: (i) a regenerator which was tested under a solar simulator and (ii) a desiccator which was installed in a test duct. Theoretical models have been developed for both regenerator and desiccator and gave good agreement with the experiments. The verified computer model is used to predict the performance of the whole system during the hot summer months in Mumbai, Chittagong, Muscat, Messina and Havana. Taking examples of temperate, sub-tropical, tropical and heat-tolerant tropical crops (lettuce, soya bean, tomato and cucumber respectively) we estimate the extensions in growing seasons enabled by the system. Compared to conventional evaporative cooling, the desiccant system lowers average daily maximum temperatures in the hot season by 5.5–7.5 °C, sufficient to maintain viable growing conditions for lettuce throughout the year. In the case of tomato, cucumber and soya bean the system enables optimal cultivation through most summer months. It is concluded that the concept is technically viable and deserves testing by means of a pilot installation at an appropriate location.</t>
  </si>
  <si>
    <t>Starrantino, Andrew; McCarley, Ken; Mohammad, Sayeed; Cai, Tony; Aichele, Clint</t>
  </si>
  <si>
    <t>The influence of physical properties on structured packing HETP correlations</t>
  </si>
  <si>
    <t>10.1016/j.cherd.2023.02.040</t>
  </si>
  <si>
    <t>This study focuses on the impact of physical properties on structured packing HETP correlations in the literature. A model derived from inadequate HETP data will not only cause inaccurate correlations but will also impact the relationship between specific physical properties and the model’s predicted HETP. The correlations included in this study were Gualito (1997), Billet and Schultes (1999), Aspen (2012), Delft (2014), and Song (2018). A sensitivity analysis was conducted to determine the effect of physical properties on the predicted HETP from the above models. Results indicated that the observed relationship between liquid viscosity and predicted HETP did not show expected trends in the Gualito and Billet and Schultes correlations. A Monte Carlo analysis was performed to quantify uncertainty in the HETP model predictions due to expected variability in physical property data. Experimental HETP data utilized for this study represented pressures ranging from 0.13 to 27.6 bara.</t>
  </si>
  <si>
    <t>Steck, Michael; Gwosch, Thomas; Matthiesen, Sven</t>
  </si>
  <si>
    <t>Compensation of mass-based effects in component scaling on a hardware-in-the-loop test bench by virtual inertia</t>
  </si>
  <si>
    <t>Mechatronics</t>
  </si>
  <si>
    <t>10.1016/j.mechatronics.2021.102622</t>
  </si>
  <si>
    <t>X-in-the Loop (XiL) enables component tests concerning the remaining system to support early validation in the context of frontloading. The system under test is connected with the physical or virtual remaining system. The performance variables of the bidirectional interactions must be adapted to the prototype, especially for testing a scaled prototype integrated into a remaining system. By applying a scaling, the bidirectional interactions between the test object and the remaining system can be considered in a scaled way. It is currently unclear how mass-based effects can be considered in the scaling model to reflect the behavior of unscaled systems. In this paper, the influence of mass-based effects on the adaptation of rotational quantities between interconnected systems is analyzed and compensated by virtual inertias to allow scaled component tests considering the remaining system. Using the example of a torque limiting clutch from a geared rotary actuator out of an aircraft, the influences of the rotational inertia of the drive shaft on the scaling are analyzed in a simulation study. The simulation shows an influence of the rotational inertia on the scaling and the system behavior if these effects are not considered in the scaling. The determining influence is taken into account in the scaling laws using adapted scaling laws by the integration of virtual inertia within the scaling. The results show that virtual inertia can be added to the scaling model to reflect mass-based effects in behavior. This enables simultaneous testing of powertrain components with different scaling in real-time.</t>
  </si>
  <si>
    <t>Wu, Fu-Wei; Li, Yuan-Qi</t>
  </si>
  <si>
    <t>Large-scale shaking table tests of a six-story floor-by-floor assembled CFS frame-framing shear wall structure</t>
  </si>
  <si>
    <t>10.1016/j.engstruct.2023.116608</t>
  </si>
  <si>
    <t>To study the seismic performance of a proposed multi-story floor-by-floor assembled structure using cold-formed steel (CFS) frame with square columns and double-channel beams connected by novel joints, and CFS framing walls as shear walls, shake table tests were conducted on a 2:3 scaled six-story CFS frame-framing shear wall structure (CFSF-FSWS) using bidirectional seismic inputs. A prefabricated concrete floor slab was proposed utilizing the channel section beams as the molds during prefabricating processes. The CFS framing shear walls were designed with various configurations researched before: framed or trussed skeleton, single or double side sheathing, flat or corrugated steel sheathing sheet. The observed damages, dynamic properties, seismic responses and failure mechanisms of the CFSF-FSWS under different peak ground accelerations (PGAs) were analyzed. The CFS frame carried gravity load, and the horizontal earthquakes were mainly resisted by CFS framing shear walls. The results indicated a good deformation capacity and seismic performance of the CFSF-FSWS building. The damping ratio of the test model gradually increased with the accumulation of damage, varying between 3.30%∼6.95%. After all seismic loading, the CFS frame remained intact and the damages were concentrated on the CFS framing shear walls, achieving the design objective of “separated gravity and lateral resisting systems”.</t>
  </si>
  <si>
    <t>Pakpia, Jongsak; Aimmanee, Sontipee; Daud, Witchuda; Olarnrithinun, Sutee</t>
  </si>
  <si>
    <t>Elasticity and stability of corrugated conical shells with diverse orthotropy</t>
  </si>
  <si>
    <t>10.1016/j.ijmecsci.2023.108724</t>
  </si>
  <si>
    <t>Curved thin-walled structures have attracted significant attention within engineering communities thanks to their remarkable properties, including high load-bearing capacity, tailorable directional stiffness, adaptability, and lightweight characteristics. The geometric intricacies of these structures not only influence their mechanical behavior but also provide a vast design space for exploring new frontiers in structural development. This study investigated a unique form of curved thin-walled structure, namely the corrugated annular conical shell, which exhibits diverse degrees of cylindrical orthotropy across various corrugation patterns. An analytical model was formulated based on the minimum total potential energy principle and first-order shear deformable shell theory to predict the non-monotonous force-deflection relationships and non-uniform stress distributions in corrugated conical shells when axially loaded under compression. Within this novel framework, the local undulation shape, corrugation pitch, and amplitude emerged as influential determinants of the responses of corrugated shells, intrinsically intertwined with the polar and shear orthotropy ratios. The accuracy of our analytical model was verified by comparing its results to those obtained using the finite element method and experimental measurements. A machine learning method was employed to classify the stability behaviors of corrugated annular conical shells and derive comprehensive design maps for the first time. Corrugated annular conical shells hold enticing potential for applications as adaptive spring units or building blocks for more sophisticated architectural metamaterials.</t>
  </si>
  <si>
    <t>Nassar, Karim; Mahmod, Wael Elham; Tawfik, Ahmed; Rageh, Osami; Negm, Abdelazim; Fath, Hassan</t>
  </si>
  <si>
    <t>Developing empirical formulas for assessing the hydrodynamic behaviour of serrated and slotted seawalls</t>
  </si>
  <si>
    <t>10.1016/j.oceaneng.2018.04.048</t>
  </si>
  <si>
    <t>This paper presents an experimental study on the hydrodynamic performance of seawalls in terms of wave reflection coefficient (Kr), relative wave run-up (Rup/Hi), and relative wave run-down (Rdown/Hi). Various experiments were carried out under monochromatic waves to test five non-traditional seawall setups; plane wall (PW), rectangular serrated wall (RSW), triangular serrated wall (TSW), slotted wall (SLW), and triangular serrated-slotted wall (TSLW). A thin-parallel solid wall with a water chamber width (D) was used on the leeward side of SLW and TSLW in order to preclude the wave transmission. RSW was found hydrodynamically superior as compared with TSW. The blocks spacing of RSW and TSW were hydrodynamically optimized at a value of 2.5 times the width of the block. Nevertheless, the hydrodynamic behaviour of both SLW and TSLW was optimal when the slots ratio was about 0.33, whilst the chamber width was about 0.25 of the incident wavelength. New empirical formulas were developed for understanding the hydrodynamic behaviour of the proposed seawalls using nonlinear regression analysis. These formulas were calibrated using SPSS based on the experimental results. The formulas were used to predict the hydrodynamic behaviour of both RSW and TSLW for El-Tinah Plain Bay in the North-East coast of Egypt.</t>
  </si>
  <si>
    <t>Tabassum, Reshma; Guguloth, Sai; Gondu, Venkata Ramana; Zakwan, Mohammad</t>
  </si>
  <si>
    <t>Scour depth dynamics in varied spacing spur dike configurations: A comprehensive analysis</t>
  </si>
  <si>
    <t>Physics and Chemistry of the Earth, Parts A/B/C</t>
  </si>
  <si>
    <t>10.1016/j.pce.2024.103638</t>
  </si>
  <si>
    <t>Spur dikes, vital for enhancing river ecosystem biodiversity, also contribute to the creation of intricate flow patterns and scour phenomena. In the context of existing research, which predominantly concentrates on single spur dikes, this study stands out by specifically delving into the temporal changes in scour depth near initial spur dike in multiple spur dikes. Varied spacings, lengths and flow velocities are considered in this exploration. After comprehensive literature analysis, it could be asserted that use of multiple spur dikes consistently results in shallower equilibrium scour depths compared to a single spur dike. The study introduces a predictive model by examining the impact of different influencing factors, including spacing, length, and flow velocity, on scour depth. The proposed equation establishes a robust correlation between the observed and estimated scour depth values. The study explores the temporal changes in scour depth, revealing that the time needed to arrive at equilibrium scour depth is drastically reduced when employing multiple spur dikes. Furthermore, the investigation highlights that in multiple spurs in series, the maximum equilibrium scour is lower compared to that in single spur dikes. The model, encompassing various parameters such as flow velocity, spacing, length, and time, demonstrates high predictive accuracy. Overall, this study provides valuable insights into the dynamic behaviour of scour at multiple spur dikes and offers a predictive tool for effective riverbank protection and ecosystem management. In doing so it contributes to the overarching aim of achieving Sustainable Development Goals (SDGs) in river management ecosystem preservation.</t>
  </si>
  <si>
    <t>Pai, Li fang; Wu, Hong gang; Guan, Wei; Wei, Hong; Tang, Lin</t>
  </si>
  <si>
    <t>Shaking table test for seismic optimization of soil slope reinforced by new EPS pile under earthquake</t>
  </si>
  <si>
    <t>10.1016/j.soildyn.2021.107140</t>
  </si>
  <si>
    <t>To explore the optimal seismic performance of new EPS pile, we carried out a series of shaking table test by comparing different pile types. We measured and obtained the seismic data with various attributes, such as the characteristic image of different probability horizontal seismic action, acceleration and dynamic soil pressure. By analyzing the time-domain characteristics of multi-attribute data such as deformation characteristics and acceleration, we revealed the instability mode of the slope model and the regional response characteristics of particle spatial position. Based on the Fast Fourier Transform (FFT) and Statistical Probability Sperm Matrix (SPSM), we proposed the damage level correlation between the spectral characteristics of acceleration and dynamic soil pressure. We obtained the relationship between the variation of the frequency and specific period between acceleration and dynamic soil pressure at different seismic stages through in-depth study, and then calculated the regional differences of spectrum displacement (Sd) by using Seism Signal. In the frequency domain of acceleration and dynamic soil pressure signals, the predominant frequencies were mostly concentrated in 0.5–8 Hz. Under high seismic acceleration, the amplitude frequency of acceleration spectrum of conventional pile and EPS pile was both 1.51 Hz, and the dominant frequency of dynamic soil pressure was significantly different. There was a positive correlation between seismic acceleration and dynamic soil pressure. The shift of frequency profile and main frequency band of EPS pile was mainly caused by the propagation stage after the acceleration main shock. Under high seismic acceleration, the deformation of EPS pile and conventional pile occurred to some extent. EPS plate was used as the damping layer to buffer and dissipated the deformation of the slope under earthquake, and its effect was linked to the seismic data attributes. The spectral displacement of EPS pile was reduced as a whole was higher than that of conventional pile. The slip surface of pile body was sensitive to earthquake, and it was easy to become the weak seismic link of the EPS pile. These results are helpful for us to provide a theoretical basis for improving the reliability optimization design of dynamic parameters of the pile structure.</t>
  </si>
  <si>
    <t>Afaridegan, Ehsan; Amanian, Nosratollah; Parsaie, Abbas; Gharehbaghi, Amin</t>
  </si>
  <si>
    <t>Hydraulic investigation of modified semi-cylindrical weirs</t>
  </si>
  <si>
    <t>10.1016/j.flowmeasinst.2023.102405</t>
  </si>
  <si>
    <t>The performance of semi-cylindrical weirs (SCWs) is evaluated and modified by considering a downstream ramp. Modified semi-cylindrical weirs (MSCWs) were constructed in 12 variations, with 4 different slopes (θ) and 3 radii (R), and were tested through laboratory experiments. Additionally, numerical studies were conducted to examine the performance of the MSCW models. The findings suggest that the θ significantly affects the hydraulic characteristics downstream of the MSCWs. In the traditional SCW (θ = 90°), the flow downstream of the weir is turbulent and irregular, and the flow depth increases with aeration. However, reducing θ decreases turbulence in the flow downstream of the weirs. The discharge coefficient (Cd) of the MSCWs is dependent on R (negative correlation) and independent of θ. When the ratio of the upstream flow depth (yup) to R changes from 0.306 to 1.36, the value of Cd varies within the range of 1.1–1.45. Examination of bed pressure distribution on the MSCW models reveals that reducing θ effectively controls the negative pressure on the crest surface.</t>
  </si>
  <si>
    <t>Nguyen, Van Bac; Seo, Junwon; Huh, Jungwon; Ahn, Jin-Hee; Haldar, Achintya</t>
  </si>
  <si>
    <t>Seismic response investigation of 1/20 scale container crane through shake table test and finite element analysis</t>
  </si>
  <si>
    <t>10.1016/j.oceaneng.2021.109266</t>
  </si>
  <si>
    <t>This paper summarizes all detailed results obtained from a series of shake table testings of a 1/20 scale container crane with friction and pin boundary conditions at the Seismic Research and Test Center in South Korea and compared them with those from its finite element analysis (FEA). The tested 1/20 scale container crane was initially designed based on the similitude laws with scaling factors proportional to the sectional properties and dynamic characteristics of a commonly used full-scale crane. To determine experimental natural frequencies of the tested crane, a white noise test was conducted on the shake table. Then, three different ground motions, including Manjil Iran Abbar, Nahanni Canada, and Mineral Virginia, were individually applied in a trolley-boom direction to the crane placed on the shake table to secure its seismic responses, especially for derailment, uplift and drift. A finite element model of the tested crane was also created using multi-frame elements available in commercially used FEA software and simulated to replicate the testing results. Key findings revealed that the effect of the boundary conditions did not significantly affect the mode shapes and frequencies of the tested crane, but the drifts of the crane with the friction boundary condition resulting from each of the ground motions changed substantially as compared to those from the crane with the pin boundary condition. The derailment displacement at the landside legs of the tested crane was also found to be 12.5 mm for the Manjil Iran and Nahanni Canada earthquakes and 11.5 mm for the Mineral Virginia earthquake. The results from the testing were, largely, in good agreement with those from the FEA.</t>
  </si>
  <si>
    <t>Francis, Sigil; Swain, Ashirbad</t>
  </si>
  <si>
    <t>Modelling and harnessing energy from flow-induced vibration, particularly VIV and galloping: An explicit review</t>
  </si>
  <si>
    <t>10.1016/j.oceaneng.2024.119290</t>
  </si>
  <si>
    <t>An extensive review on the numerical modelling of various flow-induced vibration (FIV) phenomenon and energy harvesting is systematically carried out in this paper. Apart from the experimental endeavours by several researchers, various modelling approaches have become crux in the study of flow-induced vibration (FIV) response of the bluff bodies with different geometries. Here, we have exclusively limited the complex FIV studies to vortex-induced vibration (VIV) and galloping. Primarily, the various computational methods adopted in the numerical modelling of FIV, particularly Reynolds averaged Navier-Stokes (RANS) modelling, direct numerical simulation (DNS) etc. are elucidated in detail while other approaches like detached eddy simulation (DES) and large eddy simulation (LES) are briefly discussed, followed by a concise review of experimental studies on this phenomenon. Secondly, the working principle and practical applications of these methodologies in harnessing energy from VIV and galloping are elaborately described. Furthermore, thriving technologies including vortex bladeless turbine and vortex-induced vibration aquatic clean energy (VIVACE) are succinctly summarized in this paper. The paper concludes with a note on the future prospects and research challenges in the area of modelling and energy capture of FIV.</t>
  </si>
  <si>
    <t>Cui, Ke; Pang, Xiaolong; Zhou, Zhiyong; Ren, Zhongqi</t>
  </si>
  <si>
    <t>Efficient capture of fine particulate matters by ultrasonic atomization</t>
  </si>
  <si>
    <t>10.1016/j.jece.2021.106307</t>
  </si>
  <si>
    <t>In order to achieve efficient capture of fine particulate matters (the aerodynamic equivalent diameter between 0.01 and 5 µm), fiber filter dust removal equipment was employed. Ultrasonic atomization technology was used to improve the existing filtration and dust removal performance. Numerical simulations on the factors that influence the dust removal efficiency were conducted. By combining simulation results with experimental results, a novel ultrasonic atomized dust removal system was developed. The droplet resisting the airstream in the front of the filter could significantly improve the dust removal efficiency by increasing the thickness of filter from 8 cm to 16 cm and filling rate from 6.49% to 18.91% at low dust concentration as 0.7 g/m3. The highest dust removal efficiency was up to nearly 100%. However, adjusting the thickness of filter and filling rate had little effect on the dust removal efficiency at high dust concentration as 7.0 g/m3. The optimal operation conditions with thickness of filter as 8 cm, adding mode a, filling rate as 9.36%, wind speed as 5.0 m/s and mass ratio of droplet to dust as 3.5 and 1.2 for dust concentration of 0.7 and 7.0 g/m3 were obtained. Sodium dodecyl sulfonate (SDS) was added as a surfactant to effectively enhance the agglomeration effect of fine particulate matters. In summary, the ultrasonic atomization technology performed well in terms of capturing fine particle matters and dust suppression.</t>
  </si>
  <si>
    <t>Li, Xueliang; Shaw, Ryan; Stevenson, Paul</t>
  </si>
  <si>
    <t>Effect of humidity on dynamic foam stability</t>
  </si>
  <si>
    <t>International Journal of Mineral Processing</t>
  </si>
  <si>
    <t>10.1016/j.minpro.2009.10.002</t>
  </si>
  <si>
    <t>It is experimentally shown that the stability of non-overflowing pneumatic foams, such as those used in the Bikerman foam stability test, is strongly dependent upon the gradient of humidity within the freeboard of the column. Growing foams can be prevented from exhibiting collapse, even at surfactant concentrations significantly lower than the critical micelle concentration, by saturating the air above the foam surface thereby preventing liquid evaporation. These observations have important implications for the performance of flotation devices, as well as instruments designed to measure the stability of aqueous foams. Meteorological data for two mining sites in Australia throughout a single year shows the variability of humidity, and therefore stability, of flotation froths.</t>
  </si>
  <si>
    <t>Huang, Wei-Zhi; Li, Bo; Feng, Xi-Qiao</t>
  </si>
  <si>
    <t>Micromechanical method for determining the effective surface elastic modulus of solids with surface microstructures</t>
  </si>
  <si>
    <t>Mechanics of Materials</t>
  </si>
  <si>
    <t>10.1016/j.mechmat.2021.104201</t>
  </si>
  <si>
    <t>The roughness or microstructures of natural and artificial materials significantly affect their surface properties. The performance of micro-sized materials and devices often exhibit a strong dependence on their surface elasticity, but it remains unclear how the surface elastic parameters can be theoretically predicted for rough solid surfaces. In this study, we establish a micromechanical method to determine the macroscopically effective surface elastic moduli of an elastic solid covered with surface microstructures. Both two- and three-dimensional explicit expressions are given to predict the effective surface elastic moduli in terms of the material and geometric parameters of surface microstructures and the bulk body. These solutions work well for a wide variety of geometric shapes of surface microstructures. This work can be used to analyze the mechanical properties of devices and structures with miniatured sizes and to help design advanced functional materials with, for example, quantum dots.</t>
  </si>
  <si>
    <t>Lin, Yu-Liang; Lu, Li; Chen, Xiao-Bin; Xue, Yuan; Wang, Zhi-meng</t>
  </si>
  <si>
    <t>Shaking table experiment on seismic response of a three-stage slope supported by anchoring lattice beam</t>
  </si>
  <si>
    <t>10.1016/j.soildyn.2024.109003</t>
  </si>
  <si>
    <t>Multi-stage anchoring lattice beam is widely used to support high slope in high earthquake intensity area, while the seismic behavior and interaction are not very clear. The previous studies mainly focused on a single-stage slope, while the analysis of multi-stage effect on the seismic response of anchoring lattice beam is lacking. Subsequently, a shaking table experiment was carried out to investigate the dynamic characteristics and seismic responses of a three-stage slope supported by an anchoring lattice beam. The displacement mode and the residual displacement are observed by Digital Image Correlation (DIC) technology. Kobe and Landers ground motions were input in shaking table test with an increasing order of shaking intensity. The original Kobe motion was applied at the last sequence to investigate the effect of frequency characteristic of ground motion. The results show that the acceleration response increases nonlinearly along the height of three-stage slope, and a reduction of acceleration response is observed at platform. The energy within a frequency band close to natural frequency of three-stage slope is especially amplified. The anchor takes more responsibility to resist the seismic loading, and decreases the earth pressure behind lattice beam. By setting multiple stages, the acceleration amplification and seismic earth pressure are reduced effectively. The intensity and the frequency characteristic of seismic motion affect the axial strain of anchor. The potential local failure and the frequency characteristic of seismic motion are suggested to be considered in seismic design.</t>
  </si>
  <si>
    <t>Bai, Yu; Zhang, Jin; Zhang, Xilin</t>
  </si>
  <si>
    <t>Scaling study on the fire resistance of cross-laminated timber floors</t>
  </si>
  <si>
    <t>10.1016/j.jobe.2024.108679</t>
  </si>
  <si>
    <t>Compared to full-scale prototype experiments in timber structures, the use of reduced scale models in fire tests significantly reduces research costs and operational difficulties, thus enhancing research efficiency. However, there has been limited research on the fire performance similarity of cross-laminated timber (CLT) components. In this study, the scaling relationships of fire resistances of CLT floors, including the similarity of out-of-plane bending performance and the similarity of fire resistance, were investigated. To assess compliance with static similarity criteria, out-of-plane bending tests were conducted on CLT floors with varying scales. Based on the similarity analysis of static loading test results, the influence of size effect on out-of-plane load-carrying capacity was analysed. Afterwards, the basic requirements for the similarity of fire resistance were studied, and the thermomechanical similarity criteria with size effect of CLT floors were derived. Fire tests designed by the proposed thermomechanical similarity criteria were performed on CLT floors with different scales. A numerical approach, including mechanical improved models with size effect and similar thermomechanical models, was developed to determine the fire response of CLT scale components and verify the thermomechanical similarity criteria. The test and numerical results demonstrated that the fire tests of CLT scale components designed using the proposed thermomechanical similarity criteria yielded similar fire resistances. Moreover, the presented results could be used as reference for the scaling fire design of CLT structures.</t>
  </si>
  <si>
    <t>Yuan, Yanan; Yao, Xuefeng; Niu, Kangmin; Liu, Bin; Wuyun, Qiqige</t>
  </si>
  <si>
    <t>Compressive failure of fiber reinforced polymer composites by imperfection</t>
  </si>
  <si>
    <t>Composites Part A: Applied Science and Manufacturing</t>
  </si>
  <si>
    <t>10.1016/j.compositesa.2018.12.017</t>
  </si>
  <si>
    <t>In this paper, the lateral disturbance (loading imperfection) is considered as another new external factor which causes compression instability of composite besides fiber misalignment (structure imperfection). Four typical stages of the unidirectional fiber reinforced polymer (FRP) composites compression instability are established: uniform compression, elastic instability, plastic deformation and plastic instability in which some suggestions on material performance that can be delayed for each stage propagation are given. Then, the compressive behaviors induced by loading and structure imperfection are compared regarding elastic and plastic buckle. In addition, the theoretical prediction model of compressive strength considering coupling influence of loading and structure imperfection has been proposed. Finally, the coupling theoretical prediction models has been verified by numerical calculation and experimental results which could provide new idea for solving low compressive strength of the FRP composite.</t>
  </si>
  <si>
    <t>Sheikh Khozani, Zohreh; Safari, Mir Jafar Sadegh; Danandeh Mehr, Ali; Wan Mohtar, Wan Hanna Melini</t>
  </si>
  <si>
    <t>An ensemble genetic programming approach to develop incipient sediment motion models in rectangular channels</t>
  </si>
  <si>
    <t>10.1016/j.jhydrol.2020.124753</t>
  </si>
  <si>
    <t>Assimilating unique features of genetic programming (GP) and gene expression programming (GEP), this study introduces a hybrid algorithm which results in promising incipient non-cohesive sediment motion models. The new models use the dimensionless input parameters including relative particle size, relative deposited bed thickness, channel friction factor and channel bed slope to estimate particle Froude number in rectangular channels. The models’ accuracy is tested using different error measures and cross-validated through comparison with that of five empirical models available in the relevant literature. The results showed enhanced accuracy of the proposed models in comparison to the existing ones with concordance correlation coefficient of 0.92 and 0.94 for parsimonious and quasi-parsimonious ensemble GP models, respectively. Such superiority is attributed to the integrated use of flow, fluid, sediment and channel characteristics in the modeling of incipient motion. Although the new algorithm is hybrid, the proposed models are explicit and precise, and thus, motivating to be used in practice.</t>
  </si>
  <si>
    <t>Ning, Qian; He, Guogeng; Xiong, Jun; Fan, Mingjing; Li, Xiao</t>
  </si>
  <si>
    <t>A mathematical model of critical releasable charge for R290 indoor leakage of split-type household air conditioners</t>
  </si>
  <si>
    <t>10.1016/j.buildenv.2022.109890</t>
  </si>
  <si>
    <t>The leakage of hydrochlorofluorocarbons and hydrofluorocarbons used as refrigerants will not only cause ozone depletion and global warming, but also pollute indoor air. Propane (R290) not only does not damage the ozone layer and has a negligible greenhouse effect, but also its charge is about 20–50% of that of hydrochlorofluorocarbons and hydrofluorocarbons, and the releasable charge is lower. In the previous study, a refrigerant pump-down method was proposed to control the R290 releasable charge of split-type household air conditioners (STHACs) under off-mode below the critical releasable charge (CRC) to prevent fires. CRC varies with leakage conditions, such as leak hole sizes, the distance between the installation height of the indoor unit (IDU) and the ignition source (dispersion distance), and the construction of IDU, etc. In this study, a mathematical model is developed to predict the CRCs for STHACs with different capacities and constructions under various leak conditions. The model is verified to have a deviation within 10% for the vast majority of data-points by ignition experiment and CFD model. For safety, the CRC prediction formula is optimized to under-predict CRCs properly, therefore, CRCs for various STHACs and leak conditions are determined to prevent the formation of flammable mixtures even directly under IDU, and the indoor air quality will also be improved. For the used 1 HP STHAC, the predicted CRC is 6.6 g under a 0.5 mm2 leak hole and a 0.7 m dispersion distance.</t>
  </si>
  <si>
    <t>Pourahmadi, Mehdi; Saybani, Mesbah</t>
  </si>
  <si>
    <t>Reliability analysis with corrosion defects in submarine pipeline case study: Oil pipeline in Ab-khark island</t>
  </si>
  <si>
    <t>10.1016/j.oceaneng.2022.110885</t>
  </si>
  <si>
    <t>The offshore industry widely uses offshore pipelines to transport petroleum products due to their high capacity and reasonable installation costs. Corrosion is the leading failure cause of offshore pipelines, and their reliability analysis is necessary for reducing maintenance costs. This study presents a corrosion analysis in the bursting mode of the pipeline using a codified method based on probabilistic space theory, considering the monitored data of the oil pipeline and the pigging data of the AB-KHARK pipeline. The relationship between pigging data, parameters affecting corrosion, and the reduction of pipe wall thickness are determined based on the indicators of Regression and Neural Network machine learning methods. A new method is presented for modeling the failure modes of offshore pipelines based on their historical data and statistical computation results. Finally, the system is investigated by the first-order reliability method considering the limit state function provided by evaluating the offshore pipeline reliability. The proposed method is evaluated using a dataset from AB-KHARK island in IRAN indicate zero percentage error in failure prediction versus related works with 1% error for PRCI and MB methods, 6, 8, and 11 percentages error against RITCHE, DNV, and AMSE methods, respectively.</t>
  </si>
  <si>
    <t>Yao, Pengfei; Fang, Hai; Zhu, Lu; Zhu, Junyu; Han, Juan; Wan, Yunlei; Zhang, Xinchen</t>
  </si>
  <si>
    <t>Experimental study on the behavior of precast segmental piers under ship impact loading</t>
  </si>
  <si>
    <t>10.1016/j.oceaneng.2022.111324</t>
  </si>
  <si>
    <t>This paper is to study the difference of anti-collision performance between precast segmental piers and conventional monolithic reinforced concrete (RC) piers. A reduced scale model was used, and the dynamic responses of piers with different structures under impact were compared and analyzed. The nonlinear finite element (FE) model of pier impact was established and numerical simulation of the impact responses and the failure mode of piers was carried out. The research results indicated that under impact, the failure mode of monolithic pier is tension bending failure, and for the segmental piers, the shear slip and concrete crushing in the impact segment occur mainly. The test results also indicated that the segmental piers are more flexible than monolithic piers, which leads to the peak impact force of the segmental pier reduced by 21.25% and 6.55%, respectively, under the impact of rigid head and ship bow compared to that on the monolithic pier. The study also found that segmented piers have better deformation capability and less residual displacement, but fail to show good self-reset capability. The results of FE calculation match well with the test results, which verifies the applicability and reliability of the FE model used in this paper.</t>
  </si>
  <si>
    <t>Antonov, D.V.; Vysokomornaya, O.V.; Yanovskiy, L.S.; Strizhak, P.A.</t>
  </si>
  <si>
    <t>Critical conditions leading to puffing and micro-explosion of composite liquid droplets</t>
  </si>
  <si>
    <t>10.1016/j.icheatmasstransfer.2024.107679</t>
  </si>
  <si>
    <t>Primary atomization systems do not usually provide the droplet size small enough for complete evaporation in a single process cycle. Secondary atomization of droplets resulting in puffing and micro-explosion plays a pivotal role. This research analyzes the critical conditions leading to the puffing or micro-explosion of composite droplets containing water as a model of a low-boiling liquid and fuels (kerosene and its components) as a model of a high-boiling flammable liquid. Internal factors like the degree of water core superheating and the volume of the superheated liquid in a composite droplet were found to be crucial for the characteristics of droplet breakup. The critical values of external input parameters (gas temperature, gas flow velocity, initial droplet sizes, flammable liquid type and volume fraction) were determined for puffing and micro-explosion of composite liquid droplets. The water core superheating degree was measured using a combination of a fast-response National Instruments system and a set of fast-response thermocouples together with the Laser Induced Fluorescence method. The values of dimensionless criteria (Ohnesorge, Kutateladze, Graetz, Nusselt, Sherwood, Prandtl, Reynolds, capillary, Fourier, Stanton, Lewis, Bond, Jakob, and Weber numbers) were obtained corresponding to droplet puffing and micro-explosion.</t>
  </si>
  <si>
    <t>Wang, Bao-Fu; Han, Qiang; Jia, Zhen-Lei; Du, Xiu-Li</t>
  </si>
  <si>
    <t>Seismic response analysis of the precast double-deck rocking frame bridge pier system</t>
  </si>
  <si>
    <t>10.1016/j.soildyn.2021.106745</t>
  </si>
  <si>
    <t>To improve seismic performance of double-deck frame bridge system, a novel precast double-deck rocking frame bridge pier system is developed based on ductile and rocking seismic conception design in this paper. In this novel system, the upper columns are allowed to rock between the precast cap beams to form the rocking story, while the lower columns are connected to precast cap beam and footings by grouted splice sleeve to form emulative cast-in-place story. The seismic response of this novel frame bridge pier system is investigated. Nonlinear equations of motion of the system are established following Lagrange's equation and conservation of angular momentum, and the analytical model is used to conduct case study, parametric study and stability analysis. The results show that seismic responses of the lower columns of the proposed structural system are smaller than cast-in-place bridge pier, while it has an opposite trend for upper columns. The effect of deformability of the lower story on the stability of the system is marginal for low-frequency pulses or small column size, while for high-frequency pulses or large column size the deformability jeopardizes the stability of the system.</t>
  </si>
  <si>
    <t>Yu, Feng; Yao, Sancheng; Fang, Jian; Sun, Mingcheng; Li, Yingzhi</t>
  </si>
  <si>
    <t>Rapid evaluation of trade-offs between strength and impact toughness of wheel steels by instrumented spherical indentation test</t>
  </si>
  <si>
    <t>10.1016/j.engfracmech.2024.110071</t>
  </si>
  <si>
    <t>In this paper, an improved size-independent instrumented spherical indentation test (ISIT) method was proposed to determine tensile strength and fracture toughness on wheel rims of two different types of wheel steels. Additionally, Charpy impact specimens were taken from three specific positions on the wheel rims and subjected to standard Charpy impact testing. The resulting Charpy impact energy (CVN) were matched with the fracture toughness measured by ISIT (KIc,IT) at the same positions. There was a clear linear correlation between CVN and the square of KIc,IT, which was consistent with the established relationship between both properties as determined by conventional Charpy impact and compact tension tests. Therefore, we expanded the ISIT method to study the impact of cooling rates on the variation of yield strength and Charpy impact energy across the wheel rim. To accomplish this, we designated additional testing points on the wheel rim using the ISIT method. The investigation found trade-offs between strength and impact toughness of wheel steels under different cooling rates. The above findings demonstrated the effectiveness of using the ISIT method, which facilitated high-resolution fracture toughness measurement, to establish accurate correlation between CVN and fracture toughness of wheel steels. Moreover, this ISIT method can be employed to regulate heat treatment of material properties to meet specific application requirements.</t>
  </si>
  <si>
    <t>Kisi, Ozgur; Khosravinia, Payam; Heddam, Salim; Karimi, Bakhtiar; Karimi, Nazir</t>
  </si>
  <si>
    <t>Modeling wetting front redistribution of drip irrigation systems using a new machine learning method: Adaptive neuro- fuzzy system improved by hybrid particle swarm optimization – Gravity search algorithm</t>
  </si>
  <si>
    <t>Agricultural Water Management</t>
  </si>
  <si>
    <t>10.1016/j.agwat.2021.107067</t>
  </si>
  <si>
    <t>Determination of wetting patterns’ dimensions is essential in designing and managing surface/subsurface drip irrigation systems. The laboratory experiments were conducted using physical model with dimensions of 3 × 1 × 0.5 m3 to evaluate the moisture redistribution process under continuous and pulse surface/subsurface irrigation systems. In the present study, the efficiency of a new machine learning method, named fuzzy c-means clustering- based adaptive neural-fuzzy inference system combined with a new meta-heuristic algorithm, hybrid particle swarm optimization – gravity search algorithm (ANFIS-FCM-PSOGSA), is investigated in order to model wetting front redistribution of drip irrigation systems (IS) using soil and system parameters as inputs under continuous and pulse surface/subsurface IS. The outcomes of the assessed method are compared with those of the ANFIS-FCM-PSO, generalized regression neural networks and multivariate adaptive regression splines. In assessing the implemented methods, four commonly used indices, root mean square errors (RMSE), mean absolute error (MAE), coefficient of determination (R2), Nash-Sutcliffe model efficiency (NSE) and graphical methods (e.g., scatter, box plot and Taylor diagrams) are utilized. The benchmark outcomes demonstrate the superiority of new method in estimating wetting front dimensions by improving the accuracy of the ANFIS-FCM-PSO by 29.6%, 18.5%, 6.1%, and 9.0% in estimating the diameter of horizontal redistribution with respect to RMSE, MAE, R2 and NSE, respectively. Furthermore, the ANFIS-FCM-PSOGSA respectively improves the RMSE, MAE, R2 and NSE accuracy of the ANFIS-FCM-PSO by 20.1%, 19.2%, 35.7% and 35.6% in estimating the diameter of downward vertical redistribution. The general outcomes recommend the use of new method in estimating wetting front dimensions of drip irrigation systems.</t>
  </si>
  <si>
    <t>Davey, Keith; Darvizeh, Rooholamin; Golbaf, Ali; Sadeghi, Hamed</t>
  </si>
  <si>
    <t>The breaking of geometric similarity</t>
  </si>
  <si>
    <t>10.1016/j.ijmecsci.2020.105925</t>
  </si>
  <si>
    <t>Scaled experimentation plays an important role in prototype and process development but is recognised to be severely constrained by the need for similitude, founded on the concepts of geometric, kinematic and kinetic similarity. This paper examines the possibility of breaking the requirement for geometric similarity by introducing the law of finite similitude for anisotropic scaling, which applies to continuum mechanics on anisotropically-scaled spaces. The law confirms that similarity solutions on skewed spaces always exist separately for quasistatic deformational and thermal-continuum problems. Thermomechanical and continuum dynamic problems however are shown to suffer from the inclusion of a (non-physical) non-orthogonal metric arising from the skewed coordinate system associated with anisotropic-space scaling. Even in this case however, an important subclass of problems is shown to be physically realisable involving a dominant component of velocity (displacement), where geometric similarity can again be broken yet retain good accuracy. The ability to skew artefacts yet achieve similitude is recognised to be a particularly important outcome as it allows for example one experimental model to be used to predict the behaviour of multiple skewed models. To showcase and highlight the significance of the new concept various scaled numerical models with anisotropic scaling with different geometrical scaling ratios in different directions is considered. The applicability of the theory is tested on a number of case studies providing strong supporting evidence for the validity and applicability of the new theory.</t>
  </si>
  <si>
    <t>García-Valladares, O.; Santoyo, E.</t>
  </si>
  <si>
    <t>Modelling of fluid flow through short tube orifices under metastable conditions: A new numerical validation approach for evaluating the mass flow rate with refrigerant mixtures (HFC-407C and HFC-410A)</t>
  </si>
  <si>
    <t>10.1016/j.applthermaleng.2014.03.056</t>
  </si>
  <si>
    <t>In a previous work, one-dimensional numerical modelling of fluid-flow inside short tube orifices was performed, and successfully validated against a wide range of mass flow rate measurements reported for the refrigerant HFC-134a. Governing equations of continuity, momentum, energy and entropy were solved for describing the fluid flow under a wide variety of thermodynamic transitions (e.g., subcooled liquid region, metastable liquid region, metastable two-phase region and equilibrium two-phase region), including sudden contraction and enlargement. In this new study, a comprehensive comparison analysis between numerical simulation data and experimental measurements obtained for HFC-407C and HFC-410A refrigerants (No = 241) to extend the applicability of the same mathematical model was carried out. Using a widespread statistical analysis, based on weighted linear regressions with an outlier detection/rejection module at 95% of confidence level, the prediction performance of the mathematical model was again assessed. Linear regressions between predicted mass flow rate data and experimental measurements were computed, and used them as a statistical comparison criterion. A statistical comparison between predicted simulation results and mass flow rate experimental data are reported. Average deviation errors of ±11.1% (for the refrigerant HFC-407C) and ±7.3% (for refrigerant HFC-410A) were found between numerical model and experimental data. These results demonstrate a new and robust application of the model to predict reliably the mass flow rate through short tube orifices under metastable conditions, which enable this tool to be reliably used for the design of short tube orifices.</t>
  </si>
  <si>
    <t>Tu, Huan; Fung, Tat Ching; Tan, Kang Hai; Riedel, Werner</t>
  </si>
  <si>
    <t>An analytical model to predict the compressive damage of concrete plates under contact detonation</t>
  </si>
  <si>
    <t>10.1016/j.ijimpeng.2019.103344</t>
  </si>
  <si>
    <t>Explosions threaten the safety of buildings and occupants by inducing severe damage to concrete structural elements. The effects of close-in and contact loading situations on RC plates have been investigated in literature and the common approaches employ field test results condensed in engineering charts based on cube-root scaling. In this paper, a new analytical model based on a physical framework is developed to (a) investigate shock wave attenuation along the depth of the concrete plate and (b) predict the size of crater damage. The analytical model for shock wave pressure is discussed in comparison to prediction data from established numerical models and existing experimental results. Moreover, consistency of the newly proposed model with established scaling rules is verified with respect to crater size.</t>
  </si>
  <si>
    <t>Mondal, Somen; Majumder, Subrata Kumar</t>
  </si>
  <si>
    <t>Frictional pressure drop of aqueous-organic two-phase flow through packed and unpacked rectangular serpentine millichannel</t>
  </si>
  <si>
    <t>10.1016/j.expthermflusci.2018.02.011</t>
  </si>
  <si>
    <t>This research work depicts the pressure drop characteristics of single-phase as well as aqueous-organic liquid-liquid two-phase flow through the rectangular serpentine millichannel in a horizontal orientation. Experiments were performed to investigate the pressure drops for both single and immiscible two component liquid-liquid aqueous-organic flows through the same rectangular serpentine channel with medium sand packing. The experimental results are enunciated with the available models for both empty and packed channels. Empirical models are developed to predict the pressure drop and friction factor for both single and two-component liquid-liquid flows through the prescribed serpentine geometry based on operating variables. The present work may be useful for further understanding of the multiphase system in the serpentine micro-dimensional unit for its design and development.</t>
  </si>
  <si>
    <t>Agrawal, Ankur K.; Rankouhi, Behzad; Thoma, Dan J.</t>
  </si>
  <si>
    <t>Predictive process mapping for laser powder bed fusion: A review of existing analytical solutions</t>
  </si>
  <si>
    <t>Current Opinion in Solid State and Materials Science</t>
  </si>
  <si>
    <t>10.1016/j.cossms.2022.101024</t>
  </si>
  <si>
    <t>One of the main challenges in the laser powder bed fusion (LPBF) process is making dense and defect-free components. These porosity defects are dependent upon the melt pool geometry and the processing conditions. Power-velocity (PV) processing maps can aid in visualizing the effects of LPBF processing variables and mapping different defect regimes such as lack-of-fusion, under-melting, balling, and keyholing. This work presents an assessment of existing analytical equations and models that provide an estimate of the melt pool geometry as a function of material properties. The melt pool equations are then combined with defect criteria to provide a quick approximation of the PV processing maps for a variety of materials. Finally, the predictions of these processing maps are compared with experimental data from the literature. The predictive processing maps can be computed quickly and can be coupled with dimensionless numbers and high-throughput (HT) experiments for validation. The present work provides a boundary framework for designing the optimal processing parameters for new metals and alloys based on existing analytical solutions.</t>
  </si>
  <si>
    <t>Verso, Lilly; Reeuwijk, Maarten van; Liberzon, Alexander</t>
  </si>
  <si>
    <t>Transient stratification force on particles crossing a density interface</t>
  </si>
  <si>
    <t>10.1016/j.ijmultiphaseflow.2019.103109</t>
  </si>
  <si>
    <t>We perform a series of experiments to measure Lagrangian trajectories of settling and rising particles as they traverse a density interface of thickness h using an index-matched water-salt-ethanol solution. The experiments confirm the substantial deceleration that particles experience as a result of the additional force exerted on the particle due to the sudden change in density. This stratification force is calculated from the measurement data for all particle trajectories. In absence of suitable parameterisations in the literature, a simple phenomenological model is developed which relies on parameterisations of the effective wake volume and recovery time scale. The model accurately predicts the particle trajectories obtained in our experiments and those of Srdić-Mitrović et al. (1999). Furthermore, the model demonstrates that the problem depends on four key parameters, namely the entrance Reynolds number Re1, entrance Froude number Fr, particle to fluid density ratio ρp/ρf, and relative interface thickness h/a.</t>
  </si>
  <si>
    <t>Herranz, L.E.; Jacquemain, D.; Nitheanandan, T.; Sandberg, N.; Barré, F.; Bechta, S.; Choi, K.-Y.; D'Auria, F.; Lee, R.; Nakamura, H.</t>
  </si>
  <si>
    <t>The working group on the analysis and management of accidents (WGAMA): A historical review of major contributions</t>
  </si>
  <si>
    <t>10.1016/j.pnucene.2020.103432</t>
  </si>
  <si>
    <t>The Working Group on the Analysis and Management of Accidents (WGAMA) was created on December 31st, 1999 to assess and strengthen the technical basis needed for the prevention, mitigation and management of potential accidents in NPP and to facilitate international convergence on safety issues and accident management analyses and strategies. WGAMA addresses reactor coolant system thermal-hydraulics, in-vessel behaviour of degraded cores and in-vessel protection, containment behaviour and containment protection, and fission product (FP) release, transport, deposition and retention, for both current and advanced reactors. As a result, WGAMA contributions in thermal-hydraulics, computational fluid-dynamics (CFD) and severe accidents along the first two decades of the 21st century have been outstanding and are summarized in this paper. Beyond any doubt, the Fukushima-Daiichi accident heavily impacted WGAMA activities and the substantial outcomes produced in the accident aftermath are neatly identified in the paper. Beyond specific events, most importantly, around 50 technical reports have become reference material in the different fields covered by the group and they are gathered altogether in the reference section of the paper; a common outstanding feature in most of these reports is the recommendations included for further research, some of which have eventually given rise to some of the projects conducted or underway within the OECD framework. Far from declining, ongoing WGAMA activities are numerous and a number of them is already planned to be launched in the near future; a short mention to them is also included in this paper.</t>
  </si>
  <si>
    <t>Borges, Samuel Santos; Zdanski, Paulo Sergio Berving; Barbieri, Renato</t>
  </si>
  <si>
    <t>A hybrid analytical/experimental model for evaluation of the aerodynamic noise in fans</t>
  </si>
  <si>
    <t>Applied Acoustics</t>
  </si>
  <si>
    <t>10.1016/j.apacoust.2014.11.007</t>
  </si>
  <si>
    <t>This paper presents all procedures used to obtain a reliable analytical model for the evaluation of the aerodynamic noise in fans used for cooling electrical motors. The final result is a mathematical model with parameters adjusted with both experimental data and computational fluid dynamics (CFD) analysis. In the validation of the proposed model, 135 experimental evaluations of noise level were done on different fans and it was verified that about 70% of the obtained results showed difference of ±1.5dB in relation to the predicted by the new model, and 93% of the results showed difference of ±2.5dB. It is important to emphasize that this difference is small when compared with results obtained by other existing methods. Besides, it is also shown in this paper a technique for optimization of fan rotors with respect to aerodynamic noise level.</t>
  </si>
  <si>
    <t>Sree, Dharma K.K.; Law, Adrian Wing-Keung; Shen, Hayley H.</t>
  </si>
  <si>
    <t>An experimental study of gravity waves through segmented floating viscoelastic covers</t>
  </si>
  <si>
    <t>10.1016/j.apor.2020.102233</t>
  </si>
  <si>
    <t>With climate changes and global warming, the extent of Marginal Ice Zone (MIZ) in the polar region is widening, and there is now more research attention on the wave interactions with broken ice covers within the zone to gain insights into its future sea conditions. Towards this objective, the dispersion and attenuation of surface waves propagating through segmented floating viscoelastic covers was investigated experimentally in this study. The covers were made of oil-doped Polydimethylsiloxane (PDMS) material, with different curing agent percentages to vary their rheological properties. For stiffer covers, the measurements showed that the effect of segmentation on wavelength modification was significant, and the dispersion relation agreed generally with the existing theoretical predictions for discrete floating elastic segments despite the presence of the additional viscosity for the material. At the same time, the earlier empirical formula based on the concept of “equivalent rigidity” to represent the segmented elastic cover, did not work well for the conditions investigated. With more flexible covers, however, the effect of segmentation became insignificant for thin cover thickness. Given the present experimental conditions, we confirmed that the effect of scattering was negligible, and the wave attenuation should be attributed to the various dissipative mechanisms. An empirical relation for the attenuation was established based on the experimental results, to quantitatively relate the attenuation coefficient to the incident wave characteristics and cover properties. The relation identifies a significant inverse relationship with the viscosity of cover material, and thus confirms the essential role of viscoelastic representation for the attenuation predictions.</t>
  </si>
  <si>
    <t>Patangtalo, W.; Aimmanee, S.; Chutima, S.</t>
  </si>
  <si>
    <t>A unified analysis of isotropic and composite Belleville springs</t>
  </si>
  <si>
    <t>10.1016/j.tws.2016.09.023</t>
  </si>
  <si>
    <t>This article discusses a method developed for predicting the deformation behavior of a Belleville spring under axial loading by using the minimum potential energy principle. Strain energy and work done of the Belleville spring are formulated based on the classical thin shell theory in a conical coordinate system. The von Kármán and Reissner approximations to the nonlinear strain-displacement relations take the geometrical effects of the moderately and very large axial deflection into consideration, respectively. The Ritz method is used to solve for the deformation and force characteristics of isotropic springs and the solutions are compared with the seminal equation of Almen and Laszlo, experiments, and finite element analyses. The present energy model can capture the effect of a geometric parameter that has been missing from the formulation of Almen and Laszo. The comparison shows that the developed method gives very good agreement with the results from the testing and finite-element method, whereas in most cases, owing to their limited assumptions, Almen and Laszlo's equation overpredicts the applied load at a given deflection. This energy model is also applicable for composite Belleville springs with orthotropic material properties. A load factor and a orthotropic factor are defined to readily analyze load-deflection relationship of the composite springs based on the existing relationship of the isotropic elastic spring.</t>
  </si>
  <si>
    <t>Gelagoti, F.; Georgiou, I.; Kourkoulis, R.; Gazetas, G.</t>
  </si>
  <si>
    <t>Nonlinear lateral stiffness and bearing capacity of suction caissons for offshore wind-turbines</t>
  </si>
  <si>
    <t>10.1016/j.oceaneng.2018.10.020</t>
  </si>
  <si>
    <t>The paper investigates the linear-elastic and nonlinear stiffnesses of a suction caisson used as monopod foundation for an Offshore Wind-Turbine (OWT). Starting from caissons at low working stresses, in which case the linear elastic theory provides an adequate engineering model for soil, analytical expressions for the elastic stiffness matrix of a flexible skirted foundation are proposed and validated. To account for the nonlinear foundation response, the paper proposes a simplified equivalent linear iterative approach where the effective foundation stiffness is expressed in terms of deformation amplitude. To this end, utilizing results from a 3D finite element parametric study, non-dimensional charts have been produced for caissons ranging from perfectly rigid to flexible with variable embedment ratios. To deal with uncertainty on the conditions at the soil-skirt interface, three idealized interface scenarios – “fully-bonded”, “tensionless”, “frictionless” – are implemented. Reduced values of foundation stiffness are computed for a frictionless contact. On the contrary, the impact of a “tensionless” interface, whilst trivial in elastic problems, is intensified with progressing soil inelasticity resulting in severely reduced stiffnesses and capacities. Moreover, with increasing relative skirt flexibility, the elastic stiffnesses of deep suction caissons tend to recede substantially, but the rate of stiffness degradation is fairly attenuated.</t>
  </si>
  <si>
    <t>Movahedi, Neshat; Dehghani, Amir Ahmad; Schmidt, Christian; Trauth, Nico; Pasternack, Gregory Brian; Stewardson, Michael J.; Meftah Halghi, Mehdi</t>
  </si>
  <si>
    <t>Hyporheic exchanges due to channel bed and width undulations</t>
  </si>
  <si>
    <t>10.1016/j.advwatres.2021.103857</t>
  </si>
  <si>
    <t>Riffle-pool sequences are fundamental, ubiquitous morphological features of alluvial rivers that are thoroughly studied in general and commonly incorporated into river restoration projects. Most previous investigations on the effect of riffle-pool sequences on hyporheic exchanges focused on solely bed undulation, because that is widely thought to be the defining feature of riffle-pool sequences. However, riffle- pool sequences also have significant width undulations that are vital to riffle-pool sequences morphodynamics, yet relatively few studies exist on the effect of such undulations on hyporheic exchanges. Thus, in this study based on laboratory experiments and numerical simulations, we investigate the effect of bed and width undulations on hyporheic zone characteristics for various ratio of width amplitude to bed amplitude. The variation of hyporheic exchange characteristics (i.e. hyporheic exchange flux and residence time) for different riffle-pool designs were also assessed by creating prescribed topography of synthetic river valleys. The results showed that due to pressure variation along width undulations, the upwelling and downwelling patterns can also be observed for only width undulations in rivers, in the absence of bed undulations, and as width undulation amplitude decreases, the normalized hyporheic exchanges (Q*HZ) increase and normalized median residence time (RT*) decreases. Also, simultaneous channel bed and width undulations result in higher Q*HZ especially when a pool is located in an expansion (aka “oversized” cross-section) and a riffle in a constriction (“nozzle”). Our results suggest that river restoration project that artificially construct wide pools and constricted riffles will achieve maximum Q*HZ and RT*, though they will not be geomorphically self-sustainable.</t>
  </si>
  <si>
    <t>Hohmann, Lukas; Schmalenberg, Mira; Prasanna, Mathusah; Matuschek, Martin; Kockmann, Norbert</t>
  </si>
  <si>
    <t>Suspension flow behavior and particle residence time distribution in helical tube devices</t>
  </si>
  <si>
    <t>10.1016/j.cej.2018.10.166</t>
  </si>
  <si>
    <t>Manufacturing of fine chemicals and pharmaceuticals often comprises the handling of solid/liquid suspensions both in upstream and downstream processing. Continuous manufacturing of such products is promising compared to conventional batch production, even though, flow processes in tubular devices usually suffer from particle settling and clogging. The isothermal suspension flow behaviors of various solid/liquid systems, i.e., crystalline l-alanine/saturated aqueous solution, PVC beads/water, and glass beads/water, with up to 10 wt-% of particles were investigated and successfully operated in horizontal helical coil tubes without blockage. The densimetric Froude number is used to describe the flow behavior in the coiled tubes in which three different regimes were observed, i.e., homogeneous suspension flow, moving sediment flow, and stagnant sediment. Empirical correlations based on the tube diameter, the mean particle size, the particle mass fraction, the fluid flow rate, the pulsation characteristics of the utilized peristaltic pump, and the physical properties of the system were developed for the critical densimetric Froude number to define the transition between these regimes. Based on this, the particle residence time distributions (RTDS) in the different flow regimes were investigated by step-response experiments from 0 to 1 wt-% of PVC particle tracers in aqueous suspension in a horizontal coiled flow inverter (CFI). A narrow RTDS close to ideal plug flow was found. These results enable both equipment and process design in existing equipment on a short-cut model level.</t>
  </si>
  <si>
    <t>Zhou, Yu-Long; Han, Qiang; Du, Xiu-Li; Zhang, Jin-Quan; Cheng, Shou-Shan; Chen, Jing-Yi</t>
  </si>
  <si>
    <t>Additional viscous dampers for double-column rocking bridge system: Seismic response and overturning analysis</t>
  </si>
  <si>
    <t>10.1016/j.soildyn.2020.106504</t>
  </si>
  <si>
    <t>Rocking systems have proved to be an attractive alternative for seismic resilience under strong earthquakes. In order to investigate the seismic response and overturning of double-column rocking bridge system with viscous dampers (VDs), a multi-block analytical model considering additional VDs is developed in this paper. Compared with the free-rocking system and monolithic system, the seismic response of damped rocking system was analyzed to validate the benefits of VDs for rocking system. The effect of damped system parameters on the seismic response of double-column rocking bridge were also investigated. The analysis illustrates the sensitivity of the overturning to the long distinct pulses of near-field ground motions. Finally, dimensionless overturning spectra for pulse excitations were generated to provide insight into the overturning mechanisms of the damped rocking bridge system and the beneficial effect of viscous dampers on preventing from overturning.</t>
  </si>
  <si>
    <t>Li, Meiquan; Zhao, Jun; Zhang, Xi; Xu, Ningwen; Meng, Haiyu; Wu, Zhiqiang; Wang, Shuzhong</t>
  </si>
  <si>
    <t>Effects of granulator structure and cooperating mode with slag tube on the centrifugal granulation characteristics of molten slag</t>
  </si>
  <si>
    <t>10.1016/j.applthermaleng.2021.117026</t>
  </si>
  <si>
    <t>Molten slag flows to the edge of the rotating cup and is rapidly broken into droplets under the centrifugal force provided by the high-speed rotating cup. The diameter of the droplets is closely related to subsequent waste heat recovery and resource utilization. To clarify the law of centrifugal granulation of molten slag, the effects of the structure parameters of the rotating cup, the way the slag tube and the rotating cup are matched, and the eccentricity on characteristics of molten slag are investigated in the paper. In the present work, an unsteady, three dimensional, and two-phase model is established to analyze the influence of the above factors on the particle size distribution, average particle size, and maximum and minimum particle size of the granulated slags. As a result, in the range of 0–45°, the increase of the inclination of the inner wall surface of the rotating cup can strengthen the granulation effect. To ensure the granulation effect, the ratio of the diameter of the slag tube to the rotating cup should not exceed 0.44, and the installation height of the slag tube should be as close as possible to the granulator. Moreover, to make the particle size uniform after granulation, the slag eccentricity is kept within 5%. Finally, the dimensionless correlation of the diameter of droplets was obtained to guide industrial practice to control the particle size of the granulated slag particles in the paper.</t>
  </si>
  <si>
    <t>Hoogedoorn, Eelco; Jacobs, Gustaaf B.; Beyene, Asfaw</t>
  </si>
  <si>
    <t>Aero-elastic behavior of a flexible blade for wind turbine application: A 2D computational study</t>
  </si>
  <si>
    <t>ECOS 2008</t>
  </si>
  <si>
    <t>10.1016/j.energy.2009.08.030</t>
  </si>
  <si>
    <t>This paper presents a computational study into the static aeroelastic response of a 2D wind turbine airfoil under varying wind conditions. An efficient and accurate code that couples the X-Foil software for computation of airfoil aerodynamics and the MATLAB PDE toolbox for computation of the airfoil deformation is developed for the aero-elastic computations. The code is validated qualitatively against computational results in literature. The impact of a flexibility of the airfoil is studied for a range of design parameters including the free stream velocity, pitch angle, airfoil thickness, and airfoil camber. Static aero-elastic effects have the potential to improve lift and the lift over drag ratio at off-design wind speed conditions. Flexibility delays stall to a large pitch angle, increasing the operating range of a flexible blade airfoil. With increased thickness the airfoil deformation decrease only linearly.</t>
  </si>
  <si>
    <t>Patil, Rahul Harishchandra</t>
  </si>
  <si>
    <t>Experimental studies on heat transfer to Newtonian fluids through spiral coils</t>
  </si>
  <si>
    <t>10.1016/j.expthermflusci.2017.02.002</t>
  </si>
  <si>
    <t>Spiral coils are investigated for flow of petroleum base oils SN70, SN150 and SN300 under isothermal steady state and a combination of isothermal steady state &amp; non-isothermal unsteady state conditions for “Graetz problem”. The experiments were conducted with spiral coils with curvature ratios 0.01568, 0.01778, 0.019, 0.02466, 0.02525, 0.02666, 0.028055, 0.02952, 0.03011, under laminar flow condition. A new dimensionless number R′ number is introduced which is proved by the method of dimensionless analysis. The Nusselt number is correlated with R′ number for Newtonian fluids based on the experimental data. A number of correlations are developed for Newtonian fluids under isothermal steady state (total 130 tests) and a combination of isothermal steady state &amp; non-isothermal unsteady state conditions (total 154 tests). It is found that R′ number characterizes the heat transfer phenomenon very well and it also simplifies the correlations on curved coils. The developed correlations are compared with the correlations developed by earlier investigators and are found to be in good agreement. These correlations can be used for the design of spiral coil heat exchangers.</t>
  </si>
  <si>
    <t>Calle, Miguel A.G.; Salmi, Mika; Mazzariol, Leonardo M.; Alves, Marcilio; Kujala, Pentti</t>
  </si>
  <si>
    <t>Additive manufacturing of miniature marine structures for crashworthiness verification: Scaling technique and experimental tests</t>
  </si>
  <si>
    <t>10.1016/j.marstruc.2020.102764</t>
  </si>
  <si>
    <t>Undoubtedly, the main advantage of the additive manufacture technology is to allow building miniature structural parts with a large degree of complexity such as to replicate structural details of real-scale marine structures. This work presents a new technique for reproducing the structural response of large-scale thin-walled metallic structures when subjected to crushing loadings by using scaled-down additive manufactured models. This technique couples scaling laws for strain rate sensitive materials and a thickness distortion technique based on the structural collapse mode. In order to validate this coupled technique, the structural response of a large-scale crushing test of a web girder structure was experimentally replicated by using a 1/40 scale reduction model. The results and conclusions summarize the prospects and limitations of additive manufacturing of miniature complex marine structures for structural purposes and crashworthiness verification.</t>
  </si>
  <si>
    <t>Garcia-Hernandez, A.; Wan, L.; Dopazo-Hilario, S.</t>
  </si>
  <si>
    <t>In-silico manufacturing of asphalt concrete</t>
  </si>
  <si>
    <t>10.1016/j.powtec.2021.03.065</t>
  </si>
  <si>
    <t>In this paper we present an algorithm to produce realistic virtual asphalt concretes. The inputs are the geometry of aggregates, and the composition of the asphalt concrete. The outputs are the air voids content and, a 3-dimensional representation of the aggregate skeleton. The air voids that are predicted by the algorithm have been compared to those measured from asphalt made in the laboratory. The key parameters that influence the compaction of an asphalt concrete are the shape of the aggregates, number of aggregates and, volume of mastic, i.e. bitumen, filler, and aggregates smaller than 2 mm. An equation based on a Weibull function, with independent variables the number of aggregates and force required to compact the virtual aggregates, has been developed. This equation can predict the force that the algorithm needs to compact the virtual aggregates to a level equivalent to that reached by a laboratory compactor.</t>
  </si>
  <si>
    <t>Yang, Zhuqiang; Shan, Yafei</t>
  </si>
  <si>
    <t>Experimental study on the onset of flow instability in small horizontal tubes at supercritical pressures</t>
  </si>
  <si>
    <t>10.1016/j.applthermaleng.2018.02.092</t>
  </si>
  <si>
    <t>The flow instability of hydrocarbon fuel is an important factor in the design of a regenerative cooling channel due to flow excursion accidents. To explore the mechanism of the instability process, the onset of flow instability (OFI) of cyclohexane were investigated experimentally in horizontal tubes at supercritical pressures. The geometric structure of the test channel, with a tube length of 0.20–0.79 m and inside diameter of 1.0–2.0 mm, was studied with regard to static flow characteristics. Based on the experimental data, a dimensionless analysis was conducted, and a new correlation to predict the OFI for supercritical fluids was obtained.</t>
  </si>
  <si>
    <t>Zhao, Chuang-Yao; Ji, Wen-Tao; Jin, Pu-Hang; Zhong, Ying-Jie; Tao, Wen-Quan</t>
  </si>
  <si>
    <t>Hydrodynamic behaviors of the falling film flow on a horizontal tube and construction of new film thickness correlation</t>
  </si>
  <si>
    <t>10.1016/j.ijheatmasstransfer.2017.11.086</t>
  </si>
  <si>
    <t>The laminar liquid film falling on a horizontal smooth tube is studied numerically. The instantaneous hydrodynamic characteristics of falling film flow, the importance of surface tension in calculation and the effects of film flow rate, tube diameter, liquid distributor height and inlet liquid temperature on the flow field and film thickness are elucidated. The results indicate that: (1) The surface tension is important in the calculations of falling film flow on a horizontal tube; (2) The film falling on a circular tube has obvious instantaneous behaviors; (3) The film thickness increases with increase of film flow rate, while decreases with increase of the tube diameter, liquid distributor height and liquid temperature, respectively; (4) The film distribution along the peripheral angle is unsymmetrical, and the minimum thickness appears in 110–150° of peripheral angle depending on the working conditions. Furthermore, new correlations of falling film thickness on a horizontal tube based on the present data are established, which fit 97% of 84 data in θ = 2–15° within ±20%, 90% of 632 data in θ = 15–165° within ±20%, and 73% of 112 data in θ = 165–178° within ±30%.</t>
  </si>
  <si>
    <t>Undirwade, Siddharth K.; Singh, M.P.; Sakhale, C.N.</t>
  </si>
  <si>
    <t>Formulation of Mathematical Model for Processing Time Required for Bamboo Sliver Cutting Using HPFM</t>
  </si>
  <si>
    <t>International Conference on Recent Trends in Engineering and Material Sciences (ICEMS-2016), March 17-19, 2016, Jaipur, India</t>
  </si>
  <si>
    <t>10.1016/j.matpr.2017.06.343</t>
  </si>
  <si>
    <t>The present work is the formulation of models for sliver cutting from bamboo using human powered flywheel motor (HPFM).It reports the design of experimental work to be executed for establishing approximate generalized empirical model for Resistive Torque, Processing Time &amp;No. of slivers during Bamboo Sliver cutting process using human powered flywheel motor (HPFM) on the basis of experimentation data chosen, using methodology of engineering experimentation. Out of which process for formulation of mathematical model for Processing Time required for Bamboo Sliver cutting process is elaborated completely in this paper.</t>
  </si>
  <si>
    <t>Kumar, Lalit; Afzal, Mohammad Saud</t>
  </si>
  <si>
    <t>Experimental and numerical modelling of scour at vertical wall abutment under combined wave-current flow in low KC regime</t>
  </si>
  <si>
    <t>10.1016/j.oceaneng.2023.115394</t>
  </si>
  <si>
    <t>The present study investigates the scour at vertical-wall abutments under a strong current-dominated combined wave-current and current-only environment using experiments and computational fluid dynamics (CFD) modeling. The CFD modelling is performed using an open-source three-phase numerical model (REEF3D), which solves Reynolds-Averaged Navier Stokes (RANS) equations with k-ω turbulence closure. The CFD model is first validated using the experiments and then used for further investigation. The Exner equation was used to compute alterations in bed elevation, while the Level-Set method recorded the free surface and bed topography in a realistic manner. The experimental findings demonstrate that the initial phase of scour development is more rapid under combined wave-current flow, but the equilibrium scour depth is higher in current-only conditions. The increase in Keulegan Carpenter (KC) number increases the scour depth at vertical-wall abutments for a specific relative flow velocity (Ucw). In contrast, a mild increase in vertical-wall abutment scour depth is observed with an increase in Ucw. To the best of the authors’ knowledge, the present work is the first of a kind of experimental and three-dimensional CFD study that estimates abutment scour under strong current-dominated combined wave-current flow.</t>
  </si>
  <si>
    <t>Abdulrahman, M.W.</t>
  </si>
  <si>
    <t>Experimental studies of direct contact heat transfer in a slurry bubble column at high gas temperature of a helium–water–alumina system</t>
  </si>
  <si>
    <t>10.1016/j.applthermaleng.2015.08.050</t>
  </si>
  <si>
    <t>In this paper, the direct contact heat transfer is investigated experimentally for a helium gas at 90 °C injected through a slurry of water at 22 °C and alumina solid particles in a slurry bubble column reactor. This work examines the effects of superficial gas velocity, static liquid height, solid particles concentration and solid particle size, on the volumetric heat transfer coefficient and slurry temperature of the slurry bubble column reactor. These effects are formulated in forms of empirical equations. From the experimental work, it is found that the volumetric heat transfer coefficient and the slurry temperature increase by increasing the superficial gas velocity with a higher rate of increase at lower superficial gas velocity. In addition, the volumetric heat transfer coefficient and the slurry temperature decrease by increasing the static liquid height and/or the solid concentration at any given superficial gas velocity. Furthermore, it is found that the rate of decrease of the volumetric heat transfer coefficient with the solid concentration is approximately the same for different superficial gas velocities, and the decrease of the slurry temperature with the solid concentration is negligible.</t>
  </si>
  <si>
    <t>Haji Mirsadeghi, Mohammad Reza; Fanaie, Nader</t>
  </si>
  <si>
    <t>Steel plate shear walls with partial length connection to vertical boundary element</t>
  </si>
  <si>
    <t>10.1016/j.istruc.2021.02.003</t>
  </si>
  <si>
    <t>This research project aims to propose an innovative analytical method to evaluate steel plate shear wall with partial length connection to vertical boundary element which lacks the connection at the middle height of VBE. In this type of steel shear walls, reducing the length of the connection between infill and vertical boundary element results in a reduction in the flexure and stiffness demand on the vertical boundary elements. Push-over loading was carried out on four small-scale designed test specimens so as to investigate the quality of tension field formation in web plate by changing not connected length ratio. Then numerical model was employed to develop comprehensive study on web plate stress state due to the formation of tension field by changing not connected length ratio. Firstly, the formation of parallel tension strips in the infill plate of the steel shear wall with different partial length connections to vertical boundary elements in specified range of lack of connection was confirmed. Based on aforementioned experimental and numerical study evidence, governing equations have been developed for this analytical solution, including panel shear strength, tension field inclination angle and minimum stiffness requirements in vertical boundary elements.</t>
  </si>
  <si>
    <t>Solsvik, Jannike; Jakobsen, Hugo A.</t>
  </si>
  <si>
    <t>Single drop breakup experiments in stirred liquid–liquid tank</t>
  </si>
  <si>
    <t>10.1016/j.ces.2015.03.059</t>
  </si>
  <si>
    <t>The breakup process has been investigated by single drop experiments in a stirred liquid–liquid tank. The time taken to deform, stretch and produce two or more fragments was measured. For each of the observed breakup events, the number of drops in the resulting population was registered. The occurrence of equal and unequal breakup events was also noticed. Four oil-in-water systems were studied: toluene, petroleum, n-dodecane, and octanol. The mean energy dissipation rate of the tank was 1.14m2/s3 and the diameter of the observed mother drops that breakup were mainly in the range of 1–4mm. Multiple breakup events were the most frequent outcome in the experiments. It was observed that the number of daughter drops produced in a breakup was dependent on the mother drop size. The breakup time increased with the mother drop size and was in the approximate range of 10–100ms. A large uncertainty in the measurements is associated with the determination of the final breakup time, particularly in the cases of high order breakup events. Most breakup events took place in the large velocity field close to the radial impeller. It is not evident whether the breakup events were due to the time average shear or pressure and velocity fluctuations.</t>
  </si>
  <si>
    <t>Borowiec, K.; Wysocki, A.J.; Kozlowski, T.</t>
  </si>
  <si>
    <t>Comprehensive framework for data-driven model form discovery of the closure laws in thermal-hydraulics codes</t>
  </si>
  <si>
    <t>10.1016/j.ijheatmasstransfer.2021.120976</t>
  </si>
  <si>
    <t>The two-phase two-fluid model is a basis of many thermal-hydraulics codes used in design, licensing, and safety considerations of nuclear power plants. Thermal-hydraulics codes rely on the closure laws to close the system of conservation equations and describe the interactions between phases. These laws, derived from years of experimental investigations, are semi-empirical correlations that lack generality and have a limited range of applicability. Increase of computational power, availability of new experiments, and development of high-fidelity simulations has increased the number of validation data. The discrepancies between the code predictions and the validation data are a great source of knowledge. Missing physics that are not included in the model but are important for the considered phenomena can be discovered by propagating the information from the experimental results through the model. Physics-discovered data-driven model form (P3DM) methodology integrates available integral effect tests and separate effects tests to determine the necessary corrections to the model form of the closure laws. In contrast to existing calibration techniques, the methodology modifies the functional form of the closure laws. Based on the functional form of the correction, the missing physics that were not included in the original model can be discovered. The methodology provides the alternative to the machine learning approach, in which the model is discovered in the form of the intractable black-box relation. In this work, the methodology was applied to the CTF subchannel code to improve the prediction of the two-phase flow phenomena.</t>
  </si>
  <si>
    <t>Shikh Anuar, Fadhilah; Ashtiani Abdi, Iman; Odabaee, Mostafa; Hooman, Kamel</t>
  </si>
  <si>
    <t>Experimental study of fluid flow behaviour and pressure drop in channels partially filled with metal foams</t>
  </si>
  <si>
    <t>10.1016/j.expthermflusci.2018.07.032</t>
  </si>
  <si>
    <t>This study experimentally investigates the effects of pore density, inlet velocity and blockage ratio on fluid flow behaviour and pressure drop in channels partially filled with a metal foam block. The fluid velocities in the free stream region, which is a clear (from foam) region on the top of foam block, are measured using Laser Doppler Anemometry (LDA) and hot-wire anemometry. The metal foam data are compared to those of solid blocks with the same size. For low blockage ratios, i.e. thin foam layers, the pressure drop caused by a solid block is higher than that of the foam when tested under identical conditions. Interestingly, nonetheless, beyond a threshold blockage ratio value, the pressure drop induced by the metal foam block exceeds that of the solid block of the same height tested at the same air flow rate. This behaviour is best described as the interplay between resistance caused by blockage versus that of the wake forms downstream and over the objects and additional frictional effects within the porous region and on the interface. Furthermore, a correlation, with ±16% deviation, is developed to predict the flow resistance caused by the solid and foam blocks across the partially filled channel.</t>
  </si>
  <si>
    <t>Almani, Sikandar; Blel, Walid; Gadoin, Emilie; Gentric, Caroline</t>
  </si>
  <si>
    <t>Investigation of single bubbles rising in Newtonian and non-Newtonian fluids inside a thin-gap bubble column intended for microalgae cultivation</t>
  </si>
  <si>
    <t>10.1016/j.cherd.2021.01.010</t>
  </si>
  <si>
    <t>Single bubbles rising in a confined geometry – a parallelepidic bubble column with a 4 mm thickness – in the presence of a non-Newtonian liquid phase are studied using a shadowgraphy technique. The context is the cultivation of microalgae at high cell concentrations. In fact, it necessitates the reduction of the bioreactor thickness to allow light penetration through the whole culture. In the same time, the medium becomes shear-thinning for biomass concentrations higher than 30 g L−1. A 2 g L−1 carboxymethyl cellulose (CMC) and a 1 g L−1 Xanthan Gum (XG) aqueous solutions are studied to mimic the behavior of 42 g L−1 Chlorella vulgaris cultures. Besides, a comparison with water, representing the Newtonian liquid phase at low culture concentrations, is proposed. The bubble equivalent diameter is varied between 1.34 and 3.36 mm using different capillary sizes to generate the bubbles. Results show the complex and coupled effects of confinement and shear-thinning behavior of the liquid phase on bubbles terminal velocity, shape and trajectory. In fact, compared to the case of an infinite liquid medium, confinement increases wall friction on the bubbles, while reduces the liquid phase apparent viscosity in its neighborhood due to increased shear rate. This is why, depending on the bubble size, the bubble terminal velocity in shear-thinning fluids can be higher or lower than in unconfined conditions. For bubbles rising in shear-thinning fluids, contrary to water, it is observed that confinement induces a transition from spherical shape to ellipsoidal shape that occurs sooner in terms of bubbles diameter or Eo number. A correlation for the bubble drag coefficient in confined conditions in presence of shear-thinning fluids is also proposed for confinement ratios db/e between 0.34 and 0.84.</t>
  </si>
  <si>
    <t>Ruzzo, Carlo; Muggiasca, Sara; Malara, Giovanni; Taruffi, Federico; Belloli, Marco; Collu, Maurizio; Li, Liang; Brizzi, Giulio; Arena, Felice</t>
  </si>
  <si>
    <t>Scaling strategies for multi-purpose floating structures physical modeling: state of art and new perspectives</t>
  </si>
  <si>
    <t>10.1016/j.apor.2020.102487</t>
  </si>
  <si>
    <t>Multi-purpose floating platforms are emerging as a promising concept in ocean engineering applications, thanks to their capability of ensuring system integration, cost reduction and modularization. However, their increasing complexity requires the development of numerical tools, which need to be validated experimentally through adequate physical models. New challenges hence arise, since the subsystems integrated in the structure generally follow different scaling laws and may need relatively large physical models to achieve a reliable similitude between the full-scale structure and its physical model counterpart. The latter issue can be critical, because indoor tests in wave tanks and basins constrain the scale factors to the size of the available facilities. Open-sea experiments, albeit challenging because of the uncontrolled environmental conditions, could be a valid complement to the traditional indoor tests. This article proposes a review of the multi-physics scaling strategies for the subsystems usually embedded in multi-purpose floating platforms, i.e. floating support, mooring system, wind turbine, wave energy converter and aquaculture facilities, by providing a critical analysis on the relevance of the scaling factor and of the scaling strategy. The paper may also serve as a guide for practical applications involving one or several of the considered subsystems.</t>
  </si>
  <si>
    <t>Wu, Weifeng; Ge, Shiping; Yuan, Yong</t>
  </si>
  <si>
    <t>Seismic response characteristics of cross interchange metro stations: Transversal response of the three-storey section</t>
  </si>
  <si>
    <t>10.1016/j.engstruct.2021.113525</t>
  </si>
  <si>
    <t>This paper presents an experimental study and a numerical parametric study, aiming to derive insights about the seismic response characteristics of typical cross interchange stations in soft soil and the critical parameters influencing the above response. The input motion condition, the soil-station interface properties, inertia of the structure, and the soil-station relative stiffness are the factors addressed in the parametric study. The study summarizes the key findings, focusing on the deformed pattern, the storey drift ratios, the earth pressure, and soil shear stress around the structures. The numerical analysis indicates combined racking-rocking deformation patterns for the cross interchange station, while the racking deformation is more-or-less evenly distributed among the three storeys away from the conjunction but highly concentrated on the bottom storey close to it. The soil yielding, the soil-structure interface characteristics, and the soil-structure relative stiffness significantly affected the storey-drifts, the soil dynamic earth pressure, and the soil shear stress developed around the structure during shaking. A series of numerical R′-F′ relations of the interchange station is concluded and compared to the R-F relation of a single station, along with the existing literature. The presented results lead to a better understanding of the dynamic response of typical two-storey to three-storey cross interchange stations in soft soil.</t>
  </si>
  <si>
    <t>Silva, Jose Pedro; dos Santos, Aires; Semiao, Viriato</t>
  </si>
  <si>
    <t>Experimental characterization of pulsed Newtonian fluid flows inside T-shaped micromixers with variable inlets widths</t>
  </si>
  <si>
    <t>10.1016/j.expthermflusci.2017.08.018</t>
  </si>
  <si>
    <t>Fluids mixing in microfluidics is hindered by the laminar flow regime operation and, therefore, it constitutes an important challenge. Symmetrical and asymmetrical T-micromixers are used to assess the mixing quality improvement, when pulsed signals are imposed to the inlet flows. The used chips are manufactured using polydimethylsiloxane and soft lithography techniques. The flow images are acquired with a high frequency/resolution camera coupled to a microscope, and then are digitally processed. For both symmetrical and asymmetrical geometries, the mixture quality is characterized for non-pulsed flows at different Reynolds numbers, evidencing its fundamental influence on the mixing performance. For pulsed flows, the analysis is based on the parameters that characterize the imposed wave. Results show that the application to both inputs of pulses in phase opposition is the most beneficial, with maximum performance increases of 100% and 90.6%, respectively for the symmetrical and the most asymmetrical micromixers. Moreover, the increase of the pulse amplitude yields an increase of the mixing quality (maximum increase of 90.6% for the most asymmetrical micromixer). Additionally, the increase in frequency results in a decrease of the mixing quality. The width reduction of the outlet channel enhances the mixing quality due to the appearance of vortex structures, whereas its length had no particular influence on the results. From the flow images acquired at instant t, T⩽t⩽2T, the experimental data of αmix for pulsed flows correlate according to αmix=Re2.17Wa×WbDH4.79Va+VbV6.034ΔQπVDH20.0151+θ2π0.698DHVt1.51St-0.0073, with the non-dimensional parameters varying in the ranges 156⩽Re⩽289; 6.15×10-5⩽St⩽3.08×10-4; 7.5×10-1⩽Wa×WbDH⩽1.06; 1.5⩽(Va+Vb)V⩽2; 8.59×109⩽4ΔQπVDH2⩽3.44×1010; 1⩽1+θ2π⩽1.5; and 1.54×10-5⩽DHVt⩽3.81×10-5.</t>
  </si>
  <si>
    <t>Ahmed, M.A.; Zubair, Syed M.; Abido, M.A.; Bahaidarah, Haitham M.</t>
  </si>
  <si>
    <t>An innovative closed-air closed-desiccant HDH system to extract water from the air: A case for zero-brine discharge system</t>
  </si>
  <si>
    <t>10.1016/j.desal.2018.07.024</t>
  </si>
  <si>
    <t>In a conventional HDH system, a constant feed of seawater is required to run the system. As a result of extracting freshwater from the saline water, it is rejected at higher salinity, thus it cannot be recirculated as a feed again. The aim of this study is to come up with a zero-brine discharge system that eliminates the continuous need for the supply of source and sink in the conventional system. Based on the fact that earth's atmosphere holds a vast amount of water that can be considered as a reliable freshwater resource, especially in coastal areas. A water-from-air system is proposed in this study. The proposed system configuration comprises of two parts, a basic HDH system that uses a liquid desiccant solution instead of saline water and a desiccant-based air dryer. The liquid desiccant leaves the HDH part at a higher concentration due to the extraction of freshwater. It then enters the air dryer where it is diluted by absorbing water vapor from the ambient air. This diluted desiccant is directed to the HDH part to close the desiccant loop. In this study, Lithium chloride is used as the working fluid of the proposed system. Mathematical modeling of heat and mass transfer processes between the air and desiccant in the humidifier and dehumidifier is developed to predict the performance of the desalination system. The proposed system produces about 8 kg of freshwater per hour.</t>
  </si>
  <si>
    <t>Gualtieri, C.; Chanson, H.</t>
  </si>
  <si>
    <t>Physical and numerical modelling of air-water flows: An Introductory Overview</t>
  </si>
  <si>
    <t>Environmental Modelling &amp; Software</t>
  </si>
  <si>
    <t>10.1016/j.envsoft.2021.105109</t>
  </si>
  <si>
    <t>In free-surface turbulent flows, large amount of air may be entrapped and advected in the water current. The resulting air-water flows are frequently observed in natural water systems, where they are also relevant to water quality, ecological sustainability and integrated assessment within such systems. Herein, a review of physical and numerical modelling of air-water flows is developed, providing some fundamentals towards a consistent modelling of such flows to graduate and Ph.D. level students as well as young researchers in environmental sciences and engineering, with pre-requisite knowledge in basic fluid mechanics. After some theoretical and metrology considerations, the main criteria for the design of physical models and the current literature on the numerical studies are discussed. Two case-studies, the hydraulic jump and the dropshaft, are used to show the application of such criteria and methods. Overall, the paper presents current knowledges/challenges on physical and numerical modelling of self-aerated free-surface flows.</t>
  </si>
  <si>
    <t>PARK, Soon-Hong</t>
  </si>
  <si>
    <t>A design method of micro-perforated panel absorber at high sound pressure environment in launcher fairings</t>
  </si>
  <si>
    <t>Journal of Sound and Vibration</t>
  </si>
  <si>
    <t>10.1016/j.jsv.2012.09.015</t>
  </si>
  <si>
    <t>Abstracts A design method of micro-perforated panel absorbers is proposed for the enhancement of acoustic absorption inside the payload fairings of launch vehicles. An empirical acoustic resistance model of a micro-perforated panel absorber in a high sound pressure environment is suggested to this end. The resistance model is especially appropriate for the launcher fairing application, so that the incident pressure to the surface of bare fairings is considered as a main variable. Other design variables, e.g., the minute hole diameter, the perforation ratio and the thickness of the panel, are also considered in the proposed model. The estimated acoustic resistances and corresponding absorption coefficients are verified by comparing them with the measured results for several micro-perforated panel absorbers having a practical range of parameters. The estimated and measured results show good agreement when the perforation ratio is in the range of 1.4% to 5.3%. The effects of design parameters on the absorption coefficient are discussed. It is demonstrated that the micro-perforated panel absorber with a large hole diameter (about 1.0mm), which shows a poor sound absorption at low pressure levels, can be a good sound absorber at high incident pressure levels. A set of design charts is provided and this enables one to readily design a micro-perforated panel absorber for the mitigation of acoustic loads in launcher fairings.</t>
  </si>
  <si>
    <t>Pugliese, Victor; Panacharoensawad, Ekarit; Ettehadtavakkol, Amin</t>
  </si>
  <si>
    <t>Numerical study of the motion of a single elongated bubble in high viscosity stagnant liquids along pipelines</t>
  </si>
  <si>
    <t>10.1016/j.petrol.2020.107088</t>
  </si>
  <si>
    <t>Multiphase flow models involve more variables than available equations, thus closure relationships are required to solve the system of partial differential equations. In the Drift Flux Model, the mean drift velocity of the gas phase is estimate using the drift velocity closure relationship. This study investigates the motion of a single elongated bubble in high viscosity stagnant liquids in order to propose a comprehensive closure relationship for the bubble drift velocity. Different cases were run with inclination angles varying from 0° (horizontal direction) to 90° (vertical upward). OpenFOAM, an open source Computation Fluid Dynamics software, was used to numerically solve the two-phase incompressible flow problem. Drift velocities based on the movement of the bubble tip and the void fraction weighted averaged were compared to clarify the ambiguity in the drift velocity calculation and measurement. For horizontal pipe cases, the deformation of the bubble caused the drift velocity to be higher at the tip of the bubble than the drift velocity inside the bubble. For inclination angles more than 0°, the drift velocity at the tip is the same as inside the bubble. The closure relationship proposed is validated against experimental data in the literature. The results indicate that the closure relationship has a maximum 10% absolute average relative error for the viscosity range of 0.14–1.120 Pa·s, pipe size up to 0.152 m and pipe inclinations from 0° to 90°. The limitations of the closure relationship and potential enhancements for future studies are discussed.</t>
  </si>
  <si>
    <t>Rituraj, Rituraj; Vacca, Andrea</t>
  </si>
  <si>
    <t>Investigation of flow through curved constrictions for leakage flow modelling in hydraulic gear pumps</t>
  </si>
  <si>
    <t>10.1016/j.ymssp.2020.107503</t>
  </si>
  <si>
    <t>The internal leakage flows in external gear and gerotor pumps are often represented by flow through curved constrictions. The nature of this flow can vary from laminar to turbulent and the flow can experience localized cavitation too. In the current literature, there is a scarcity of techniques for accurately modelling such curve-constricted flows which limits the accuracy of the current simulation tools for gear pumps. This paper presents a novel flow model for curve-constricted geometries that is applicable over a wide range of flow regimes including localized cavitation. Using a dimensionless form, the proposed model characterizes the constriction flow velocity as the function of the constriction shape, the pressure difference, and a properly defined cavitation indicator. The functional relationships between these dimensionless parameters are developed based on CFD simulations. The flow model is validated by the means of several experiments conducted on a custom test apparatus. The model presented in this paper can be incorporated in the lumped parameter simulation tools widely used for modelling gear pumps, improving their accuracy in predicting the internal leakages. Consequently, this model will also aid the development of novel energy efficient gear pump designs, where such leakages are kept to a minimum.</t>
  </si>
  <si>
    <t>Barbé, Jean-Patrick; Gomez, Enrique; Commenge, Jean-Marc; Flin, Matthieu; Valentin, Solène; Wagner, Marc; Falk, Laurent</t>
  </si>
  <si>
    <t>Modelling of intensified catalyst-coated plate-fin heat exchanger reactors: Reactive fin efficiencies and by-pass factor based on coupling between reaction, heat and mass transfer</t>
  </si>
  <si>
    <t>Chemical Engineering and Processing - Process Intensification</t>
  </si>
  <si>
    <t>10.1016/j.cep.2018.05.021</t>
  </si>
  <si>
    <t>A one-dimensional model of catalyst-coated fin in plate-fin heat exchanger reactors was developed in this study to consider the effects of heat of reaction on the fin efficiency. The results of the model showed that the occurrence of a surface reaction must be treated carefully since it drastically changes fin behaviour compared to conventional thermal fins. The impact of dimensionless numbers representing the coupling between fin geometry, surface reaction and heat and mass transfer was investigated, and limit conditions where a reactive fin behaves as a conventional thermal fin was circumscribed according to these parameters. The results of the developed reactive fin model were also compared to computational fluid dynamics simulations and showed very good representativeness for all heat transfer, reaction and by-pass effects. The comparison demonstrated that this simplified model is strong enough to represent reactive fins on the surface of which a catalytic surface reaction occurs, for both laminar and turbulent flows in square millichannels.</t>
  </si>
  <si>
    <t>Esmaeili, Amin; Farag, Sherif; Guy, Christophe; Chaouki, Jamal</t>
  </si>
  <si>
    <t>Effect of elevated pressure on the hydrodynamic aspects of a pilot-scale bubble column reactor operating with non-Newtonian liquids</t>
  </si>
  <si>
    <t>10.1016/j.cej.2015.12.017</t>
  </si>
  <si>
    <t>The effect of elevated pressure on the hydrodynamics of a pilot-scale bubble column reactor has been studied in the non-Newtonian liquid phase. Various hydrodynamic characteristics of the bubble column reactor including the total gas holdup and its axial distribution, operating flow regime transition point, pressure fluctuation and its standard deviation have been evaluated by means of several pressure traducers along the column height. The superficial gas velocity and operating pressure varied from 1 to 35 (cms−1) and 0.1 to 1.0 (MPa), respectively. It was found that the total gas holdup increases with an increase in the operating pressure. The operating flow regime transition point was shifted to higher superficial gas velocities at elevated pressures. The standard deviation of pressure fluctuations was also found to increase with operating pressure but to decrease with the elasticity of the liquid phase. A new correlation has also been developed to predict the gas holdup in bubble columns operating at elevated pressures. The new correlation was shown to be able to predict the experimental data of gas holdup within a mean absolute percentage error of 20%.</t>
  </si>
  <si>
    <t>Fardisi, S.; Karim, G.A.</t>
  </si>
  <si>
    <t>Buoyancy driven flow of light gases in atmosphere compared to that of hot gases</t>
  </si>
  <si>
    <t>8th International Symposium on Engineering Turbulence Modelling and Measurements, Marseille, France,June 9 to 11, 2010</t>
  </si>
  <si>
    <t>10.1016/j.ijheatfluidflow.2011.02.012</t>
  </si>
  <si>
    <t>The transient formation and subsequent dispersion of the plumes of a fixed mass of lighter than air gases emerging out of open cylindrical enclosures with negligible pressure difference was investigated using 3-D and 2-D CFD models. Subsequently, the dispersion into atmosphere of a similar amount of equally buoyant hot air was also considered. The structure and dynamics of the resulting thermally driven hot air plumes were compared to the corresponding characteristics of the mass-transfer driven isothermal plumes. Some cases were investigated in which the dispersing gases were both lighter than air and at a different temperature from that of the atmosphere. The similarities and differences of these double heat-mass-transfer driven problems with the other cases were discussed. It was shown that a criterion developed previously for judging the validity of the 2-D model relative to the more complex 3-D approach for mass-transfer driven problems could be equally applied for the thermally driven or double heat and mass-transfer driven plume flow characteristics.</t>
  </si>
  <si>
    <t>He, Deng-Hui; Bai, Bo-Feng</t>
  </si>
  <si>
    <t>Two-phase mass flow coefficient of V-Cone throttle device</t>
  </si>
  <si>
    <t>10.1016/j.expthermflusci.2014.03.018</t>
  </si>
  <si>
    <t>The V-Cone throttle device has been paid more and more attentions on the measurement of the wet gas flow in recent years. However, it tends to over-read the gas flow rate when directly used to measure the wet gas. How to correct this over-reading and obtain an accurate yet simple wet gas correlation is still one of the challenges in the investigation on the V-Cone throttle device. In this paper, the two-phase mass flow coefficient of the V-Cone throttle device was proposed to correct the deviation of the readings produced by the device. The parameters affecting the coefficient were determined and discussed experimentally. Two V-Cone throttle devices with the respective equivalent diameter ratios of 0.65 and 0.75 were investigated under the condition of the wet gas flow. The test fluid was air and tap water. The gas-to-liquid density ratio ranged from 0.002445 to 0.006083, and the gas densiometric Froude number ranged from 0.3 to 2.0. The influencing parameters including the Lockhart–Martinelli parameter, the gas-to-liquid density ratio, the gas densiometric Froude number and the equivalent diameter ratio were studied. Then the correlations of the two-phase mass flow coefficient and the influencing parameters were proposed for the two V-Cone throttle devices and evaluated experimentally. The results show that the relative deviations of the correlations are less than ±5.0% and the average deviations of the correlations are 2.06% and 2.22% for the V-Cone throttle devices with the equivalent diameter ratio of 0.65 and 0.75, respectively. It can be concluded that the two-phase mass flow coefficient of the V-Cone throttle device is crucial for the development of the wet gas correlation.</t>
  </si>
  <si>
    <t>Mucciacciaro, Michele; Nikos Gerolymos; Stefania Sica</t>
  </si>
  <si>
    <t>Seismic response of caisson-supported bridge piers on viscoelastic soil</t>
  </si>
  <si>
    <t>10.1016/j.soildyn.2020.106341</t>
  </si>
  <si>
    <t>The paper presents a parametric study on the seismic response of bridge piers founded on gravity caissons. Despite the wide use of caissons in bridge engineering, until a few years ago this foundation typology has been less investigated than piles and shallow foundations in both static and dynamic field. In most of the published studies, the seismic design of bridge piers was carried out without accounting for soil-structure interaction or by means of an uncoupled approach in which the superstructure was solved independently from the soil-caisson subsystem. In this study, coupled systems made of soil, caisson, pier and deck were analyzed in the time domain by a 3D finite element approach, considering rigid and massive caissons embedded in linear viscoelastic soils. In addition to unravelling the contribution of kinematic and inertial interaction to the total response of the caisson-bridge-pier systems, the study focuses on a particular aspect of kinematic interaction, overlooked in practical design and in most of previous studies, represented by the kinematic bending arising in the bridge pier due to the pier-to-deck joint rigidity. For some critical combinations of soil compliance, caisson geometry, pier height and input motion characteristics, the pier-deck constraint could induce kinematic bending moments in the pier as important as the inertial ones. A closed-form equation was finally proposed to predict the maximum kinematic moment in the bridge pier as a function of the key model parameters identified through the parametric study.</t>
  </si>
  <si>
    <t>Luo, Cheng; Yuan, Huang</t>
  </si>
  <si>
    <t>Determination of elastoplastic properties in anisotropic materials with cubic symmetry by instrumented indentation</t>
  </si>
  <si>
    <t>10.1016/j.mechmat.2022.104461</t>
  </si>
  <si>
    <t>Multi-dimensional finite element modelings of instrumented sharp indentation on materials with cubic symmetry are conducted. A novel reverse analysis algorithm for identifying elastoplastic properties is established for the cubic material, while the anisotropy of the material is determined by indentations on distinct orientations. Influences of elastic anisotropy and anisotropic yielding behavior are considered with the help of three-dimensional computations. Sensitivity analysis confirms the accuracy and robustness of the new method. The obtained results are compared and verified with experimental data of a nickel-base single crystal alloy.</t>
  </si>
  <si>
    <t>Lei, Zhiliang; He, Kuo; Huang, Qin; Bao, Zewei; Li, Xiangyuan</t>
  </si>
  <si>
    <t>Numerical study on supercritical heat transfer of n-decane during pyrolysis in rectangular tubes</t>
  </si>
  <si>
    <t>10.1016/j.applthermaleng.2020.115002</t>
  </si>
  <si>
    <t>The supercritical heat transfer processes of n-decane during pyrolysis in rectangular tubes having three different equivalent diameters are studied numerically. The effects of mass flow rate (2–5 g/s), heat flux (109–436 kW/m2), and three different channel configurations having the same cross-sectional areas on the supercritical heat transfer characteristics of n-decane during pyrolysis are investigated. The heat transfer mechanisms are analysed from the perspective of pyrolysis, thermophysical properties, wall shear stress, and thickness of the boundary layer. The results demonstrate that the heat transfer coefficient increases with mass flow rate. The heat transfer coefficient decreases with increasing heat flux at the inlet section of the heating tube; however, the trend is reversed after a certain distance. The heat transfer coefficient decreases with the increase in the equivalent diameter. The thinning of the boundary layer thickness, increase in the wall shear stress, primary pyrolysis reaction, increase in the heat capacity and thermal conductivity, and decrease in the viscosity enhance the heat transfer. Based on the considerable deviations between the computational fluid dynamics simulation results and the existing heat transfer correlations, the Dittus–Boelter correlation is modified such that it can be applied to predict the supercritical heat transfer coefficients of n-decane during pyrolysis in the above rectangular tubes.</t>
  </si>
  <si>
    <t>Zhang, Weigui; Li, Kun; Chi, Runqiang; Tan, Susheng; Li, Peijie</t>
  </si>
  <si>
    <t>Insights into microstructural evolution and deformation behaviors of a gradient textured AZ31B Mg alloy plate under hypervelocity impact</t>
  </si>
  <si>
    <t>Journal of Materials Science &amp; Technology</t>
  </si>
  <si>
    <t>10.1016/j.jmst.2021.02.049</t>
  </si>
  <si>
    <t>We have for the first time elucidated the microstructural evolution and deformation behaviors of a gradient textured AZ31B Mg alloy plate under the ultrahigh strain rate of ~106 s−1 that is generated by a two-stage light gas gun with the hypervelocities of 1.6−4.4 km s−1. The hypervelocity impact cratering behaviors indicate that the cratering deformation of AZ31B Mg alloy is mainly affected by the inertia and strength of the target material. The crater prediction equation of AZ31B Mg alloy target under impact velocity of 5 km s−1 is given. The 2017Al projectile completely melts in the Mg alloy target plate at the impact velocities of 3.8 km s−1 and 4.4 km s−1, and the microstructural evolution around the crater is: dynamic recrystallization zone, high-density twinning zone, low-density twinning zone, and Mg alloy matrix. It is found that the dynamic recrystallization, twinning and cracking are the main deformation behaviors for the AZ31B Mg alloy to absorb the shock wave energy and release the stress generated by the hypervelocity impact. The main plastic deformation mechanisms of the Mg alloy target during hypervelocity impact are twinning and dislocation slip. Microstructure analysis shows the interactions of twins-twins, dislocations-dislocations, and twins-dislocations determine the strain hardening during the hypervelocity impact process, which eventually contributes the dynamic mechanical properties. The evolution of microhardness around the crater further demonstrates the microstructural evolutions and their interactions under the hypervelocity impacts.</t>
  </si>
  <si>
    <t>Lu, Zhike; Feng, Yihui; Peng, Guangjian; Yang, Rong; Huan, Yong; Zhang, Taihua</t>
  </si>
  <si>
    <t>Estimation of surface equi-biaxial residual stress by using instrumented sharp indentation</t>
  </si>
  <si>
    <t>Materials Science and Engineering: A</t>
  </si>
  <si>
    <t>10.1016/j.msea.2014.07.041</t>
  </si>
  <si>
    <t>Herein, we describe a method that can be used to estimate the surface equi-biaxial residual stress of a material using instrumented sharp indentation. In this method, the fractional change in the loading curvature, rather than the contact area, was chosen as the analytical parameter; this fractional change can be more precisely obtained. A linear relationship between the fractional change in the loading curvature and the normalized equi-biaxial residual stress was found via dimensional and finite element analysis, and this linear relationship greatly simplifies the formulas associated with this method. Moreover, the proposed method was successfully verified using experimental data from our laboratory and from the literature.</t>
  </si>
  <si>
    <t>Wan, Yunlei; Zhu, Lu; Fang, Hai; Liu, Weiqing; Mao, Yifeng</t>
  </si>
  <si>
    <t>Experimental testing and numerical simulations of ship impact on axially loaded reinforced concrete piers</t>
  </si>
  <si>
    <t>10.1016/j.ijimpeng.2018.11.016</t>
  </si>
  <si>
    <t>Ship collision with bridge piers is one of the most frequent types of accidents that may lead to a bridge failure. The collision characteristic of bow structure is significant to the study ship-pier collision process. In this paper, the quasi-static compression test and numerical simulation of a simplified bow model were carried out to study the static stiffness characteristic of the ship bow for further comparison with the dynamic ones. To evaluate the performance of reinforced concrete (RC) piers against ship collision, and to guide the design of the bridge piers and anti-collision, scaled model tests of ship-pier collision and finite element simulations based on the main pier no. 217 of the Shijiu Lake Bridge were carried out. The damage process and failure mode of the pier were analysed. Instead of rigid or elastic materials in most of the previous works of numerical simulation of ship collision with bridge piers, the bridge pier is modelled with nonlinear materials to simulate the pier characteristics more accurately. To examine the reasonability of the scaled model tests, finite element analysis of the full-scale ship-pier collision was conducted. In the light of the numerical results, the design impact loads prescribed by Eurocode and AASHTO LRFD Bridge Design Specifications were evaluated. Parametric studies were carried out to investigate the effects of the dynamic parameters and impact velocity on the impact force and ship bow crush depth.</t>
  </si>
  <si>
    <t>Ogunmodimu, Olumide; Govender, Indresan; Mainza, Aubrey Njema; Franzidis, Jean-Paul</t>
  </si>
  <si>
    <t>Development of a mechanistic model of granular flow on vibrating screens</t>
  </si>
  <si>
    <t>Minerals Engineering</t>
  </si>
  <si>
    <t>10.1016/j.mineng.2020.106771</t>
  </si>
  <si>
    <t>Screening is often applied to separate granulated ore materials into multiple particle size fractions. Therefore, achieving optimal efficiency in the screen performance becomes essential for improved downstream processing. Several techniques such as physical modelling, empirical modelling, mathematical modelling and the discrete element method (DEM) have been adopted by scientists and engineers to study granular flow on vibrating screens. However, advancement in the current state-of-the-art modelling of particle screening requires a mechanistic understanding of their motion along the screen. This necessitates the need to fully quantify the granular rheology determined by the depth of the particle bed along the screen, the solid concentration, and the average velocity of the granular avalanche on the screen. In this study, the concept of granular rheology is applied to study granular media on vibrating screens. This approach overcomes the extreme dependency on machine-specific empirical models for vibrating screens. The kinematic outputs from DEM simulations are used to formulate a visco-plastic model of the granular rheology along an inclined vibratory screen. This mechanistic screening model includes a description of the rheology of granular flow on a vibrating screen. The model captures the flow transition from a quasi-static phase to a dense-flow regime. The quasi-static regime transition occurs at the inertial I value of 0.018, the dense-like regime to a turbulence or gas-like regime at 0.018 &lt; I &lt; 0.5. The inertial regime is observed to occur beyond the dense-flow regime. The model was validated and tested for various vibrational frequencies of the system.</t>
  </si>
  <si>
    <t>Tartibi, M.; Liu, Y.X.; Liu, G.-Y.; Komvopoulos, K.</t>
  </si>
  <si>
    <t>Single-cell mechanics – An experimental–computational method for quantifying the membrane–cytoskeleton elasticity of cells</t>
  </si>
  <si>
    <t>Acta Biomaterialia</t>
  </si>
  <si>
    <t>10.1016/j.actbio.2015.08.028</t>
  </si>
  <si>
    <t>The membrane–cytoskeleton system plays a major role in cell adhesion, growth, migration, and differentiation. F-actin filaments, cross-linkers, binding proteins that bundle F-actin filaments to form the actin cytoskeleton, and integrins that connect the actin cytoskeleton network to the cell plasma membrane and extracellular matrix are major cytoskeleton constituents. Thus, the cell cytoskeleton is a complex composite that can assume different shapes. Atomic force microscopy (AFM)-based techniques have been used to measure cytoskeleton material properties without much attention to cell shape. A recently developed surface chemical patterning method for long-term single-cell culture was used to seed individual cells on circular patterns. A continuum-based cell model, which uses as input the force–displacement response obtained with a modified AFM setup and relates the membrane–cytoskeleton elastic behavior to the cell geometry, while treating all other subcellular components suspended in the cytoplasmic liquid (gel) as an incompressible fluid, is presented and validated by experimental results. The developed analytical–experimental methodology establishes a framework for quantifying the membrane–cytoskeleton elasticity of live cells. This capability may have immense implications in cell biology, particularly in studies seeking to establish correlations between membrane–cytoskeleton elasticity and cell disease, mortality, differentiation, and migration, and provide insight into cell infiltration through nonwoven fibrous scaffolds. The present method can be further extended to analyze membrane–cytoskeleton viscoelasticity, examine the role of other subcellular components (e.g., nucleus envelope) in cell elasticity, and elucidate the effects of mechanical stimuli on cell differentiation and motility. Statement of Significance This is the first study to decouple the membrane–cytoskeleton elasticity from cell stiffness and introduce an effective approach for measuring the elastic modulus. The novelty of this study is the development of new technology for quantifying the elastic stiffness of the membrane–cytoskeleton system of cells. This capability could have immense implications in cell biology, particularly in establishing correlations between various cell diseases, mortality, and differentiation with membrane–cytoskeleton elasticity, examining through-tissue cell migration, and understanding cell infiltration in porous scaffolds. The present method can be further extended to analyze membrane–cytoskeleton viscous behavior, identify the contribution of other subcellular components (e.g., nucleus envelope) to load sharing, and elucidate mechanotransduction effects due to repetitive compressive loading and unloading on cell differentiation and motility.</t>
  </si>
  <si>
    <t>Al Wakeel, Shahlaa; Ghanbari, Farshad; Hubler, Mija</t>
  </si>
  <si>
    <t>Particle arrangement effects on the stress intensity in composite material</t>
  </si>
  <si>
    <t>10.1016/j.engfracmech.2018.09.014</t>
  </si>
  <si>
    <t>Motivated by recent advances in material design methods that allow for the controlled engineering of microstructure, we study how the degree of spatial ordering of the inclusions within a particle composite will affect the stress intensity factor associated with an existing crack. By exploring statistically representative sets of random inclusions using linear elastic fracture mechanics expressions, trends of the particle arrangement effect on the stress intensity factor are observed. We find that ordered, random, and clumped inclusion arrangements show an increasing effect on toughness, in that order. These results are verified using finite element analysis. To quantify the observed trend in material behavior with the spatial order of inclusions we consider two metrics of order: the bond-orientational order parameter, Q, and the translational order parameter, T. Finite element models of particle composites with increasing degrees of order reveal that the increasing effect on toughness can be captured and that T is more closely correlated to the effect on the stress intensity factor. We also find that the correlation between the stress intensity factor and particle arrangement is sensitive to the nearest-neighbor distance in Q, revealing that a quantifier approaching a global measure of order is more representative depending on the inclusion volume fraction. The results of this work can improve our understanding of how the stress intensity factor in particle composites explicitly varies with inclusion arrangement. It also provides key insights to develop formulations to engineer random composite microstructures for improved material fracture integrity and to identify issues in quality control of manufacturing methods involving particle distribution.</t>
  </si>
  <si>
    <t>Zhao, Runchao; Zhao, Zhiqian; Xu, Yeyin; Li, Zhitong; Chen, Zhaobo; Chen, Zengtao; Jiao, Yinghou</t>
  </si>
  <si>
    <t>Dynamic scaling design strategy of discontinuous bolted rotor systems based on bidirectional parameter mapping</t>
  </si>
  <si>
    <t>10.1016/j.ymssp.2023.110662</t>
  </si>
  <si>
    <t>Rods fastened rotor system are widely used in heavy-duty gas turbines. The contact nonlinearity and discontinuity induced by bolted rotor structures, make it difficult to design a scaled rotor system accurately. Thus, a dynamic scaling design strategy for discontinuous bolted rotor systems is proposed in this paper. An improved continuous modeling method considering rods deformation based on equivalent material layer (EML) is introduced to reflect the weakening effect of the rotor stiffness with bolted structure, and the parameter mapping relationships between the continuous and the discontinuous structure are constructed. The scaling factors of each element of the rotor system are derived by the similarity theory. Through this approach, a discontinuous rotor system can be scaled, demonstrating a high level of consistency with the prototype in terms of natural frequencies, critical speeds as well as frequency response. In addition, modal experiments under different preloads and dynamic acceleration experiment are carried out to verify of the proposed modeling method for discontinuous rotor structures. The testing and simulation results prove that the introduced equivalent material layer reflects the contact effect of prototype accurately. Compared with the experimental results, the maximum deviation of the first two natural frequencies is 4.06%, and the maximum deviation of the critical speeds is 1.36%, demonstrating the potential of small size, low-cost scaled models for predicting the complex dynamic characteristics of the prototype rotor system. Overall, the proposed scaling design strategy provides practical guidance for the design and manufacture of the discontinuous scaled rotor systems, which has broad application in testing, fault prediction and dynamic design of prototypes.</t>
  </si>
  <si>
    <t>Peña, E.; Ferreras, J.; Sanchez-Tembleque, F.</t>
  </si>
  <si>
    <t>Experimental study on wave transmission coefficient, mooring lines and module connector forces with different designs of floating breakwaters</t>
  </si>
  <si>
    <t>10.1016/j.oceaneng.2011.05.005</t>
  </si>
  <si>
    <t>This paper presents the results and conclusions obtained from the physical model tests carried out with four different designs of floating breakwaters. Changes from a basic design have been introduced in order to evaluate the improvement in the efficiency as a coastal protection structure. Incident and transmitted waves have been measured, as well as the efforts in the mooring lines and module connectors. It has been found that the width of the pontoons is one of the key design parameters, while small modifications in the floating breakwater's cross section shape are less determinant in its hydrodynamic behaviour and in mechanical loads in the discussed ranges. 2D and 3D tests were conducted, observing the great influence that the wave obliquity has in the module connector forces.</t>
  </si>
  <si>
    <t>Zhou, Anqi; Liu, Xijun; Zhang, Suxia; Cui, Fujiang; Liu, Peng</t>
  </si>
  <si>
    <t>Wind tunnel test of the influence of an interphase spacer on the galloping control of iced eight-bundled conductors</t>
  </si>
  <si>
    <t>Cold Regions Science and Technology</t>
  </si>
  <si>
    <t>10.1016/j.coldregions.2018.08.026</t>
  </si>
  <si>
    <t>To study the anti-galloping effect of interphase spacers with different kinds of arrangements on an iced transmission line, wind tunnel experiments using a full aeroelastic model are carried out in this work. Using similarity theory, the similarity criteria between the aeroelastic model and the prototype have been deduced. A triangular arrangement of three phases is considered, and the arrangements of iced eight-bundled conductors with and without the spacers are divided into six cases. In the experiments, laser sensors at different positions along the span of each phase are used to measure the variation of dynamic displacements with wind speed. Furthermore, galloping characteristics, such as the responses, frequencies, vibration modes, amplitudes and distance between two phases, are obtained for different wind speeds and arrangements. The obtained results show that interphase spacers have a certain inhibitory effect on the first symmetric mode and the first anti-symmetric mode galloping, but not all of the arrangements have a positive effect. The regularity of the variation with wind speed of the anti-galloping effect with interphase spacers is summarized. The galloping amplitude curves indicate that the amplitude is likely to be larger when a modal transformation occurs, in contrast to the results obtained without interphase spacers. The motion of the phase C located close to the diffusion section is different from those of the other two phases. Moreover, due to interphase spacers, the distance between the two phases is increased. The obtained conclusions can be used to predict the positions of interphase spacers and provide a fundamental tool for anti-galloping of eight-bundled conductors.</t>
  </si>
  <si>
    <t>Al-Tamimi, Anees; Darvizeh, Rooholamin; Davey, Keith</t>
  </si>
  <si>
    <t>Experimental investigation into finite similitude for metal forming processes</t>
  </si>
  <si>
    <t>10.1016/j.jmatprotec.2018.07.028</t>
  </si>
  <si>
    <t>Applied in this paper is a new technique for scaling metal forming processes, founded on the idea that scaling can be achieved by scaling space itself. With this approach, the physics in two spaces is described using transport equations and are deemed to possess finite similitude if found to be proportional. Finite similitude can be shown to always exist in continuum mechanics for isotropic scaling and it is demonstrated here how the concept can be used to design experiments. Validation of the approach is achieved by means of scaled experimental, numerical and analytical solutions of scaled upsetting tests for cylindrical and ring samples. Three trial materials are tested and distinguished by the degree of strain softening, strain hardening and near perfect-plastic behaviour. Finite similitude results confirm that any discrepancies between the maximum loads are substantially reduced when the new scaling theory is applied. Best results are obtained when the same material is adopted for both full and small-scale experimentation.</t>
  </si>
  <si>
    <t>Han, Chang-Liang; Ren, Jing-Jie; Dong, Wen-Ping; Bi, Ming-Shu</t>
  </si>
  <si>
    <t>Numerical investigation of supercritical LNG convective heat transfer in a horizontal serpentine tube</t>
  </si>
  <si>
    <t>Cryogenics</t>
  </si>
  <si>
    <t>10.1016/j.cryogenics.2016.05.005</t>
  </si>
  <si>
    <t>The submerged combustion vaporizer (SCV) is indispensable general equipment for liquefied natural gas (LNG) receiving terminals. In this paper, numerical simulation was conducted to get insight into the flow and heat transfer characteristics of supercritical LNG on the tube-side of SCV. The SST model with enhanced wall treatment method was utilized to handle the coupled wall-to-LNG heat transfer. The thermal–physical properties of LNG under supercritical pressure were used for this study. After the validation of model and method, the effects of mass flux, outer wall temperature and inlet pressure on the heat transfer behaviors were discussed in detail. Then the non-uniformity heat transfer mechanism of supercritical LNG and effect of natural convection due to buoyancy change in the tube was discussed based on the numerical results. Moreover, different flow and heat transfer characteristics inside the bend tube sections were also analyzed. The obtained numerical results showed that the local surface heat transfer coefficient attained its peak value when the bulk LNG temperature approached the so-called pseudo-critical temperature. Higher mass flux could eliminate the heat transfer deteriorations due to the increase of turbulent diffusion. An increase of outer wall temperature had a significant influence on diminishing heat transfer ability of LNG. The maximum surface heat transfer coefficient strongly depended on inlet pressure. Bend tube sections could enhance the heat transfer due to secondary flow phenomenon. Furthermore, based on the current simulation results, a new dimensionless, semi-theoretical empirical correlation was developed for supercritical LNG convective heat transfer in a horizontal serpentine tube. The paper provided the mechanism of heat transfer for the design of high-efficiency SCV.</t>
  </si>
  <si>
    <t>Darabi, Pirooz; Li, Tingwen; Pougatch, Konstantin; Salcudean, Martha; Grecov, Dana</t>
  </si>
  <si>
    <t>Modeling the evolution and rupture of stretching pendular liquid bridges</t>
  </si>
  <si>
    <t>10.1016/j.ces.2010.04.003</t>
  </si>
  <si>
    <t>A simplified mathematical model and numerical simulations of the governing Navier–Stokes equations are used to predict the shape evolution, rupture distance, and liquid distribution of stretching pendular liquid bridges between two equal-sized spherical solid particles. In the simplified model, the bridge shape is approximated with a parabola, and it is assumed that the surface tension effects dominate the viscous, inertial, and gravitational effects. For the numerical simulations, a commercial Computational Fluid Dynamics (CFD) software package – FLUENT – is used. The rupture distance predictions obtained with both models are compared with experimental data and a reasonable agreement is found. The results of the numerical investigations show that for simulations with negligible viscous, inertial, and gravitational effects, the rupture distance approaches an asymptotic value, which is close to the value predicted by the simplified model. The bridge profiles predicted using the simplified model and the numerical simulation are compared. It is found that a second-order polynomial appropriately represents the stable bridge shape for particles with identical contact angles; however, for liquid bridges between particles with different contact angles, the numerical simulations of the governing Navier–Stokes equations should be used.</t>
  </si>
  <si>
    <t>Oshiro, R.E.; Calle, M.A.G.; Mazzariol, L.M.; Alves, M.</t>
  </si>
  <si>
    <t>Experimental study of collision in scaled naval structures</t>
  </si>
  <si>
    <t>Special Issue in honor of Seventy Fifth Birthday of Professor N. K. Gupta</t>
  </si>
  <si>
    <t>10.1016/j.ijimpeng.2017.01.024</t>
  </si>
  <si>
    <t>Experimental tests of the collision of reduced scale naval structures is here detailed described. First, a web girder section constructed in two different scales, 1/1 and 1/4, is subjected to the impact of a rigid indenter at mid span. The second experiment employs a more complex structure: a head-on collision of a 1/100 scaled tanker against a rigid obstacle. Special attention is given to some similarity complications that are frequent in real tests: model yielding stress different from the prototype and material strain rate. Since the standard similarity laws are unable to deal with those issues, it is shown how to modify the scaling factors to generate a replica similar to the corresponding prototype. Results are shown that support the approach with the modified scaling factors producing a behavior closer to the full-size structure. In the study of the ship head-on collision, only a 1/100 scaled specimen could be tested. In this case, the equivalent prototype was calculated with the assistance of the scaling factors and compared with empirical formulations found in the literature. The methodology depicted in this manuscript can be used as a guidance for scaled impact tests of vessels and other types of large structures.</t>
  </si>
  <si>
    <t>Liu, Dongmei; Loo, Chin Eng; Evans, Geoffrey</t>
  </si>
  <si>
    <t>Flow characteristics of the molten mix generated during iron ore sintering</t>
  </si>
  <si>
    <t>10.1016/j.minpro.2016.02.008</t>
  </si>
  <si>
    <t>In a sintering bed the generation of melt in the descending flame front causes the coalescence of material and the transformation of the particulate bed. Interspersed between the large voids are the densified lumps of sinter which are released on crushing and used as blast furnace feed. The bed transformation process is critical in sintering and is an outcome of the work done on the material by the surface and opposing viscous forces. Less densified, weaker sinter forms when the level of coalescence achieved is low. The process is extremely complex in that it involves a three-phase melt–solids–gas system. In this study, the composition of the sinter bed was simulated using the pressed cylinders of laboratory grade chemicals and the coalescence process was studied by characterising the densification of the cylinders. The alumina, magnesia and basicity of the cylinders were altered (1–4%, 0–2% and 0–3, respectively) to change the properties of the melt and also its solid content. The estimation of solid–melt content, melt composition, viscosity and surface tension was obtained using a thermodynamic model (FactSage) and the reported equations in the literature. Using these results Laplace number of the system was determined as a function of temperature. At the completion of some tests the cooled solidified samples were studied under a microscope. The experimental results showed that the higher sinter density and densification factor were obtained when temperature and sinter mix basicity increased and alumina levels decreased. The effect of magnesia level on densification was less because the porosity of the cylinders altered with magnesium carbonate levels. The trends obtained in sinter densification are consistent with the micro-structural information indicated by optical micrographs. The use of Laplace number to quantify the relative influence of the surface to viscous forces on coalescence was encouraging with a prediction error within ±10%. It was also concluded that the most influential factor determining densification factor was the apparent viscosity of the molten mix as the change in surface force was comparatively small.</t>
  </si>
  <si>
    <t>Zhao, Kunpeng; Tian, Wei; Li, Xuri; Bai, Bofeng</t>
  </si>
  <si>
    <t>A physical model for liquid leakage flow rate during plunger lifting process in gas wells</t>
  </si>
  <si>
    <t>10.1016/j.jngse.2017.10.008</t>
  </si>
  <si>
    <t>Plunger lift is an economical method to solve the liquid loading problem in industry and has been paid more and more attentions in recent years. Because of the inevitable annular gap between plunger and tube wall, the liquid above the plunger may leak downward during lifting process. How to model and reduce the liquid leakage flow rate is still challenging to optimize the plunger lift method. In this paper, the geometric and operating parameters affecting the liquid leakage in plunger lifting process were determined and discussed. Seven different diameter ratios between plungers and tube of 0.90–0.98 were investigated experimentally, and the optimal diameter ratio (0.96) was obtained. Based on the force balance over plunger and liquid column, a physical model for the liquid leakage during plunger lifting process was proposed. Combining the experimental data of pressure loss in tube, a dimensionless correlation of liquid leakage flow rate for the optimal diameter ratio (0.96) was developed. The results showed that the relative deviation of the correlation is less than ±10.0%. The influencing parameters including the Euler number of liquid, the gas-to-liquid density ratio, the gas and liquid Froude number, the liquid Reynolds number, and the ratio of lifting distance and loading liquid height were studied. The decrease of the initial differential pressure of liquid column and the increase of the gas production mass flow rate make positive contributions to reduce the liquid leakage flow rate during lifting process.</t>
  </si>
  <si>
    <t>Greco, Carlo Salvatore; Ianiro, Andrea; Astarita, Tommaso; Cardone, Gennaro</t>
  </si>
  <si>
    <t>On the near field of single and twin circular synthetic air jets</t>
  </si>
  <si>
    <t>10.1016/j.ijheatfluidflow.2013.03.018</t>
  </si>
  <si>
    <t>In this work the flow features in the near field of single and twin synthetic jets are experimentally investigated. An acoustic resonator is designed as a cavity split in two equal sub-cavities by the membrane of a loudspeaker. Each sub-cavity is connected to the quiescent ambient by a cylindrical nozzle (a pipe) thus two circular synthetic jets in phase opposition are obtained. The influence of jets interaction has been evaluated by varying the jet-axes-distance (1.1, 3 and 5 nozzle diameters) at a fixed operating condition (Reynolds number equal to 6700 and Strouhal number equal to 0.046); the jets pulsating frequency is kept equal to the sub-cavities resonance frequency and the results are compared with those of the single circular synthetic jet in the same conditions. The flow is characterized with PIV phase averaged measurements. Results for the single synthetic jet are in good agreement with the ones present in the literature and a potential core region is defined for the phase averaged flow field of synthetic jets. Twin circular synthetic jets at jet-axes-distance equal to 3 and 5 diameters show the same behavior with respect to the single circular synthetic jet. Differently, strong interaction effects are seen at jet-axes-distance equal to 1.1 diameters: in particular a double vortex ring structure is visualized. This causes a different velocity distribution in the jet core, higher axial velocities and a lower jet width.</t>
  </si>
  <si>
    <t>Haase, S.; Marschner, S.; Ayubi, M.M.; Lange, M.</t>
  </si>
  <si>
    <t>Gas-liquid flow in small channels: Artificial neural network classifiers for flow regime prediction</t>
  </si>
  <si>
    <t>10.1016/j.cep.2021.108687</t>
  </si>
  <si>
    <t>To design and operate multiphase apparatus with mini- and microchannels, it is important to know how the fluids stream inside. Most literature reports the occurrence of flow regimes in dependence on gas and liquid superficial velocities in flow maps that are valid for fluids with similar properties and channels with similar geometry. Attempts to develop universally applicable flow maps show limitations in the number and variation of considered model parameters or in the number of considered flow regimes. This paper presents artificial neural network classifiers able to predict all relevant flow regimes: (a) Taylor flow, (b) bubbly flow, (c) Taylor-annular flow, (d) churn flow, (e) dispersed flow, (f) annular flow, (g) rivulet flow, and h) parallel flow in dependence on geometric and operational parameters as well as fluid properties with a high precision (R=0.92...0.95 and classification rates were generally above 80%). The classifiers were developed and validated by using more than 13,000 experimental data on gas-liquid flows extracted from 97 flow maps and are based on 7 significant dimensionless groups, namely, ReG, ReL, WeG, WeL,CaL, Θ*, and the channel form factor FC.</t>
  </si>
  <si>
    <t>Bai, Fan; Lei, Le; Zhang, Zhuo; Li, Hailong; Yan, Jinyue; Chen, Li; Dai, Yan-Jun; Chen, Lei; Tao, Wen-Quan</t>
  </si>
  <si>
    <t>Application of similarity theory in modeling the output characteristics of proton exchange membrane fuel cell</t>
  </si>
  <si>
    <t>10.1016/j.ijhydene.2021.08.205</t>
  </si>
  <si>
    <t>Proton Exchange Membrane Fuel Cell (PEMFC) has attracted widespread interest. In the present work, similarity analysis is adopted for a three-dimensional single-phase isothermal model of PEMFC to derive similarity criteria. Seven kinds of input criteria (Π1 ∼ Π7) are obtained, relevant to the fluid flow, pressure drop, flow resistance in a porous medium, activity loss, diffusion mass transfer, convective mass transfer and ohmic loss in PEMFC respectively. Dimensionless voltage and dimensionless current density are defined as two output criteria. Numerical verifications show that if the seven criteria keep their individual values with their components vary in a wide range, the dimensionless polarization curves keep the same with a deviation about 1%, showing the validity and feasibility of the present analysis. From the effect on the dimensionless polarization curve, sensibility analysis shows that the seven criteria can be divided into three categories: strong (Π4 and Π7, -94.9% ∼ +349.2%), mild to minor (Π5 and Π6, -4.5% ∼ +5.0%), and negligible (Π1, Π2 and Π3, -1.2% ∼ +1.1%). The similarity analysis approach can greatly save computation time in modeling the output characteristics of PEMFC.</t>
  </si>
  <si>
    <t>Muñoz-Cobo, José L.; Berna-Escriche, César; Blanco, David</t>
  </si>
  <si>
    <t>Bayesian calibration and fitting of nuclear thermal–hydraulic models by Markov chain Monte Carlo methods using the Gibbs sampler</t>
  </si>
  <si>
    <t>10.1016/j.anucene.2023.110318</t>
  </si>
  <si>
    <t>This paper applies Bayesian methods to obtain the joint probability distribution function (PDF) of the unknown parameters of some of the correlation types used in thermal hydraulics, which are conditioned to a set of results of separate effect experiments. The problem is solved by Markov chain Monte Carlo methods using the Gibbs sampler. In this paper it is shown how to obtain the conditional PDFs for each one of the parameters, which define two typical correlations that appear in thermal–hydraulic problems, i) the heat transfer in the walls of a pipe and ii) the penetration length of steam discharged in a subcooled pool. The equations for the conditional probabilities of each one of the parameters are deduced and then used to build the Gibbs sampler which is then programmed in R. The PDFs are obtained for each one of the parameters and from these the maximum a posteriori of each one of the parameters is obtained. The new correlations obtained in this way are compared with the experimental data and show satisfactory performance for the case of the penetration of steam in a subcooled pool. Also, we study two cases one with a small number of experimental data and another one with a large number, it is observed that if the number of parameters is small the Markov chain converges fast to the region of high probability of the parameters for both cases with a small number of data and with large number of data, but if the number of parameters increases then the convergence for the case with small number of data becomes poor, however the convergence continuous being very fast for the case with large number of experimental data.</t>
  </si>
  <si>
    <t>Rahman, Rashnur M.; Awoleke, Obadare O.; Goddard, Scott D.</t>
  </si>
  <si>
    <t>Meta-analysis of propped fracture conductivity data—fixed effects regression modeling</t>
  </si>
  <si>
    <t>10.1016/j.petrol.2019.106280</t>
  </si>
  <si>
    <t>Previous empirical models of propped fracture conductivity are based either on data sourced from single investigations or on data not in the public domain. In this work, statistically rigorous models of propped fracture conductivity are developed using a database of fracture conductivity experiments reported in technical literature over the last 40 years. The database contains about 2700 data points. Propped fracture conductivity is the dependent variable and proppant type, mesh size, proppant concentration, formation hardness, closure stress, formation temperature, and polymer concentration are the independent variables. The full, original database was pared down to various subsets, each having complete information in relation to some subset of the independent variables. The number of independent variables included in each of the resulting databases varied from three to six. Seventy percent of the data was used to develop the models while thirty percent of the data was used to validate them. Fixed effect models were selected using all subsets regression analysis in three, four, and five experimental factors for each of two types of proppant. The five factor model appeared to be the most useful model for both proppant types from a predictive point of view. Five-factor model predictions also compared favorably with an existing propped fracture conductivity model and different case histories published in literature. This project provides engineers with access to a propped fracture conductivity database based on experiments reported over the past 40 years in technical literature. The models developed based on this database can be used to generate predictions of propped fracture conductivity for a variety of proppant characteristics and formation conditions. Also, the models presented here are based on data from experimental investigations in different laboratories, potentially reducing biases that may be present in single laboratory investigations.</t>
  </si>
  <si>
    <t>Chen, Xingwei; Dai, Ye; Yan, Rui; Mei, Mudan; Zhang, Jie; Zou, Yang; Cai, Xiangzhou</t>
  </si>
  <si>
    <t>Experimental study on the vibration behavior of the pebble bed in PB-FHR</t>
  </si>
  <si>
    <t>10.1016/j.anucene.2019.107193</t>
  </si>
  <si>
    <t>Vibration induced by external excitations such as earthquake or mechanical operation is a threat to the safety of PB-FHR. A scaled model based on TMSR-SF is built to conduct vibration experiments under different conditions. Experiment results show that pebble bed keeps stable under weak vibration, while it becomes denser in few minutes when strong vibration occurs. The packing factor increases rapidly with about 5% variation in initial 5 min under strong vibration, which induces approximately 2500 pcm reactivity in reactor core. The vertical vibration which occurs first in earthquake has less impact on pebble bed than horizontal vibration. Increase of flow velocity may enhance support force between pebbles, which leads to more stable structure of pebble bed under vibration. The study analyzed the influence of vibration on the pebble bed in the reactor core. These experiment phenomena and results provide support to reactor design and safety analysis of PB-FHR.</t>
  </si>
  <si>
    <t>Djebli, Ahmed; Hanini, Salah; Badaoui, Ouassila; Boumahdi, Mouloud</t>
  </si>
  <si>
    <t>A new approach to the thermodynamics study of drying tomatoes in mixed solar dryer</t>
  </si>
  <si>
    <t>10.1016/j.solener.2019.09.057</t>
  </si>
  <si>
    <t>This work presents the results of an experimental study and thermodynamic study of solar drying of tomatoes of the KAWA type, where the drying experiments was carried out in a large scale mixed solar dryer. The aim is to obtain the drying curves and calculate the effective diffusivity to predict drying kinetics and thermodynamic characteristics of tomatoes drying. The tomato samples were cut in two different shapes namely flat slices and wedges. In the case of flat slices, there were four different thicknesses, 0.5, 1, 1.5, 2 cm. For the wedged slices, the tomatoes was slit into 2, 4, 8 and 16 equal sections. The moisture content of the tomatoes varied between 92.5 and 93.6%. The tomatoes were weighed regularly until moisture content fell between 18 and 25%. The Fick’s diffusion equation was used to calculate the effective diffusivity from the experimental data by fitting a linear dependency. A new proposed approach from the Arrhenius equation and a literature model were used to determine thermodynamic parameters. The drying operation lasted from 5 h to 21.25 h for flat slices and 8.5 h to 28.25 h for the wedges. The thermodynamic parameters derived from the new proposed approach are compared with the literature model. Evidently, the Gibbs free energy values indicate that tomato solar drying is a spontaneous natural process.</t>
  </si>
  <si>
    <t>Dubey, Stuti; Majumder, Subrata Kumar</t>
  </si>
  <si>
    <t>Stability analysis of CO2 microbubble for CO2 sequestration and mobility control in enhanced oil recovery</t>
  </si>
  <si>
    <t>10.1016/j.cej.2024.156595</t>
  </si>
  <si>
    <t>This study addresses the challenge of CO2 microbubble stability in enhanced oil recovery (EOR), with a focus on the combined effects of surfactant concentration, brine concentration, brine-oil ratio, and gas flow rate. Microbubble destabilization, driven by phase separation and improper brine-oil ratios, is a critical issue in EOR. The novelty of this research lies in the use of Acacia concinna, a natural, non-ionic surfactant, to enhance microbubble stability sustainably. The study systematically investigates foamability, drainage kinetics, surface tension, rheology, and bubble size distribution to assess microbubble stability. The results showed that increasing surfactant concentration and brine-oil ratio significantly impacted foam stability and bubble size distribution, with optimal stability conditions observed at 2 wt% surfactant concentration (53.6 min), 5000 ppm brine concentration (47.6 min), a brine-oil ratio of 1:2 (52.4 min), and a CO2 gas flow rate of 1 lpm. Key findings also indicate that increasing NaCl concentration from 5000 to 20,000 ppm caused an increase in microbubble diameter, while higher gas flow rates reduced bubble size. The work introduces new empirical correlations for predicting bubble size distribution based on column diameter, surfactant and brine concentrations, viscosity, density, and gas superficial velocity. These correlations provide a more accurate means of optimizing EOR processes, improving oil recovery efficiency while enhancing CO2 sequestration, contributing to both energy production and environmental sustainability.</t>
  </si>
  <si>
    <t>Ehsani, Majid; Moghim, Mohammad Navid; Shafieefar, Mehdi</t>
  </si>
  <si>
    <t>An experimental study on the hydraulic stability of Icelandic-Type berm breakwaters</t>
  </si>
  <si>
    <t>Coastal Engineering</t>
  </si>
  <si>
    <t>10.1016/j.coastaleng.2019.103599</t>
  </si>
  <si>
    <t>One of the key aspects of breakwater design and safety assessment is their stability evaluation. In the present paper, hydraulic stability of a multi-layer berm breakwater (MLBB) has been studied through varying the parameter of eroded area. To this end, a 2-D experimental model has been carried out in the wave flume of Tarbiat Modares University using irregular waves with a JONSWAP spectrum. A total of 150 tests have been performed to cover a wide range of sea state conditions and geometrical parameters such as wave height, wave period, water depth, berm width, berm elevation, stone class I height, front slope and nominal diameter of stone class I. In this study, a new dimensionless parameter is introduced to indicate that the wave breaking type plays a fundamental role in stability of MLBBs. Eventually; a new formula is derived to estimate the damage of MLBBs, based on different sea state conditions and various geometrical parameters. Comparisons are made between the estimated damage parameter of MLBBs by the proposed formula and those estimated by existing formulae. The results denote that the present formula not only performs well for MLBBs experimental data, but also indicates a reliable performance for some of Lykke Andersen's (2006) data in statically homogenous berm breakwaters (HBBs) outside the range of given formula. Furthermore, an innovative approach is presented to examine the eroded area based on the berm recession and the intersection point of reshaped and initial profile from SWL, which performs faultlessly rather than the existing one.</t>
  </si>
  <si>
    <t>Jianu, O.A.; Rosen, M.A.; Naterer, G.F.; Wang, Z.</t>
  </si>
  <si>
    <t>Two-phase bubble flow and convective mass transfer in water splitting processes</t>
  </si>
  <si>
    <t>10.1016/j.ijhydene.2015.01.074</t>
  </si>
  <si>
    <t>When hydrogen or oxygen is produced from water splitting by electrolysis, thermochemical cycles or solar-based photocatalytic methods, bubble flow and vapor transfer into the gas phase occur during phase transition. This undesirable vapor transfer requires the use of more energy input to compensate for the evaporation heat requirement as well as for subsequent gas purification in the downstream unit. In this paper, both experimental and modeling studies are performed to examine the dynamics of bubble flows and kinetics of water vapor transfer, particularly related to processes of hydrogen production. Experimental data are obtained using an advanced laser-based shadow imaging system and on-line vapor monitoring system. The bubble dynamics and water vapor transfer kinetics are modeled with non-dimensional parameters involving the bubble diameter, velocity and trajectories so that the water vapor transfer rate can be quantified under different operating conditions for various hydrogen production methods. Also, a predictive model is developed to simulate the physical processes of bubble transport in a vertical liquid column, as it occurs in water splitting processes such as oxygen generation in the thermochemical copper–chlorine cycle, as well as hydrogen generation in electrolytic and photocatalytic processes.</t>
  </si>
  <si>
    <t>Pope, K.; Rodrigues, V.; Doyle, R.; Tsopelas, A.; Gravelsins, R.; Naterer, G.F.; Tsang, E.</t>
  </si>
  <si>
    <t>Effects of stator vanes on power coefficients of a zephyr vertical axis wind turbine</t>
  </si>
  <si>
    <t>10.1016/j.renene.2009.10.012</t>
  </si>
  <si>
    <t>In this paper, numerical and experimental studies are presented to determine the operating performance and power output from a vertical axis wind turbine (VAWT). A k-ɛ turbulence model is used to perform the transient simulations. The 3-D numerical predictions are based on the time averaged Spalart-Allmaras equations. A case study is performed for varying VAWT stator vane (tab) geometries of a Zephyr vertical axis wind turbine. The mean velocity is used to predict the time averaged variations of the power coefficient and power output. Power coefficients predicted by the numerical models are compared for different turbine geometries. The predictive capabilities of the numerical model are verified by past experimental data, as well as wind tunnel experiments in the current paper, to compare two particular geometric designs. The numerical results examine the turbine's performance at constant and variable rotor velocities. The effects of stator vanes on the turbine's power output are presented and discussed.</t>
  </si>
  <si>
    <t>Prieto, Jesús-Ignacio; García, David</t>
  </si>
  <si>
    <t>Global solar radiation models: A critical review from the point of view of homogeneity and case study</t>
  </si>
  <si>
    <t>10.1016/j.rser.2021.111856</t>
  </si>
  <si>
    <t>Access to reliable solar radiation data is of paramount importance for the sustainable development of mankind. However, solar radiation measurements are available in few meteorological stations, so models are used to estimate global solar radiation from other climate variables. This paper presents a compilation of 165 global solar radiation models that is representative of the progress over the last 100 years. The models were classified according to the type of variables used and a large majority of dimensionally non-homogeneous equations were identified. Furthermore, it was observed that comparisons between various models studied in different regions over recent decades were occasionally contradictory, so that no single existing model seems to have definitively outperformed the others. In this context, homogeneity analysis provides a procedure to improve the quality of models by reducing the presence of variables implicit in numerical coefficients, which deserves to be valued as a methodological tool. In addition, a previously introduced temperature-based homogeneous model was updated using recent experimental data and revising the functional form of the local geographic factor dependent on elevation and distance to the sea. Using site-calibrated coefficients, the modified model provides accurate results at 22 meteorological stations in northern Spain, located over a distance of about 1000 km. Using a general equation, acceptable predictions are obtained for the 21 stations with the highest climatic similarity.</t>
  </si>
  <si>
    <t>Salmasi, Farzin; Abraham, John</t>
  </si>
  <si>
    <t>Prediction of discharge coefficients for sluice gates equipped with different geometric sills under the gate using multiple non-linear regression (MNLR)</t>
  </si>
  <si>
    <t>10.1016/j.jhydrol.2020.125728</t>
  </si>
  <si>
    <t>Gates in dams and irrigation canals are used for controlling discharge and for water regulation. To determine the discharge under a gate, the discharge coefficient (Cd) must be quantified. This study investigates the effect of sill shape under a vertical sluice gate on Cd. The study also includes the influence of height. The investigated shapes are comprised of polyhedral and non-polyhedral sills. Multiple nonlinear regression (MNLR) is applied to predict Cd values and the results show that circular sills under the gate can increase Cd by 23–31%. A circular sill with a 3 cm diameter has the highest Cd and trapezoidal sills have the lowest Cd. On the other hand, semicircular sills have moderate values of Cd. The most influential parameters affecting Cd are H1/p and Z/G where H1 is the upstream head over the sill crest, p is the sill wetted perimeter, Z is the height of sill, and G is the gate opening. Using dimensionless parameters and regression analysis, an equation for predicting Cd in free flow conditions with and without a sill is presented. The equation agrees with previously published results and can be implemented for predicting Cd in sluice gates with and without sills to within 6% accuracy.</t>
  </si>
  <si>
    <t>Seltzer, Rocio; Cisilino, Adrian P.; Frontini, Patricia M.; Mai, Yiu-Wing</t>
  </si>
  <si>
    <t>Determination of the Drucker–Prager parameters of polymers exhibiting pressure-sensitive plastic behaviour by depth-sensing indentation</t>
  </si>
  <si>
    <t>10.1016/j.ijmecsci.2011.04.002</t>
  </si>
  <si>
    <t>This paper presents a method to determine the Drucker–Prager parameters of pressure-dependant elastic-perfectly plastic polymeric materials by means of the depth-sensing indentation technique. This is achieved via an inverse analysis of the load–displacement data resulting from two tests performed with Berkovich and spherical tips. The well-posedness and the effective range of application of the proposed method are carefully assessed first. Then the method is tested for two elasto-plastic materials with mild initial strain-hardening (HDPE and PMMA), and the results are compared to those measured using conventional tensile and compression tests. It is found that the pressure-sensitivity indices can be accurately predicted, while the yield stress predictions in tension and compression fall within the non-linear portion of the uniaxial stress–strain curves, i.e., inside the region where plastic deformation begins.</t>
  </si>
  <si>
    <t>Bagheri, S.; Kabiri-Samani, A.R.; Heidarpour, M.</t>
  </si>
  <si>
    <t>Discharge coefficient of rectangular sharp-crested side weirs, Part I: Traditional weir equation</t>
  </si>
  <si>
    <t>10.1016/j.flowmeasinst.2013.11.005</t>
  </si>
  <si>
    <t>A comprehensive study was performed to examine the flow characteristics over rectangular sharp-crested side weirs based on the traditional weir equation. To obtain a generally convenient discharge coefficient relationship, series of experiments were conducted according to manipulation of different prevailing parameters. The flow regime was consistently subcritical for upstream Froude numbers ranging from 0.08 to 0.91. Furthermore, experimental data sets of the former investigators were also applied. In order to identify the most important parameters affecting the discharge coefficient of rectangular sharp-crested side weirs, a sensitivity analysis was carried out based upon an artificial neural network modeling. Results of the sensitivity analysis indicated the Froude number to be the most influential parameter on discharge coefficient. Accordingly, a power equation is derived for estimating the discharge coefficient, which is applicable for both sub- and supercritical flow conditions simultaneously. Moreover, considering all the influential parameters, a nonlinear correlation was obtained with the highest precision to determine the discharge coefficient of sharp-crested rectangular side weirs.</t>
  </si>
  <si>
    <t>Guillen, Donna Post; Cambareri, Joseph; Abboud, Alexander W.; Bolotnov, Igor A.</t>
  </si>
  <si>
    <t>Numerical comparison of bubbling in a waste glass melter</t>
  </si>
  <si>
    <t>10.1016/j.anucene.2017.11.044</t>
  </si>
  <si>
    <t>Radioactive tank waste is scheduled for vitrification at the Waste Treatment and Immobilization Plant (WTP) being constructed at the Hanford Site. Testing of the pilot-scale DuraMelter 1200 at the Vitreous State Laboratory at the Catholic University of America has demonstrated that bubbling increases the melt rate of the batch material, and as a result, melter throughput. Computational fluid dynamics (CFD) models of this pilot-scale waste glass melter are being developed to improve our understanding of the processes that occur within the melter to aid in process optimization and troubleshooting of the WTP melters. Unfortunately, model validation is complicated by the difficulty of obtaining suitable experimental data for operational melters due to the inaccessibility for direct observation and measurements of the high-temperature, opaque fluid through the water-jacketed, refractory-lined steel vessel. This study focuses on assessing the fidelity of the CFD models to accurately predict the bubbling behavior. Because of the paucity of experimental data at the resolution required for CFD validation, a code comparison was used to evaluate two common approaches for simulating flows of two immiscible Newtonian fluids on numerical grids and resolving multiphase interfaces. Here, the volume of fluid and level set methods are used to resolve the dynamically evolving interfaces between the molten glass and the air bubbles. To aid in the validation of the results of these codes, a comparison of the bubble behavior, growth, and frequency of bubble generation are presented and a grid convergence study is performed for the two approaches. The predictions from the two codes are within 6% for the average bubble radius of curvature within the bubble channels, within 2% for average terminal rise velocity of the bubbles, and within 4% for the area mean of the local maxima at the free surface. These parameters are of interest since they affect the convection within the melter and at the interface between the glass and batch layer. Ultimately, the results of this work can assist in confirming the predictive ability of waste glass melter models and provide a better understanding of the flow patterns within the WTP melters.</t>
  </si>
  <si>
    <t>Ballini, Enrico; Formaggia, Luca; Fumagalli, Alessio; Keilegavlen, Eirik; Scotti, Anna</t>
  </si>
  <si>
    <t>A hybrid upwind scheme for two-phase flow in fractured porous media</t>
  </si>
  <si>
    <t>10.1016/j.cma.2024.117437</t>
  </si>
  <si>
    <t>Simulating the flow of two fluid phases in porous media is a challenging task, especially when fractures are included in the simulation. Fractures may have highly heterogeneous properties compared to the surrounding rock matrix, significantly affecting fluid flow, and at the same time hydraulic apertures that are much smaller than any other characteristic sizes in the domain. Generally, flow simulators face difficulties with counter-current flow, generated by gravity and pressure gradients, which hinders the convergence of non-linear solvers (Newton). In this work, we model the fracture geometry with a mixed-dimensional discrete fracture network, thus lightening the computational burden associated to an equi-dimensional representation. We address the issue of counter-current flows with appropriate spatial discretization of the advective fluid fluxes, with the aim of improving the convergence speed of the non-linear solver. In particular, the extension of the hybrid upwinding to the mixed-dimensional framework, with the use of a phase potential upstreaming at the interfaces of subdomains. We test the method across several cases with different flow regimes and fracture network geometries. Results show robustness of the chosen discretization and a consistent improvements, in terms of Newton iterations, compared to using phase potential upstreaming everywhere.</t>
  </si>
  <si>
    <t>Promoppatum, Patcharapit; Srinivasan, Raghavan; Quek, Siu Sin; Msolli, Sabeur; Shukla, Shashwat; Johan, Nur Syafiqah; van der Veen, Sjoerd; Jhon, Mark Hyunpong</t>
  </si>
  <si>
    <t>Quantification and prediction of lack-of-fusion porosity in the high porosity regime during laser powder bed fusion of Ti-6Al-4V</t>
  </si>
  <si>
    <t>10.1016/j.jmatprotec.2021.117426</t>
  </si>
  <si>
    <t>Although lack-of-fusion porosity due to incomplete melting of powder can limit the mechanical properties of additively manufactured metals, quantification and prediction of these defects remains challenging. We compare three common strategies to measure porosity: the Archimedes, micrograph-based, and micro-computed tomography approaches. We find that while these methods work equally well at low void fraction, their predictions diverge at higher void fractions (&gt; 5 %). We find that the disparity comes since the Archimedes method measures the total amount of solid in the sample, while micrograph-based approach neglects loose powder trapped inside the samples that can be removed during the preparation process. We conclude that these two methods make use of divergent definitions of porosity. While the Archimedes method measures a “total porosity” defined by the total volume fraction of void in the material, the micrograph method measures an “effective porosity” that only accounts for the continuous material. On the other hand, the resolution of micro-computed tomography is limited by voxel size, leading to ambiguity of trapped powder being identified as solid or void. Consequently, the number density of defects from micro-computed tomography are noticeably smaller than that from micrograph-based approach. A geometric model for porosity prediction is implemented and used to evaluate different models for melt pool geometry. Our numerical predictions of melt pool profiles are surprisingly insensitive to our choice of heat source models. Finally, an analytical geometric model is developed for fast estimation of total and effective porosities and shows good agreement with both numerical simulations and experimental measurement.</t>
  </si>
  <si>
    <t>Vieira, Saon Crispim; Custódio, Diogo A.S.; Monte Verde, William; Biazussi, Jorge Luiz; Castro, Marcelo S. de; Bannwart, Antonio C.</t>
  </si>
  <si>
    <t>Experimental investigation of gas-liquid separation for two-phase flow within annular duct of an ESP skid</t>
  </si>
  <si>
    <t>10.1016/j.petrol.2020.108130</t>
  </si>
  <si>
    <t>Although common in several sectors of the industry, undeveloped two-phase flow in annular ducts has yet to receive attention from researchers. This work investigates experimentally the gas-liquid separation phenomenon in the two-phase flows inside annular ducts. The experimental setup enables flow visualization and analysis through high-speed cameras. This experimental setup's design is based on a non-dimensional and similarity analysis with a real device (Electric Submersible Pump Skid or ESP Skid) in operation at an offshore oilfield in Brazil. The experiments were performed in 5°, 15°, 30° 45° and 60° slopes, horizontally. Flow patterns in the annulus were observed and analyzed. Also, vortices were observed in the intake region. The gas-liquid separation tests enabled the association of the measured separation efficiency with mixture velocities and, consequently, with dimensionless parameters (Froude number) and no-slip void fraction. As observed in the literature, the separation decreases as the mixture velocity increases. The results were qualitatively correlated with literature models, but with high quantitative discrepancies, mainly due to the disregard for radial slip in the models. Also, changes in the trend of separation efficiency were observed and these were caused by flow pattern changes.</t>
  </si>
  <si>
    <t>Lizarraga-Garcia, E.; Buongiorno, J.; Al-Safran, E.; Lakehal, D.</t>
  </si>
  <si>
    <t>A broadly-applicable unified closure relation for Taylor bubble rise velocity in pipes with stagnant liquid</t>
  </si>
  <si>
    <t>10.1016/j.ijmultiphaseflow.2016.11.001</t>
  </si>
  <si>
    <t>Taylor bubble velocity in slug flow is a closure relation which significantly affects the prediction of liquid holdup (or void fraction) and pressure gradient in mechanistic models of slug flow for oil and gas pipe applications. In this work, we use a validated Computational Fluid Dynamics (CFD) approach to simulate the motion of Taylor bubbles in pipes; the interface is tracked with a Level-Set method implemented in a commercial code. A large numerical database is generated covering the most ample range of fluid properties and pipe inclination angles explored to date (Eo ∈ [10, 700], Mo∈[1×10−6,5×103], andθ ∈ [0°, 90°]). A unified Taylor bubble rise velocity correlation is extracted from that database. The new correlation predicts the numerical database with 8.6% absolute average relative error and a coefficient of determination R2=0.97, and other available experimental data with 13.0% absolute average relative error and R2=0.84 outperforming existing correlations and models.</t>
  </si>
  <si>
    <t>Budinger, Marc; Passieux, Jean-Charles; Gogu, Christian; Fraj, Amine</t>
  </si>
  <si>
    <t>Scaling-law-based metamodels for the sizing of mechatronic systems</t>
  </si>
  <si>
    <t>1. Model-Based Mechatronic System Design 2. Model Based Engineering</t>
  </si>
  <si>
    <t>10.1016/j.mechatronics.2013.11.012</t>
  </si>
  <si>
    <t>This paper presents a new metamodel form and associated construction procedure adapted to the sizing tasks of mechatronics systems. This method of meta-modeling uses scaling laws to extract compact forms of design models from local numerical simulations (FEM). Compared to traditional metamodels (polynomial response surfaces, kriging, radial basis function) the scaling-law-based metamodels have the advantage of a light, compact form and good predictive accuracy over a wide range of the design variables (several orders of magnitude). The general regression process is first explained and then illustrated on different examples: a purely numerical test function, a limited angle electromagnetic actuator and a flexible mechanical hinge.</t>
  </si>
  <si>
    <t>Gaiser, Kyle; Erickson, Paul; Stroeve, Pieter; Delplanque, Jean-Pierre</t>
  </si>
  <si>
    <t>An experimental investigation of design parameters for pico-hydro Turgo turbines using a response surface methodology</t>
  </si>
  <si>
    <t>10.1016/j.renene.2015.06.049</t>
  </si>
  <si>
    <t>Millions of off-grid homes in remote areas around the world have access to pico-hydro (5 kW or less) resources that are undeveloped due to prohibitive installed costs ($/kW). The Turgo turbine, a hydroelectric impulse turbine generally suited for medium to high head applications, has gained renewed attention in research due to its potential applicability to such sites. Nevertheless, published literature about the Turgo turbine is limited and indicates that current theory and experimental knowledge do not adequately explain the effects of certain design parameters, such as nozzle diameter, jet inlet angle, number of blades, and blade speed on the turbine's efficiency. In this study, these parameters are used in a three-level (34) central composite response surface experiment. A low-cost Turgo turbine is built and tested from readily available materials and a second order regression model is developed to predict its efficiency as a function of each parameter above and their interactions. The effects of blade orientation angle and jet impact location on efficiency are also investigated and experimentally found to be of relatively little significance to the turbine. The purpose of this study is to establish empirical design guidelines that enable small hydroelectric manufacturers and individuals to design low-cost efficient Turgo Turbines that can be optimized to a specific pico-hydro site. The results are also expressed in dimensionless parameters to allow for potential scaling to larger systems and manufacturers.</t>
  </si>
  <si>
    <t>Roudet, Matthieu; Loubiere, Karine; Gourdon, Christophe; Cabassud, Michel</t>
  </si>
  <si>
    <t>Hydrodynamic and mass transfer in inertial gas–liquid flow regimes through straight and meandering millimetric square channels</t>
  </si>
  <si>
    <t>10.1016/j.ces.2011.03.045</t>
  </si>
  <si>
    <t>Heat-exchanger reactors are an important part of process intensification technology. For plate geometries, one solution for intensifying transfer and increasing residence times is to construct two-dimensional meandering channels. Supported by this scientific context, the present work aims at characterising gas–liquid mass transfer in the same square millimetric meandering channel, as in Anxionnaz (2009), this constituted the preliminary step required for performing exothermic gas–liquid reactions. Firstly, the gas–liquid hydrodynamics were characterised for a water/air system. When compared to a straight channel of identical compactness and sectional-area (2×2mm2), the meandering channel induced (i) a delay in the transition from Taylor to annular-slug regimes, (ii) a rise of 10–20% in bubble lengths while conserving almost identical slug lengths, (iii) higher deformations of bubble nose and rear due to centrifugal forces (bends). Secondly, an original method for verifying the relevancy of the plug flow model and accurately determining kla was used (measurements of concentrations in dissolved oxygen along the channel length). For the Taylor flow regime, kla increased coherently when increasing jg, and the meandering geometry had a small influence. On the contrary, this effect was found no more negligible for the slug-annular flow regime. Whatever the channels, the NTUl remained low, thus showing that, even if millimetric channels allowed to intensify kla, a special attention should be paid for generating sufficient residence times. At identical compactness, the meandering channel was found to be the most competitive. Finally, results on gas–liquid interfacial areas and mass transfer coefficients were confronted and discussed with respect to the predictions issued from the model developed by Van Baten and Krishna (2004).</t>
  </si>
  <si>
    <t>He, Xiaocong; Gu, Fengshou; Ball, Andrew</t>
  </si>
  <si>
    <t>A review of numerical analysis of friction stir welding</t>
  </si>
  <si>
    <t>Progress in Materials Science</t>
  </si>
  <si>
    <t>10.1016/j.pmatsci.2014.03.003</t>
  </si>
  <si>
    <t>Friction stir welding is a relatively new solid-state joining technique which is widely adopted in different industry fields to join different metallic alloys that are hard to weld by conventional fusion welding. Friction stir welding is a highly complex process comprising several highly coupled physical phenomena. The complex geometry of some kinds of joints and their three dimensional nature make it difficult to develop an overall system of governing equations for theoretical analyzing the behavior of the friction stir welded joints. The experiments are often time consuming and costly. To overcome these problems, numerical analysis has frequently been used since the 2000s. This paper reviews the latest developments in the numerical analysis of friction stir welding processes, microstructures of friction stir welded joints and the properties of friction stir welded structures. Some important numerical issues such as materials flow modeling, meshing procedure and failure criteria are discussed. Numerical analysis of friction stir welding will allow many different welding processes to be simulated in order to understand the effects of changes in different system parameters before physical testing, which would be time-consuming or prohibitively expensive in practice. The main methods used in numerical analysis of friction stir welding are discussed and illustrated with brief case studies. In addition, several important key problems and issues remain to be addressed about the numerical analysis of friction stir welding and opportunities for further research are identified.</t>
  </si>
  <si>
    <t>Coenen, Thomas; Van de Moortel, Wim; Logist, Filip; Luyten, Jan; Van Impe, Jan F.M.; Degrève, Jan</t>
  </si>
  <si>
    <t>Modeling and geometry optimization of photochemical reactors: Single- and multi-lamp reactors for UV–H2O2 AOP systems</t>
  </si>
  <si>
    <t>10.1016/j.ces.2013.03.056</t>
  </si>
  <si>
    <t>This paper deals with the modeling and optimization of a photochemical reactor for the production of hydroxyl radicals. These radicals can be used in advanced oxidation processes for water purification. The UV-lamps used in the photochemical reactor lead to a relatively high energy and operating cost. Minimization of these costs is possible via a model-based optimization of the reactor geometry. First, a model is built taking into account the reaction kinetics, the reactor geometry and the radiation intensity distribution in the reactor. Afterwards, two different configurations of photochemical reactors are optimized. The first modeled reactor configuration is a single-lamp reactor and consists of a cylindrical UV-lamp that is present inside a quartz sleeve, outside of which the water flows between it and the external reactor wall (annular channel reactor). A rigorous optimization problem is formulated consisting of the calculation of the optimal reactor geometry (length and radius) in such a way that, for a given reactor volume and a given flow rate of the water to be treated, the mean outlet concentration of an organic pollutant is minimized. By solving this optimization problem, it has been shown that an optimal reactor length exists. If the absorption coefficient of the water or the reaction rate constant increases, the optimal reactor length increases as well. The second modeled reactor configuration is similar to the first one but now contains multiple lamps positioned symmetrically in a circular pattern (i.e. multi-lamp reactor). The optimization problem consists of the calculation of the optimal lamp position inside the reactor in such a way that the mean outlet concentration of an organic pollutant is minimized. The lamp position is given by the radial distance between the centers of the reactor and a lamp. Again a well-posed optimization problem is obtained and an optimal lamp position exists. If the number of lamps or the reaction rate constant increases or the absorption coefficient of the water decreases, the optimal distance between the centers of the reactor and the lamp increases.</t>
  </si>
  <si>
    <t>Liu, F.C.; Feng, A.H.; Pei, X.; Hovanski, Y.; Mishra, R.S.; Ma, Z.Y.</t>
  </si>
  <si>
    <t>Friction stir based welding, processing, extrusion and additive manufacturing</t>
  </si>
  <si>
    <t>10.1016/j.pmatsci.2024.101330</t>
  </si>
  <si>
    <t>Friction stir welding and processing enabled the creation of stronger joints, novel ultrafine-grained metals, new metal matrix composites, and multifunctional surfaces at user-defined locations. The newly developed friction stir based additive manufacturing methods emerged as transformative technologies since these technologies allow three-dimensional printing of strong dense metal at reduced cost and unprecedented large scales. These technologies have been increasingly adopted in the field of aerospace, shipbuilding, rail transit, automotive, energy, and defense. Since considerable similarities exist in the friction stir technologies, a comprehensive review of the shared fundamentals in these technologies is critical to establish a common background for the entire friction stir community. This paper addressed such needs through (i) a critical assessment of the up-to-date technology innovations about friction stir technologies; (ii) a comprehensive summary of the fundamentals of the friction stir technologies on the aspects of materials flow, heat generation mechanism, microstructural evolution, mechanical properties, process simulation, and specific material issues; and (iii) a systematical analysis of the opportunities and challenges in advancing the friction stir technologies.</t>
  </si>
  <si>
    <t>FLT-001</t>
  </si>
  <si>
    <t>FLT-002</t>
  </si>
  <si>
    <t>FLT-003</t>
  </si>
  <si>
    <t>FLT-004</t>
  </si>
  <si>
    <t>FLT-005</t>
  </si>
  <si>
    <t>FLT-006</t>
  </si>
  <si>
    <t>FLT-007</t>
  </si>
  <si>
    <t>FLT-008</t>
  </si>
  <si>
    <t>FLT-009</t>
  </si>
  <si>
    <t>FLT-010</t>
  </si>
  <si>
    <t>FLT-011</t>
  </si>
  <si>
    <t>FLT-012</t>
  </si>
  <si>
    <t>FLT-013</t>
  </si>
  <si>
    <t>To exclude documents without an abstract</t>
  </si>
  <si>
    <t>To exclude complete books, eBooks, or short reports.</t>
  </si>
  <si>
    <t>To exclude documents without authors.</t>
  </si>
  <si>
    <t>To exclude documents in languages other than English or Spanish.</t>
  </si>
  <si>
    <t>Due to filtering the first set of results.</t>
  </si>
  <si>
    <t>Due to requiring full document access.</t>
  </si>
  <si>
    <t>Due to narrowing the document type.</t>
  </si>
  <si>
    <t>Due to needing clear attribution.</t>
  </si>
  <si>
    <t>Due to verifying publisher reliability.</t>
  </si>
  <si>
    <t>Due to focusing on recent work.</t>
  </si>
  <si>
    <t>Due to matching core keywords.</t>
  </si>
  <si>
    <t>Due to checking thematic fit.</t>
  </si>
  <si>
    <t>To confirm the document’s field from title, abstract, or tags</t>
  </si>
  <si>
    <t>Due to ensuring topic relevance.</t>
  </si>
  <si>
    <r>
      <t xml:space="preserve">To execute the initial </t>
    </r>
    <r>
      <rPr>
        <i/>
        <sz val="11"/>
        <color theme="1"/>
        <rFont val="Calibri"/>
        <family val="2"/>
        <scheme val="minor"/>
      </rPr>
      <t>Query String</t>
    </r>
    <r>
      <rPr>
        <sz val="11"/>
        <color theme="1"/>
        <rFont val="Calibri"/>
        <family val="2"/>
        <scheme val="minor"/>
      </rPr>
      <t>.</t>
    </r>
  </si>
  <si>
    <t>To Include documents between 2010 and 2020 (2024 for update).</t>
  </si>
  <si>
    <t>Tally</t>
  </si>
  <si>
    <t>Publication/Yr.</t>
  </si>
  <si>
    <t>Total @2024</t>
  </si>
  <si>
    <t>2010 - 2024</t>
  </si>
  <si>
    <t>2010 - 2020</t>
  </si>
  <si>
    <t>Filter</t>
  </si>
  <si>
    <t>To include documents from research, reviews, conferences or journals.</t>
  </si>
  <si>
    <t>To exclude documents without complete publisher data (DOI or venue).</t>
  </si>
  <si>
    <t>To exclude documents without a title.</t>
  </si>
  <si>
    <t>FLT-014</t>
  </si>
  <si>
    <t>FLT-015</t>
  </si>
  <si>
    <t>To include documents with "dimension*", "number*", "analysis", "pi*", or "theorem" in their abstract.</t>
  </si>
  <si>
    <t>To include documents with "dimension*", "number*", "analysis", "pi*", or "theorem" in their title.</t>
  </si>
  <si>
    <t>To include unique documents.</t>
  </si>
  <si>
    <t>Relevant Feature</t>
  </si>
  <si>
    <t>Due to limited capabilities.</t>
  </si>
  <si>
    <t>Due to discovering more relevant documents.</t>
  </si>
  <si>
    <t>To include documents with complete access to the file.</t>
  </si>
  <si>
    <t>Available</t>
  </si>
  <si>
    <t>Available @2024</t>
  </si>
  <si>
    <t>Total @2020</t>
  </si>
  <si>
    <t>Available @2020</t>
  </si>
  <si>
    <t>IC-01 @2024</t>
  </si>
  <si>
    <t>IC-01 @2020</t>
  </si>
  <si>
    <t>To examine the document and its bibliography for new links</t>
  </si>
  <si>
    <t>Interesting</t>
  </si>
  <si>
    <t>SELECTED</t>
  </si>
  <si>
    <t>Journals (5)
Conferences (4)
Books (1)</t>
  </si>
  <si>
    <t>Anomaly Detection (2)
Center For Control (2)
Control Plane (2)
Defense System (2)
Denial Of Service (2)</t>
  </si>
  <si>
    <t>Review articles (7)
Research articles (133)</t>
  </si>
  <si>
    <t>Engineering (80)
Chemical Engineering (50)
Energy (40)
Earth and Planetary Sciences (20)
Materials Science (17)</t>
  </si>
  <si>
    <t>2020 (33)
2019 (17)
2018 (20)
2017 (14)
2016 (11)</t>
  </si>
  <si>
    <t>Review articles (19)
Research articles (337)
Short communications (1)</t>
  </si>
  <si>
    <t>2024 (72)
2023 (43)
2022 (50)
2021 (52)
2020 (33)</t>
  </si>
  <si>
    <t>Engineering (230)
Chemical Engineering (92)
Energy (86)
Earth and Planetary Sciences (52)
Environmental Science (46)</t>
  </si>
  <si>
    <t xml:space="preserve"> Conferences (19)
Journals (10)
Books (1) </t>
  </si>
  <si>
    <t>Internet Of Things (3)
Machine Learning( 3)
Support Vector Machine (3)
Anomaly Detection (2)
Center For Control (2)</t>
  </si>
  <si>
    <t>2024 (12)
2023 (4)
2022 (4)
2021 (0)
2020 (3)</t>
  </si>
  <si>
    <t>2020 (3)
2019 (0)
2018 (5)
2017 (1)
2016 (0)</t>
  </si>
  <si>
    <t>SUM</t>
  </si>
  <si>
    <t>Tally Difference</t>
  </si>
  <si>
    <t>Available Diff</t>
  </si>
  <si>
    <t>Query Results before period + availabilty checks</t>
  </si>
  <si>
    <t>Tally Pct Change [%]</t>
  </si>
  <si>
    <t>Avail Pct Change [%]</t>
  </si>
  <si>
    <t>TOTAL</t>
  </si>
  <si>
    <t>MIN</t>
  </si>
  <si>
    <t>MAX</t>
  </si>
  <si>
    <t>AVG</t>
  </si>
  <si>
    <t>STD</t>
  </si>
  <si>
    <t>Total % dif</t>
  </si>
  <si>
    <t>Accesible</t>
  </si>
  <si>
    <t>2IPZ9Q27</t>
  </si>
  <si>
    <t>Local-feature-based image retrieval with weighted relevance feedback</t>
  </si>
  <si>
    <t>Accurate and fast retrieval of relevant images is a challenging task mainly due to the limitation in understanding hidden knowledge in images, known as semantic gap. In this work, we propose a novel approach which incorporates local feature representation for retrieval of grey and colour images from an archive with user intervention. We used histogram features, which are computationally efficient, hence resulting in quick image retrieval. The computed image feature vectors are used for similarity matching with weighted feed-backed image retrieval. We experimented both on publicly available and annotated image data sets to illustrate the effectiveness of our approach.</t>
  </si>
  <si>
    <t>Int. J. Bus. Intell. Data Min.</t>
  </si>
  <si>
    <t xml:space="preserve">data mining; accuracy; annotated data sets; annotations; archives; business intelligence; colour; computed images; extensible markup language; extraction; fast retrieval; feature representation; grey images; hidden knowledge; histograms; image retrieval; local features; multimedia; public data sets; querying; relevance; semantic gaps; similarity matching; speed; texture; user intervention; vectors; weighted feedback; XML streams; </t>
  </si>
  <si>
    <t>EN</t>
  </si>
  <si>
    <t>10.1504/IJBIDM.2010.036124</t>
  </si>
  <si>
    <t>2YTKFJEB</t>
  </si>
  <si>
    <t>Proceedings of the 31st ACM Joint European Software Engineering Conference and Symposium on the Foundations of Software Engineering</t>
  </si>
  <si>
    <t>ACM Conferences</t>
  </si>
  <si>
    <t>webpage</t>
  </si>
  <si>
    <t>3XDX8USI</t>
  </si>
  <si>
    <t xml:space="preserve">Control; Terramechanics; Planetary rover; Design and performance evaluation; Dynamics simulation; Soil parameter identification; </t>
  </si>
  <si>
    <t>3ZZRWZB4</t>
  </si>
  <si>
    <t xml:space="preserve">Aspect-oriented programming; ASPECTMATLAB compiler; MATLAB; </t>
  </si>
  <si>
    <t>45PPTQPU</t>
  </si>
  <si>
    <t>Proceedings of the 13th Symposium on Cloud Computing</t>
  </si>
  <si>
    <t>46MQVGAD</t>
  </si>
  <si>
    <t>Application of Big Data Technology in Enterprise Information Security Management and Risk Assessment</t>
  </si>
  <si>
    <t>Wang, Yawen; Xue, Weixian; Zhang, Anqi</t>
  </si>
  <si>
    <t>Nowadays, the application of enterprise management information has been deeply rooted in daily business activities, and the management risk of enterprise information security (EIS) has also increased. The use of advanced means to provide security protection for it has become the top priority. To optimize the EIS management system, and carry on the risk assessment (RA), firstly, this study analyzes the current situation of the enterprise's internal information management and summarizes the shortcomings and security risks faced by the system. In the era of big data (BD), the security risks of database information systems show a diversified trend. Secondly, to explore the application of BD technology in EIS management, the characteristics of this technology and security control measures for risks are summarized to strengthen the enterprise's information management innovation and implement the application of data security technology.</t>
  </si>
  <si>
    <t>J. Glob. Inf. Manage.</t>
  </si>
  <si>
    <t>10.4018/JGIM.324465</t>
  </si>
  <si>
    <t>46UBGB5G</t>
  </si>
  <si>
    <t>Proceedings of the 37th IEEE/ACM International Conference on Automated Software Engineering</t>
  </si>
  <si>
    <t>ACM Other conferences</t>
  </si>
  <si>
    <t>4DLCKEXZ</t>
  </si>
  <si>
    <t>Computers &amp; Electrical Engineering</t>
  </si>
  <si>
    <t xml:space="preserve">Classification; Context; Cold start; Domain ontology; Features set; Neuro-fuzzy rules; Recommendation systems; Weightage matrix; </t>
  </si>
  <si>
    <t>4FX42V9L</t>
  </si>
  <si>
    <t>Proceedings of the 15th International Conference on Education Technology and Computers</t>
  </si>
  <si>
    <t>4HLR2JWL</t>
  </si>
  <si>
    <t>Privacy Preserving Three-factor Authentication Protocol for Secure Message Forwarding in Wireless Body Area Networks</t>
  </si>
  <si>
    <t>Nyangaresi, Vincent Omollo; View Profile</t>
  </si>
  <si>
    <t>Ad Hoc Networks</t>
  </si>
  <si>
    <t>; Authentication; performance; anonymous; privacy; security; WBAN</t>
  </si>
  <si>
    <t>10.1016/j.adhoc.2023.103117</t>
  </si>
  <si>
    <t>5A2KF9BG</t>
  </si>
  <si>
    <t>5DQU4Y8A</t>
  </si>
  <si>
    <t>Proceedings of the 2024 6th International Symposium on Signal Processing Systems</t>
  </si>
  <si>
    <t>5F3BNSVJ</t>
  </si>
  <si>
    <t>Proceedings of the 2023 6th International Conference on Artificial Intelligence and Pattern Recognition</t>
  </si>
  <si>
    <t>5VDXVICW</t>
  </si>
  <si>
    <t>UNISON framework for user requirement elicitation and classification of smart product-service system</t>
  </si>
  <si>
    <t>Zhang, Ke; View Profile; Lin, Kuo-Yi; View Profile; Wang, Jinfeng; View Profile; Ma, Yakun; View Profile; Li, Huailiang; View Profile; Zhang, Luyao; View Profile; Liu, Kehui; View Profile; Feng, Lijie; View Profile</t>
  </si>
  <si>
    <t>Advanced Engineering Informatics</t>
  </si>
  <si>
    <t>; Deep learning; ICT; ANP; AHP; ATC-ULBWM; Bi-LSTM; BTM; BWM; Data-driven; DEMATEL; MCDM; PF; Requirement elicitation; Requirement evaluation; Smart product-service system; Smart PSS; TextCNN; UNISON</t>
  </si>
  <si>
    <t>10.1016/j.aei.2023.101996</t>
  </si>
  <si>
    <t>6KBC9N2U</t>
  </si>
  <si>
    <t>Machine learning techniques in emerging cloud computing integrated paradigms: A survey and taxonomy</t>
  </si>
  <si>
    <t>Soni, Dinesh; Kumar, Neetesh</t>
  </si>
  <si>
    <t>Journal of Network and Computer Applications</t>
  </si>
  <si>
    <t xml:space="preserve">IoT; Industry 4.0; Cloud computing; Edge computing; Fog computing; Cybertwin; Digitaltwin; IIoT; Integrated computing paradigm; Machine learning (ML); Mist computing; SDN; </t>
  </si>
  <si>
    <t>10.1016/j.jnca.2022.103419</t>
  </si>
  <si>
    <t>6MRDDXSI</t>
  </si>
  <si>
    <t>Proceedings of the 2022 5th International Conference on Machine Learning and Natural Language Processing</t>
  </si>
  <si>
    <t>85LACDIT</t>
  </si>
  <si>
    <t>Proceedings of the 2021 CHI Conference on Human Factors in Computing Systems</t>
  </si>
  <si>
    <t>8EBIELFK</t>
  </si>
  <si>
    <t xml:space="preserve">Genetic Algorithm; Manufacturing; Residual stress; Support Vector Regression; Welding; X-ray diffraction; </t>
  </si>
  <si>
    <t>8UCYBFRL</t>
  </si>
  <si>
    <t>Proceedings of the 2015 ACM SIGMOD International Conference on Management of Data</t>
  </si>
  <si>
    <t>8V8S44WW</t>
  </si>
  <si>
    <t>Distributed Game-Theoretical Route Navigation for Vehicular Crowdsensing</t>
  </si>
  <si>
    <t>Proceedings of the 50th International Conference on Parallel Processing</t>
  </si>
  <si>
    <t>8ZM4HFNA</t>
  </si>
  <si>
    <t>Recent Strategies for Automatic Generation Control of Power Systems With Diverse Energy Sources</t>
  </si>
  <si>
    <t>Kumar, Ashwini; Singh, Omveer</t>
  </si>
  <si>
    <t>This paper reveals Automatic Generation Control (AGC) strategies of power systems including diverse type power generating sources and comprehensive literature review is also presented. These diverse type energy sources considered conventional power sources like thermal, diesel, nuclear, etc. and Renewable Energy Sources (RESs). RESs are solar energy, wind energy, hydro energy, etc. A variety of AGC schemes based on hard, soft and artificial intelligent computation techniques is presented here. The benefits and their limitations of these energy generating units are also taken in this article. In the present scenario, deregulation, smart micro-grid and grid concept is also utilized with interconnection of the considered energy generating sources. The literature of this review article fulfills the gap of recent and previous decades research work and provides future exploration in AGC techniques.</t>
  </si>
  <si>
    <t>Int. J. Syst. Dyn. Appl.</t>
  </si>
  <si>
    <t>10.4018/IJSDA.20211001.oa8</t>
  </si>
  <si>
    <t>997FEXUH</t>
  </si>
  <si>
    <t>Proceedings of the 25th Annual International Conference on Digital Government Research</t>
  </si>
  <si>
    <t>9BRRLGZ8</t>
  </si>
  <si>
    <t>ACM SIGGRAPH 2023 Conference Proceedings</t>
  </si>
  <si>
    <t>9R6TH4UL</t>
  </si>
  <si>
    <t>An early warning method for abnormal behavior of college students based on multimodal fusion and improved decision tree</t>
  </si>
  <si>
    <t>Wang, Yubiao; Wen, Junhao; Zhou, Wei; Tao, Bamei; Wu, Quanwang; Fu, Chunlei; Li, Heng</t>
  </si>
  <si>
    <t>With the development of the Internet and the informatization construction of universities, the massive data accumulated by “campus big data” presents problems such as discreteness and sparseness. Students with abnormal behaviors have become an urgent problem to be solved in student behavior analysis. This paper proposes an early warning method for abnormal behaviour of college students based on multimodal fusion and an improved decision tree (EWMABCS-MFIDT). First, given the insufficient representation of student behavioral portraits and the problems of timeliness and dynamics in behavioral labels, a student behavioral portrait based on the multimodal fusion method is proposed. Second, aiming at the timeliness and backwardness of abnormal behavior prediction, based on student behavior classification prediction, this paper proposes an improved decision tree-based early warning method for abnormal student behavior. Finally, we design a student behavior analysis and early warning framework under the campus big data environment. Taking the abnormal early warning of students’ academic performance as an example, compared with other early warning algorithms, the EWMABCS-MFIDT method can improve the accuracy of early warning and make students’ educational work more targeted, personalized, and predictive.</t>
  </si>
  <si>
    <t>J. Intell. Fuzzy Syst.</t>
  </si>
  <si>
    <t>10.3233/JIFS-231509</t>
  </si>
  <si>
    <t>9V9U6M62</t>
  </si>
  <si>
    <t>A regressive encoder-decoder-based deep attention model for segmentation of fetal head in 2D-ultrasound images</t>
  </si>
  <si>
    <t>Srivastava, Somya; Vidyarthi, Ankit; Jain, Shikha</t>
  </si>
  <si>
    <t>Ultrasound imaging is the most commonly used imaging during pregnancy for tracking the fetus's growth and monitoring other biological parameters. The assessment of the development of the baby's growth requires imaging-based analysis in every trimester. The automatic computerized software and systems provide the platform for radiologists to more accurately access the fetus's head circumference as compared to manual estimation. The improvement of such computerized algorithms is always the key demand to improve accuracy and precision. This paper proposes an improved encoder-decoder model for the segmentation of the fetal head segmentation in 2D-ultrasound images. The proposed model uses regression in combination with attention to the encoder-decoder model to determine the fetus's head circumference. The model is further extended with the post-processing ellipse fitting to superimpose the segmentation region on ultrasound images for clear visualization of the fetus's head. Further, the proposed model performance is evaluated by using various statistical measures using segmented regions and available ground truth. The experimental results demonstrate a similarity score of 94.56%. The comparative result suggests that the proposed model is providing a more accurate fetus head segmentation region on 2D-ultrasound images as compared to other existing approaches.</t>
  </si>
  <si>
    <t>Image and Vision Computing</t>
  </si>
  <si>
    <t xml:space="preserve">Deep learning; Fetus head segmentation; Head circumference assessment; Regression-attention model; Ultrasound imaging; </t>
  </si>
  <si>
    <t>10.1016/j.imavis.2023.104725</t>
  </si>
  <si>
    <t>A58GYBXK</t>
  </si>
  <si>
    <t>The optimisation research of screw conveyor</t>
  </si>
  <si>
    <t>Cai, Jiang-hui; Meng, Wen-jun; Chen, Zhi-mei</t>
  </si>
  <si>
    <t>Particle swarm optimisation (PSO) is a population-based stochastic optimisation technique. As a result, PSO algorithm is widely used in mechanical engineering design field. Screw conveyors are used extensively in agriculture and processing industries for elevating and&amp;amp;#47;or transporting bulk materials over short to medium distances. They are very effective for conveying dry particulate solids, giving good control over the throughput. Despite their apparent simplicity, the transportation action is very complex and designers have tended to rely heavily on empirical performance data. Intelligent operation parameters optimisation for screw conveyor based on PSO is studied in this paper. This thesis takes a heavy driving drum of screw conveyor as an example, firstly, the optimisation function is built up, then the operation parameter of screw conveyor is precision optimised with PSO algorithm, which offer a foundation to design more reasonable structure for driving drum in order to meet the application demands.</t>
  </si>
  <si>
    <t>Int. J. Innov. Comput. Appl.</t>
  </si>
  <si>
    <t>10.1504/IJICA.2011.041918</t>
  </si>
  <si>
    <t>ABSFCVEI</t>
  </si>
  <si>
    <t>AFNZBZ9R</t>
  </si>
  <si>
    <t>Developing high quality data models</t>
  </si>
  <si>
    <t>West, Matthew</t>
  </si>
  <si>
    <t>A multitude of problems is likely to arise when developing data models. With dozens of attributes and millions of rows, data modelers are always in danger of inconsistency and inaccuracy. The development of the data model itself could result in difficulties presenting accurate data. The need to improve data models begins with getting it right in the first place. Using real-world examples, Developing High Quality Data Models walks the reader through identifying a number of data modeling principles and analysis techniques that enable the development of data models that both meet business requirements and have a consistent basis. The reader is presented with a variety of generic data model patterns that both exemplify the principles and techniques discussed and build upon one another to give a powerful and integrated generic data model. This model has wide applicability across many disciplines in government and industry, including but not limited to energy exploration, healthcare, telecommunications, transportation, military defense, transportation, and more. * Uses a number of common data model patterns to explain how to develop data models over a wide scope in a way that is consistent and of high quality *Offers generic data model templates that are reusable in many applications and are fundamental for developing more specific templates *Develops ideas for creating consistent approaches to high quality data models</t>
  </si>
  <si>
    <t>AGZHHBC3</t>
  </si>
  <si>
    <t>Special Section: Business and Industry Specific Cloud</t>
  </si>
  <si>
    <t xml:space="preserve">Cloud computing; Data center; Energy-efficiency; Queueing theory; Virtualization; </t>
  </si>
  <si>
    <t>AKNSULAV</t>
  </si>
  <si>
    <t>Proceedings of the 2023 5th International Conference on Video, Signal and Image Processing</t>
  </si>
  <si>
    <t>BZSYATWD</t>
  </si>
  <si>
    <t>Proceedings of the 30th ACM Joint European Software Engineering Conference and Symposium on the Foundations of Software Engineering</t>
  </si>
  <si>
    <t>C486P9TB</t>
  </si>
  <si>
    <t>Proceedings of the 2024 International Conference on Computer and Multimedia Technology</t>
  </si>
  <si>
    <t>C4VURJKB</t>
  </si>
  <si>
    <t>Wolny, Sabine; Mazak, Alexandra; Carpella, Christine; Geist, Verena; Wimmer, Manuel</t>
  </si>
  <si>
    <t xml:space="preserve">Systematic mapping study; Systems engineering; SysML; </t>
  </si>
  <si>
    <t>CG4TNYJV</t>
  </si>
  <si>
    <t xml:space="preserve">Dimensionless analysis; Sensitivity analysis; NARX; Natural river; QR factorization; Riverbank erosion; </t>
  </si>
  <si>
    <t>CJFE8929</t>
  </si>
  <si>
    <t>Proceedings of the 2024 4th International Conference on Artificial Intelligence, Big Data and Algorithms</t>
  </si>
  <si>
    <t>CKU59LFB</t>
  </si>
  <si>
    <t>Empowering education development through AIGC: A systematic literature review</t>
  </si>
  <si>
    <t>Chen, Xiaojiao; Hu, Zhebing; Wang, Chengliang</t>
  </si>
  <si>
    <t>As an exemplary representative of AIGC products, ChatGPT has ushered in new possibilities for the field of education. Leveraging its robust text generation and comprehension capabilities, it has had a revolutionary impact on pedagogy, learning experiences, personalized education and other aspects. However, to date, there has been no comprehensive review of AIGC technology’s application in education. In light of this gap, this study employs a systematic literature review and selects 134 relevant publications on AIGC’s educational application from 4 databases: EBSCO, EI Compendex, Scopus, and Web of Science. The study aims to explore the macro development status and future trends in AIGC’s educational application. The following findings emerge: 1) In the AIGC’s educational application field, the United States is the most active country. Theoretical research dominates the research types in this domain; 2) Research on AIGC’s educational application is primarily published in journals and academic conferences in the fields of educational technology and medicine; 3) Research topics primarily focus on five themes: AIGC technology performance assessment, AIGC technology instructional application, AIGC technology enhancing learning outcomes, AIGC technology educational application’s Advantages and Disadvantages analysis, and AIGC technology educational application prospects. 4) Through Grounded Theory, the study delves into the core advantages and potential risks of AIGC’s educational application, deconstructing the scenarios and logic of AIGC’s educational application. 5) Based on a review of existing literature, the study provides valuable future agendas from both theoretical and practical application perspectives. Discussing the future research agenda contributes to clarifying key issues related to the integration of AI and education, promoting more intelligent, effective, and sustainable educational methods and tools, which is of great significance for advancing innovation and development in the field of education.</t>
  </si>
  <si>
    <t>Education and Information Technologies</t>
  </si>
  <si>
    <t>10.1007/s10639-024-12549-7</t>
  </si>
  <si>
    <t>CM635YH6</t>
  </si>
  <si>
    <t>Proceedings of the 2016 ACM SIGPLAN International Conference on Object-Oriented Programming, Systems, Languages, and Applications</t>
  </si>
  <si>
    <t>D44B2375</t>
  </si>
  <si>
    <t>Proceedings of the 15th Asia-Pacific Symposium on Internetware</t>
  </si>
  <si>
    <t>D66Y2PDI</t>
  </si>
  <si>
    <t>Proceedings of the 23rd International Conference on Autonomous Agents and Multiagent Systems</t>
  </si>
  <si>
    <t>DD49ITHZ</t>
  </si>
  <si>
    <t xml:space="preserve">CORAMOD; Formalize requirement; Model-based; Model-based requirements analysis; Requirement models; Requirements analysis; </t>
  </si>
  <si>
    <t>DH5GWHSL</t>
  </si>
  <si>
    <t>Proceedings of the 2022 5th International Conference on Algorithms, Computing and Artificial Intelligence</t>
  </si>
  <si>
    <t>DNGGVCI9</t>
  </si>
  <si>
    <t>Proceedings of the 2024 International Conference on Intelligent Education and Computer Technology</t>
  </si>
  <si>
    <t>DYAD6LNK</t>
  </si>
  <si>
    <t>Cooperative estimation and control of a diffusion-based spatiotemporal process using mobile sensors and actuators</t>
  </si>
  <si>
    <t>Cheng, Sheng; Paley, Derek A.</t>
  </si>
  <si>
    <t>Monitoring and controlling a large-scale spatiotemporal process can be costly and dangerous for human operators, which can delegate the task to mobile robots for improved efficiency at a lower cost. The complex evolution of the spatiotemporal process and limited onboard resources of the robots motivate a holistic design of the robots’ actions to complete the tasks efficiently. This paper describes a cooperative framework for estimating and controlling a spatiotemporal process using a team of mobile robots that have limited onboard resources. We model the spatiotemporal process as a 2D diffusion equation that can characterize the intrinsic dynamics of the process with a partial differential equation (PDE). Measurement and actuation of the diffusion process are performed by mobile robots carrying sensors and actuators. The core of the framework is a nonlinear optimization problem, that simultaneously seeks the actuation and guidance of the robots to control the spatiotemporal process subject to the PDE dynamics. The limited onboard resources are formulated as inequality constraints on the actuation and speed of the robots. Extensive numerical studies analyze and evaluate the proposed framework using nondimensionalization and compare the optimal strategy to baseline strategies. The framework is demonstrated on an outdoor multi-quadrotor testbed using hardware-in-the-loop simulations.</t>
  </si>
  <si>
    <t>Auton. Robots</t>
  </si>
  <si>
    <t>10.1007/s10514-023-10105-9</t>
  </si>
  <si>
    <t>F4ZGKJBM</t>
  </si>
  <si>
    <t>Proceedings of the 29th International ACM Conference on 3D Web Technology</t>
  </si>
  <si>
    <t>F7C4GCM8</t>
  </si>
  <si>
    <t>Proceedings of the 32nd ACM SIGSOFT International Symposium on Software Testing and Analysis</t>
  </si>
  <si>
    <t>FM8U6DQ3</t>
  </si>
  <si>
    <t>Proceedings of the IEEE/ACM 46th International Conference on Software Engineering</t>
  </si>
  <si>
    <t>FRISSBSV</t>
  </si>
  <si>
    <t xml:space="preserve">database; big data; analytics; distributed; earth science; EarthDB; GIS; MODIS; NASA; remote sensing; SciDB; </t>
  </si>
  <si>
    <t>FZW33X4T</t>
  </si>
  <si>
    <t>Proceedings of the 2024 on ACM SIGSAC Conference on Computer and Communications Security</t>
  </si>
  <si>
    <t>G32IB8F8</t>
  </si>
  <si>
    <t>VRVul-Discovery: BiLSTM-based Vulnerability Discovery for Virtual Reality Devices in Metaverse</t>
  </si>
  <si>
    <t>Sha, Letian; Chen, Xiao; Xiao, Fu; Wang, Zhong; Long, Zhangbo; Fan, Qianyu; Dong, Jiankuo</t>
  </si>
  <si>
    <t>The rapid development of the metaverse has brought about numerous security challenges. Virtual Reality (VR), as one of the core technologies, plays a crucial role in the metaverse. The security of VR devices directly impacts user authentication and privacy. Currently, no attention has been paid to the vulnerabilities and security risks of VR devices. This article employs a bi-layer BiLSTM neural network to conduct a root cause analysis for user authentication and scene interaction when users enter metaverse environment using VR devices. By establishing the mapping between vulnerable VR firmware file attributes and metaverse interaction scenarios, we implement a vulnerability discovery and verification prototype called VRVul-Discovery, based on the concept of vulnerability discovery. Experiment results demonstrate that VRVul-Discovery provides high-accuracy determinations of firmware vulnerability attributes and scenarios susceptible to hijacking. In the end, the prototype system discovers seven unknown vulnerabilities, all of which are authenticated.</t>
  </si>
  <si>
    <t>ACM Trans. Multimedia Comput. Commun. Appl.</t>
  </si>
  <si>
    <t>10.1145/3677609</t>
  </si>
  <si>
    <t>GJR8LRCE</t>
  </si>
  <si>
    <t>Proceedings of the 2024 2nd International Conference on Internet of Things and Cloud Computing Technology</t>
  </si>
  <si>
    <t>GP7DMWJM</t>
  </si>
  <si>
    <t>Proceedings of the 39th ACM/SIGAPP Symposium on Applied Computing</t>
  </si>
  <si>
    <t>GQ4JIUKY</t>
  </si>
  <si>
    <t xml:space="preserve">Internet of Things; Smart city; Cloud computing; Smart city information system; Smart epidemic prevention; </t>
  </si>
  <si>
    <t>GWNDCLXE</t>
  </si>
  <si>
    <t>An on-line algorithm for cluster detection of mobile nodes through complex event processing</t>
  </si>
  <si>
    <t>Roriz Junior, Marcos; Endler, Markus; Silva, Francisco José da Silva e</t>
  </si>
  <si>
    <t>Clusters of mobile elements, such as vehicles and humans, are a common mobility pattern of interest for many applications. The on-line detection of them from large position streams of mobile entities is a challenging task because it requires algorithms that are capable of continuously and efficiently processing the high volume of position updates in a timely manner. Currently, the majority of approaches for cluster detection operate in batch mode, where position updates are recorded during time periods of certain length and then batch processed by an external routine, thus delaying the result of the cluster detection until the end of the time period. However, if the monitoring application requires results at a higher frequency than the one delivered by batch algorithms, then results might not reflect the current clustering state of the entities. To overcome this limitation, in this paper we propose DG2CEP, an algorithm that combines the well-known density-based clustering algorithm DBSCAN with the data stream processing paradigm Complex Event Processing (CEP) to achieve continuous, on-line detection of clusters. Our experiments with synthetic and real world datasets indicate that DG2CEP is able to detect the formation and dispersion of clusters with small latency and higher similarity to DBSCAN's output than batch-based approaches. HighlightsWe present an on-line algorithm (DG2CEP) for clustering position data streams.DG2CEP combines data stream mining with complex event processing concepts.DG2CEP can detect both the formation and the dispersion of clusters as data pass.Experimental results demonstrate that DG2CEP can rapidly detect cluster formations.Experiments also show that DG2CEP results are highly similar to off-line approaches (DBSCAN).</t>
  </si>
  <si>
    <t xml:space="preserve">Complex event processing; Data stream processing; Grid-based clustering; On-line stream clustering; </t>
  </si>
  <si>
    <t>10.1016/j.is.2015.12.003</t>
  </si>
  <si>
    <t>HJ4Q5RW9</t>
  </si>
  <si>
    <t>I9858T6S</t>
  </si>
  <si>
    <t>Asymptotics of learning with deep structured (random) features</t>
  </si>
  <si>
    <t>Schröder, Dominik; Dmitriev, Daniil; Cui, Hugo; Loureiro, Bruno</t>
  </si>
  <si>
    <t>For a large class of feature maps we provide a tight asymptotic characterisation of the test error associated with learning the readout layer, in the high-dimensional limit where the input dimension, hidden layer widths, and number of training samples are proportionally large. This characterization is formulated in terms of the population covariance of the features. Our work is partially motivated by the problem of learning with Gaussian rainbow neural networks, namely deep non-linear fully-connected networks with random but structured weights, whose row-wise covariances are further allowed to depend on the weights of previous layers. For such networks we also derive a closed-form formula for the feature covariance in terms of the weight matrices. We further find that in some cases our results can capture feature maps learned by deep, finite-width neural networks trained under gradient descent.</t>
  </si>
  <si>
    <t>Proceedings of the 41st International Conference on Machine Learning</t>
  </si>
  <si>
    <t>IQ5JEULC</t>
  </si>
  <si>
    <t>Proceedings of the 2023 6th International Conference on Big Data Technologies</t>
  </si>
  <si>
    <t>IYZLB53A</t>
  </si>
  <si>
    <t>Proceedings of the SC '23 Workshops of the International Conference on High Performance Computing, Network, Storage, and Analysis</t>
  </si>
  <si>
    <t>J33GQLUT</t>
  </si>
  <si>
    <t>Proceedings of the 2024 8th International Conference on Big Data and Internet of Things</t>
  </si>
  <si>
    <t>J7UWCTLN</t>
  </si>
  <si>
    <t xml:space="preserve">Internet of Things; low power and lossy network; quality of service; routing protocol; </t>
  </si>
  <si>
    <t>JBX8WQ5S</t>
  </si>
  <si>
    <t>Proceedings of the 43rd Annual ACM SIGPLAN-SIGACT Symposium on Principles of Programming Languages</t>
  </si>
  <si>
    <t>JJ54X82W</t>
  </si>
  <si>
    <t>Proceedings of the 2024 15th International Conference on E-Education, E-Business, E-Management and E-Learning</t>
  </si>
  <si>
    <t>JJ78BKXB</t>
  </si>
  <si>
    <t>Proceedings of the 2023 2nd Asia Conference on Algorithms, Computing and Machine Learning</t>
  </si>
  <si>
    <t>JJG27TIH</t>
  </si>
  <si>
    <t>Finding the forest in the trees: Enabling performance optimization on heterogeneous architectures through data science analysis of ensemble performance data</t>
  </si>
  <si>
    <t>Dongarra, Jack; Tourancheau, Bernard; Pearce, Olga; Brink, Stephanie</t>
  </si>
  <si>
    <t>In this work, we develop novel data science methodologies for ensemble performance data that have the potential to uncover orders of magnitude of performance that is unknowingly being left on the table. Building on years of successful performance tool design and tool integration into million-line codes at Lawrence Livermore National Laboratory (Caliper (Boehme et al. 2016), Hatchet (Bhatele et al. 2019; Brink et al. 2020))—successes highlighted as key deliverables in meeting LLNL’s L1 and L2 milestones (Rieben and Weiss 2020)—we design a data science methodology for integrating multi-dimensional, multi-scale, multi-architecture, and multi-tool performance data, and provide data analytics and interactive visualization capabilities for further analysis and exploration of the data. Our work provides developers with a comprehensive multi-dimensional performance landscape, enabling enhanced capabilities for pinpointing performance bottlenecks on emerging hardware platforms composed of heterogeneous elements.</t>
  </si>
  <si>
    <t>Int. J. High Perform. Comput. Appl.</t>
  </si>
  <si>
    <t>10.1177/10943420231175687</t>
  </si>
  <si>
    <t>JNPYF9IE</t>
  </si>
  <si>
    <t>Proceedings of the 2024 Guangdong-Hong Kong-Macao Greater Bay Area International Conference on Digital Economy and Artificial Intelligence</t>
  </si>
  <si>
    <t>JSAYQMPF</t>
  </si>
  <si>
    <t>An evolutionary multi-algorithm based framework for the parametric estimation of proton exchange membrane fuel cell</t>
  </si>
  <si>
    <t>Sharma, Pankaj; Raju, Saravanakumar; Salgotra, Rohit</t>
  </si>
  <si>
    <t>This paper proposes a multi-strategy, multiple algorithms based hybrid strategy using flower pollination algorithm (FPA), grey wolf optimizer (GWO), INFO, and naked mole rat algorithm (NMRA). The proposed algorithm, named the Flower Grey INFO Naked (FGIN) algorithm, incorporates the most effective equations from the FPA, GWO, INFO, and NMRA. Here FPA’s basic structure following global and local search is used, GWO is meant for providing extensive exploration, whereas INFO and NMRA both contribute towards exploitative search. Dynamic iterative search and population segmentation strategies are incorporated for enhanced performance of FGIN algorithm. For enhanced self-adaptivity, six mutation weight operators are applied to the three parameters of the proposed strategy. FGIN is also subjected to higher dimensional and variable population analysis, and has been found to be highly effective. A deeper analysis using CEC 2005, CEC 2017, CEC 2019 and CEC 2022 benchmark data set is also performed to validate the superiority of the proposed algorithm with respect to success history based differential evolution (SHADE), self-adaptive DE (SaDE), NL-LSHADE-LBC, DE with active archive (JADE), LSHADE-SPACMA, evolutionary algorithms with eigen crossover (EA4eig), extended GWO (GWO-E), NL-LSHADE-RSP-MID, jDE100, and others. The proposed FIGN algorithm is then used for the parametric identification of proton exchange membranes in fuel cells (PEMFC). The optimization challenge of PEMFC is to minimize the sum of squared error (SSE) between the experimental and measured voltage. And also determine, the optimal values of seven unknown parameters for the PEMFC stack’s. To illustrate the potential of the FGIN algorithm is validated by utilizing five well-known commercial PEMFCs, namely NedStack PS6, BCS 500 W, Stack 250 W, Ballard Mark V, and Horizon H-12 Stack. In order to check the effectiveness of the FGIN algorithm, both parametric and non-parametric statistical tests have been conducted, and it has been found that the proposed algorithm performs significantly better.</t>
  </si>
  <si>
    <t>Knowledge-Based Systems</t>
  </si>
  <si>
    <t xml:space="preserve">Numerical optimization; Adaptive properties; CEC benchmarks; Multiple algorithms; Proton exchange membranes fuel cell parameter identification; </t>
  </si>
  <si>
    <t>10.1016/j.knosys.2023.111134</t>
  </si>
  <si>
    <t>JXJCXUTA</t>
  </si>
  <si>
    <t>Proceedings of the 3rd International Conference on Electronic Information Technology and Smart Agriculture</t>
  </si>
  <si>
    <t>KAIYVJJH</t>
  </si>
  <si>
    <t>Proceedings of the 2024 International Conference on Smart Healthcare and Wearable Intelligent Devices</t>
  </si>
  <si>
    <t>KCQ3SE27</t>
  </si>
  <si>
    <t>Proceedings of the ACM SIGCOMM 2024 Conference</t>
  </si>
  <si>
    <t>KGX6DRA6</t>
  </si>
  <si>
    <t>Proceedings of the 2024 Guangdong-Hong Kong-Macao Greater Bay Area International Conference on Education Digitalization and Computer Science</t>
  </si>
  <si>
    <t>KJWNN35S</t>
  </si>
  <si>
    <t xml:space="preserve">Dimensional analysis; Computational force; Computational intensity; Parallel algorithms; Scaling; Benchmark analysis; Equivalence class; Mixing coefficient; Self-similarity; </t>
  </si>
  <si>
    <t>KKXDG8N4</t>
  </si>
  <si>
    <t>Business intelligence: The savvy manager's guide</t>
  </si>
  <si>
    <t>Loshin, David</t>
  </si>
  <si>
    <t>Following the footsteps of the first edition, the second edition of Business Intelligence is a full overview of what comprises business intelligence. It is intended to provide an introduction to the concepts to uncomplicate the learning process when implementing a business intelligence program. Over a relatively long lifetime (7 years), the current edition of book has received numerous accolades from across the industry for its straightforward introduction to both business and technical aspects of business intelligence. As an author, David Loshin has a distinct ability to translate challenging topics into a framework that is easily digestible by managers, business analysts, and technologists alike. In addition, his material has developed a following (such as the recent Master Data Management book) among practitioners and key figures in the industry (both analysts and vendors) and that magnifies our ability to convey the value of this book. Guides managers through developing, administering, or simply understanding business intelligence technology Keeps pace with the changes in best practices, tools, methods and processes used to transform an organizations data into actionable knowledge Contains a handy, quick-reference to technologies and terminology. Table of Contents 1. Business Intelligence - An Introduction 2. Value Drivers 3. Planning for Success 4. Developing a Business Intelligence Roadmap 5. The Business Intelligence Environment 6. Business Models and Information Flow 7. Data Requirements Analysis 8. Data Warehouses and the Technical BI Architecture 9. Business Metadata 10. Data Profiling 11. Business Rules 12. Data Quality 13. Data Integration 14. High Performance BI 15. Alternate Information Contexts 16. Location Intelligence and Spatial analysis 17. Knowledge Discovery, Data Mining, and Analytics 18. Using Publicly Available Data 19. Knowledge Delivery 20. New and Emerging Techniques 21. Quick Reference</t>
  </si>
  <si>
    <t>KW8FLCY9</t>
  </si>
  <si>
    <t>Hazyuk, Ion; Budinger, Marc; Sanchez, Florian; Gogu, Christian</t>
  </si>
  <si>
    <t xml:space="preserve">Dimensional analysis; Non-dimensional variables; Optimal space filling; Optimization with space transformation; Surrogate modelling; </t>
  </si>
  <si>
    <t>L2CQ28VH</t>
  </si>
  <si>
    <t>Integrating Visual Transformer and Graph Neural Network for Visual Analysis in Digital Marketing: Exploring and Predicting Advertising Effectiveness</t>
  </si>
  <si>
    <t>Chao, Yingna; Zhu, Hongfeng; Zhou, Yueding</t>
  </si>
  <si>
    <t>In today's digital economy, digital marketing has become a crucial means for businesses to drive growth and enhance brand exposure. However, with increasing competition, predicting and optimizing advertising effectiveness has become a pivotal component in formulating digital marketing strategies. In order to better understand ad creatives and deeply explore the information within them, this study focuses on integrating visual transformer (VIT) and graph neural network (GNN) methods. Additionally, the study leverages generative adversarial networks (GAN) to enhance the quality of visual features, aiming to achieve visual analysis, exploration, and prediction of advertising effectiveness in digital marketing. This approach begins by employing VIT, an emerging visual transformer technology, to transform image information into high-dimensional feature representations.</t>
  </si>
  <si>
    <t>J. Organ. End User Comput.</t>
  </si>
  <si>
    <t>10.4018/JOEUC.342092</t>
  </si>
  <si>
    <t>L5QHRW7Q</t>
  </si>
  <si>
    <t>Proceedings of the 2023 CHI Conference on Human Factors in Computing Systems</t>
  </si>
  <si>
    <t>L7D8GPG9</t>
  </si>
  <si>
    <t>Proceedings of the 2022 11th International Conference on Networks, Communication and Computing</t>
  </si>
  <si>
    <t>LMJCA7IV</t>
  </si>
  <si>
    <t>Integrated Workflows: Generating Feedback Between Digital and Physical Realms</t>
  </si>
  <si>
    <t>Proceedings of the 2019 CHI Conference on Human Factors in Computing Systems</t>
  </si>
  <si>
    <t>LNQUPDZP</t>
  </si>
  <si>
    <t>Proceedings of the 2024 International Conference on Digital Society and Artificial Intelligence</t>
  </si>
  <si>
    <t>M3PPIVJA</t>
  </si>
  <si>
    <t>A tool to evaluate air quality model performances in regulatory applications</t>
  </si>
  <si>
    <t>Thunis, Philippe; Georgieva, Emilia; Pederzoli, Anna</t>
  </si>
  <si>
    <t>This paper describes the details of the DELTA Tool and Benchmarking service for air quality models, recently developed in the framework of FAIRMODE (Forum for Air Quality Modelling in Europe). One of the main objectives of the FAIRMODE activities is the development of a procedure for the evaluation and benchmarking of air quality modelling applications for regulatory purposes. The DELTA Tool is a specific software which provides summary statistics (i.e. BIAS, RMSE, correlation coefficient) as well as scatter-plots, time series plots, Taylor, Target and other diagrams providing an overview of the quality of model results with respect to monitored data. Moreover, the benchmarking service implemented in DELTA produces summary reports containing performance indicators related to a given model application in the frame of the EU Air Quality Directive (AQD, 2008). This work describes the structure of the DELTA tool and template for reporting model performances. Some examples of application are also briefly presented.</t>
  </si>
  <si>
    <t>Environ. Model. Softw.</t>
  </si>
  <si>
    <t>10.1016/j.envsoft.2012.06.005</t>
  </si>
  <si>
    <t>M95XCXNF</t>
  </si>
  <si>
    <t>Proceedings of the 2024 ACM Conference on Fairness, Accountability, and Transparency</t>
  </si>
  <si>
    <t>M9JUKWZK</t>
  </si>
  <si>
    <t>Proceedings of the 28th International Conference on Evaluation and Assessment in Software Engineering</t>
  </si>
  <si>
    <t>M9QPFPIB</t>
  </si>
  <si>
    <t>Automatic Evaluation System of Aerobics based on Action Recognition Algorithm</t>
  </si>
  <si>
    <t>Xiong, Ling</t>
  </si>
  <si>
    <t>This paper analyzes the AES of aerobics based on action recognition algorithm(ARA). This paper analyzes the difficult problem of human motion recognition, and on this basis, discusses the ARA and the automatic evaluation system(AES) of aerobics. The ARA is applied to the design of the AES of aerobics. Finally, through the visualization experiment of the key posture extraction of the movement sequence, the AES of aerobics based on the ARA in this paper is compared with the traditional evaluation system. The test results show that, compared with the traditional evaluation system, The automatic recognition system in this paper has improved the recognition accuracy of each kind of aerobics action(AA), which proves the effectiveness of the AES based on ARA discussed in this paper to improve the recognition accuracy.</t>
  </si>
  <si>
    <t>Proceedings of the 2022 4th International Conference on Software Engineering and Development</t>
  </si>
  <si>
    <t>10.1145/3582084.3582091</t>
  </si>
  <si>
    <t>MAL9AYRE</t>
  </si>
  <si>
    <t>Future Generation Computer Systems</t>
  </si>
  <si>
    <t xml:space="preserve">Machine learning; Distributed computing; High performance computing; High throughput computing; Scientific computing; Workflow management; </t>
  </si>
  <si>
    <t>MB4ZVW5U</t>
  </si>
  <si>
    <t>Proceedings of the International Conference on Algorithms, Software Engineering, and Network Security</t>
  </si>
  <si>
    <t>MSR36CUF</t>
  </si>
  <si>
    <t xml:space="preserve">Middleware; Cloud computing; Synchronization; Electronic health record; Mobile computing; Mobile devices; </t>
  </si>
  <si>
    <t>N8Z63Z5K</t>
  </si>
  <si>
    <t>Big data analytics: From strategic planning to enterprise integration with tools, techniques, NoSQL, and graph</t>
  </si>
  <si>
    <t>Big Data Analytics will assist managers in providing an overview of the drivers for introducing big data technology into the organization and for understanding the types of business problems best suited to big data analytics solutions, understanding the value drivers and benefits, strategic planning, developing a pilot, and eventually planning to integrate back into production within the enterprise. Guides the reader in assessing the opportunities and value proposition Overview of big data hardware and software architectures Presents a variety of technologies and how they fit into the big data ecosystem Table of Contents Business Drivers for Big Data Analytics Business Problems that are Suited to Big Data Solutions Organizational Alignment for Big Data Developing a Strategic Plan for Integrating Big Data into the Enterprise Data Governance: Policies and Processes for Big Data Oversight High Performance Analytics Appliances Big Data Tools and Techniques Developing Big Data Applications NoSQL Graph Analytics Summary</t>
  </si>
  <si>
    <t>NDRMFP84</t>
  </si>
  <si>
    <t>Design and validation of a heterogeneous interior notched specimen for inverse material parameter identification</t>
  </si>
  <si>
    <t>Conde, M.; Zhang, Y.; Henriques, J.; Coppieters, S.; Andrade-Campos, A.</t>
  </si>
  <si>
    <t>Nowadays, virtual manufacturing, digitalisation and simulation predictions are essential for the design and the development of engineering parts and components, as well as companies’ productivity. The implemented constitutive model and the accuracy of the determined material parameters influence the reliability of these predictions. It is necessary to calibrate multiple parameters of a complex and robust constitutive model. This is a very time-consuming task and involves high costs when using a classical approach, in which several different homogeneous mechanical experiments are performed. The non-homogeneous mechanical tests can provide a larger variety of mechanical information in just one experiment, reducing the number of required tests for material characterisation. The aim of this work is to numerically design a specimen with an interior notch for a uniaxial loading test that presents strain heterogeneity. The shape of the interior notch is optimised to maximise the strain heterogeneity. The optimisation procedure is guided by a cost function established by several strain heterogeneity indicators. The best specimen shape exhibits numerically uniaxial tension and compression, pure shear and plane strain tension in the plastic region. The identifiability of Swift’s hardening law parameters was quantitatively investigated based on the partial derivative of the strain fields with respect to the sought parameters. Results show that the proposed design strategy enables to increase in strain heterogeneity. It is shown that the optimised specimen has significantly better identifiability compared to a tensile specimen with a circular hole. Finally, a comparison between a classical Finite Element Model Updating (FEMU) methodology and a FEMU-based approach that uses a DIC-levelling strategy was conducted in order to inversely identify the Swift hardening law parameters and validate the designed specimen. It was confirmed that the DIC-levelling method finds more accurate results than the classical approach, with the compromise of the computational time. It was also shown that the optimum designed specimen is adequate for inverse identification strategies.</t>
  </si>
  <si>
    <t>Finite Elements in Analysis and Design</t>
  </si>
  <si>
    <t xml:space="preserve">Finite element model updating (FEMU); Mechanical testing; Parameter identification; Shape optimisation; Strain heterogeneity; Virtual experiment; </t>
  </si>
  <si>
    <t>10.1016/j.finel.2022.103866</t>
  </si>
  <si>
    <t>NGZJFWCZ</t>
  </si>
  <si>
    <t>Proceedings of the 2024 8th International Conference on Control Engineering and Artificial Intelligence</t>
  </si>
  <si>
    <t>NQXSYGGA</t>
  </si>
  <si>
    <t>Computers and Electrical Engineering</t>
  </si>
  <si>
    <t xml:space="preserve">Machine learning; visualization; Distributed EM algorithm; Technical analysis effect; Video of things; </t>
  </si>
  <si>
    <t>NRTJHY92</t>
  </si>
  <si>
    <t>NWKD8NTY</t>
  </si>
  <si>
    <t>Financial Self-Service Transaction Method Based on Wireless Communication Network</t>
  </si>
  <si>
    <t>Xie, Wangsong; Farouk, Ahmed</t>
  </si>
  <si>
    <t>With the advent of the new era and the rapid development of the service industry, a self-contained terminal control business with its high-performance operation provides reliable information, saves a lot of manpower and time resources, and maintains flexibility, thus becoming an insignificant and important part of the financial services industry. This article aims to study the financial self-service transaction method based on a wireless communication network. This article starts from three stages such as functional planning, future direction, and final management and makes every effort to help the bank focus on three-dimensional and intelligent development of main business channel services from three levels such as technology, facilities, and channels, so as to realize the banking business from “production and direction” to “the transformation of marketing and experience,” providing end users with a brand-new work experience at anytime and anywhere to increase productivity and reduce labor costs. The research results show that more than 80% of the interviewed people have expressed affirmation of the financial self-service transaction service under the wireless communication network, and the interactive design of the operation interface and the information data and security system need to be further improved.</t>
  </si>
  <si>
    <t>Sci. Program.</t>
  </si>
  <si>
    <t>10.1155/2022/4570550</t>
  </si>
  <si>
    <t>PM5GEV5M</t>
  </si>
  <si>
    <t>PQFD92C4</t>
  </si>
  <si>
    <t>Proceedings of the 2023 15th International Conference on Machine Learning and Computing</t>
  </si>
  <si>
    <t>Q5HKNKPJ</t>
  </si>
  <si>
    <t>Proceedings of the 2024 9th International Conference on Cyber Security and Information Engineering</t>
  </si>
  <si>
    <t>Q8WN928N</t>
  </si>
  <si>
    <t>Proceedings of the 43rd ACM Symposium on Principles of Distributed Computing</t>
  </si>
  <si>
    <t>QSC8MW4L</t>
  </si>
  <si>
    <t>Proceedings of Mensch und Computer 2023</t>
  </si>
  <si>
    <t>QX6C88G8</t>
  </si>
  <si>
    <t>Soft-checkpointing based hybrid synchronous checkpointing protocol for mobile distributed systems</t>
  </si>
  <si>
    <t>Kumar, Parveen; Garg, Rachit</t>
  </si>
  <si>
    <t>Minimum-process coordinated checkpointing is a suitable approach to introduce fault tolerance in mobile distributed systems transparently. In order to balance the checkpointing overhead and the loss of computation on recovery, the authors propose a hybrid checkpointing algorithm, wherein an all-process coordinated checkpoint is taken after the execution of minimum-process coordinated checkpointing algorithm for a fixed number of times. In coordinated checkpointing, if a single process fails to take its checkpoint; all the checkpointing effort goes waste, because, each process has to abort its tentative checkpoint. In order to take the tentative checkpoint, an MH Mobile Host needs to transfer large checkpoint data to its local MSS over wireless channels. In this regard, the authors propose that in the first phase, all concerned MHs will take soft checkpoint only. Soft checkpoint is similar to mutable checkpoint. In this case, if some process fails to take checkpoint in the first phase, then MHs need to abort their soft checkpoints only. The effort of taking a soft checkpoint is negligibly small as compared to the tentative one. In the minimum-process coordinated checkpointing algorithm, an effort has been made to minimize the number of useless checkpoints and blocking of processes using probabilistic approach.</t>
  </si>
  <si>
    <t xml:space="preserve">Fault Tolerance; Checkpoint; Consistent Global State; Coordinated Checkpointing and Mobile Systems; Probabilistic Approach; </t>
  </si>
  <si>
    <t>10.4018/jdst.2011010101</t>
  </si>
  <si>
    <t>R3LV2AI9</t>
  </si>
  <si>
    <t>Breaststroke Training in Adolescents: A Scientometric Analysis</t>
  </si>
  <si>
    <t>Mo, Xingsheng; Shi, Zhan; Zou, Quanyu; Yang, Zhengzheng</t>
  </si>
  <si>
    <t>Objective: To methodically assess research trends in adolescent breaststroke swimming to inform future training directions.Methods: A scientometrics analysis using citespace6.2.R6 software examined literature from 2013 to 2023.Results: The quantity of literature on adolescent breaststroke training has increased. Notable English contributors include Veiga and Gonio, while Chinese literature lacks central authors. Research concentrates on land-based training, pivotal training methods, pre-competition preparation, post-intensity recovery, and starts and turns. Key terms are adolescents, physical training, swimming, performance, and competition analysis. Recent hot topics in Chinese research include physical and load training methods, while "Elite athlete" trends in English literature.Conclusion: Adolescent breaststroke training requires customization over standardization. Tailored plans should reflect individual physical and psychological traits, technique style, skill level, coaching, and regional factors for optimal results.</t>
  </si>
  <si>
    <t>Proceedings of the 2023 International Conference on Information Education and Artificial Intelligence</t>
  </si>
  <si>
    <t>10.1145/3660043.3660192</t>
  </si>
  <si>
    <t>RA7LWUXE</t>
  </si>
  <si>
    <t>Proceedings of the 2023 ACM Conference on Fairness, Accountability, and Transparency</t>
  </si>
  <si>
    <t>RDMELHRU</t>
  </si>
  <si>
    <t xml:space="preserve">performance analysis; hpc; input/output; parallel i/o; </t>
  </si>
  <si>
    <t>RH4FVM47</t>
  </si>
  <si>
    <t>Proceedings of the 37th ACM SIGPLAN Conference on Programming Language Design and Implementation</t>
  </si>
  <si>
    <t>RHHQPNA2</t>
  </si>
  <si>
    <t>Journal of Parallel and Distributed Computing</t>
  </si>
  <si>
    <t xml:space="preserve">Content delivery network; Distributed VoD; Multicast; P2P; Proxy; Video-on-demand; </t>
  </si>
  <si>
    <t>RI3BJADW</t>
  </si>
  <si>
    <t xml:space="preserve">Prediction; Scour; Neuro-fuzzy; Swarm optimization; </t>
  </si>
  <si>
    <t>RILT4E38</t>
  </si>
  <si>
    <t>Proceedings of the 11th International Conference on Ubiquitous Information Management and Communication</t>
  </si>
  <si>
    <t>RIU2GUKR</t>
  </si>
  <si>
    <t>RW4HG4PJ</t>
  </si>
  <si>
    <t>Implementing stable-unstable semantics with ASPTOOLS and&amp;nbsp;clingo</t>
  </si>
  <si>
    <t>Janhunen, Tomi</t>
  </si>
  <si>
    <t>Normal logic programs subject to stable model semantics cover reasoning problems from the first level of polynomial time hierarchy (PH) in a natural way. Disjunctive programs reach one level beyond this, but the access to the underlying NP oracle(s) is somewhat implicit and available for the programmer using the so-called saturation technique. To address this shortcoming, stable-unstable semantics was proposed, making oracles explicit as subprograms having no stable models. If this idea is applied recursively, any level of PH can be reached with normal programs only, in analogy to quantified Boolean formulas (QBFs). However, for the moment, no native implementations of stable-unstable semantics have emerged except via translations toward QBFs. In this work, we alleviate this situation with a translation of (effectively) normal programs that combines a main program with any fixed number of oracles subject to stable-unstable semantics. The result is a disjunctive program that can be fed as input for answer set solvers supporting disjunctive programs. The idea is to hide saturation from the programmer altogether, although it is exploited by the translation internally. The translation of oracles is performed using translators and linkers from the ASPTOOLS collection while Clingo is used as the back-end solver.</t>
  </si>
  <si>
    <t>Practical aspects of declarative languages: 24th international symposium, PADL 2022, philadelphia, PA, USA, january 17–18, 2022, proceedings</t>
  </si>
  <si>
    <t>10.1007/978-3-030-94479-7_9</t>
  </si>
  <si>
    <t>S53H6QBW</t>
  </si>
  <si>
    <t>Design and performance analysis of ohmic contact based SPMT RF MEMS switch</t>
  </si>
  <si>
    <t>Rajasekhar, K.; GirijaSravani, K.; Srinivasa Rao, K.</t>
  </si>
  <si>
    <t>RF signal routers are become prominent in the modern wireless communication transceivers. SPMT RF MEMS switches predominantly plays significant role in RF signal routing. The recent advances in RF signal routing demands high efficiency offering SPMT RF switches. This communication discusses the design of SPMT switches using ohmic contact RF MEMS technology for RF signal routing applications. The ohmic contact switches are designed using multi-contact cantilever structures. The cantilever structure is incorporated in the CPW line without disturbing the RF properties. The multi-contact cantilever structures helps to improve the reliability of microstructures. The presented SPMT switch was enabled with reconfigurability feature in terms of frequency. Three identical ohmic contact switches are used for the design of SPMT switch. The switch requires a low Actuation voltage of 3.5&amp;nbsp;V. The presented SPMT RF switch offering low insertion of − 0.45&amp;nbsp;dB and high isolation of − 65&amp;nbsp;dB.</t>
  </si>
  <si>
    <t>Microsyst. Technol.</t>
  </si>
  <si>
    <t>10.1007/s00542-023-05503-z</t>
  </si>
  <si>
    <t>S5DSSX9F</t>
  </si>
  <si>
    <t>Proceedings of the 7th Joint International Conference on Data Science &amp; Management of Data (11th ACM IKDD CODS and 29th COMAD)</t>
  </si>
  <si>
    <t>S5VM5X2W</t>
  </si>
  <si>
    <t>Marine predator inspired naked mole-rat algorithm for global optimization</t>
  </si>
  <si>
    <t>Salgotra, Rohit; Singh, Supreet; Singh, Urvinder; Mirjalili, Seyedali; Gandomi, Amir H.</t>
  </si>
  <si>
    <t>This paper proposes a hybrid version of marine predator algorithm (MPA) and naked mole-rat algorithm (NMRA) to aggregate the strengths of both algorithms. The new proposed algorithm is named as MpNMRA and designed to overcome the inherent drawbacks of MPA (slow exploitation) and NMRA (limited exploration). The algorithm adds the basic structure of MPA to the worker phase of NMRA, while keeping all the major parameters of both the algorithm. The major parameters of both the algorithms are subjected to four different mutation strategies namely, exponential, linear, simulated annealing and logarithmic mutation strategies. The concept of simulated annealing-based mutation is found to be best for most of the parameters, whereas in some cases exponentially decreasing weights provide better results. Leveraging on the best mutation strategies for all the parameters, the proposed MpNMRA is tested on CEC2005, CEC2014 and CEC 2019 benchmark problems. The experimental results demonstrate that MpNMRA provides best results when compared to other algorithms in the literature on higher-dimensional problems. This work also considers solving three real-world optimization problems and training of a multi-layer perceptron using the proposed algorithm. Statistical results obtained from Wilcoxon’s rank-sum test, Freidman’s test and computational complexity further proves that the proposed algorithm is highly efficient and provide superior results.11The link of source-code will be added after publishing.</t>
  </si>
  <si>
    <t>Expert Systems with Applications</t>
  </si>
  <si>
    <t xml:space="preserve">Self-adaptivity; Numerical optimization; Hybrid algorithms; Marine predator algorithm; Naked mole-rat algorithm; </t>
  </si>
  <si>
    <t>10.1016/j.eswa.2022.118822</t>
  </si>
  <si>
    <t>TQ22GR78</t>
  </si>
  <si>
    <t>TQUG6V2Z</t>
  </si>
  <si>
    <t>Process resource usage anomaly detection method based on process call stack in Linux Server</t>
  </si>
  <si>
    <t>Liu, Bing; Xie, Ruilian; Chen, Lijun</t>
  </si>
  <si>
    <t>The call stack is a trace of function calls when a program is running. By analyzing the call stack, we can learn the execution path of the program, the relationship between functions and the number of function calls, which is of great significance for program optimization and troubleshooting. However, the call stack information is often very large, especially in complex application scenarios, the analysis and processing efficiency is very low, or even impossible to complete. Therefore, efficient statistics and analysis tools for the call stack are particularly important. This paper proposes an resource usage anomaly detection scheme for process behavior based on call stack coding and anomaly detection algorithm. It obtains the call stack by eBPF technology and establishes a hash table by map mechanism. It samples the call stack codes of all processes running in the machine at a specific frequency during the detection, and records the number of samples and execution time of each different call stack code. A user mode program reads data from the buffer. The call stack statistics is analyzed in user space, and the abnormal number of process call stacks is found by anomaly detection algorithm every period of time, which is convenient to find the call bottleneck of the machine causing high load. The abnormal call stacks are used to optimize the program and improve the performance of the machine, and are compatible with the data collected by Perf. The tool is efficient, accurate, scalable, and can quickly locate performance problems in the production environment.</t>
  </si>
  <si>
    <t>10.1145/3641584.3641804</t>
  </si>
  <si>
    <t>TUQGMLAZ</t>
  </si>
  <si>
    <t>BP Network Model Based on SCLBOA for House Price Forecasting</t>
  </si>
  <si>
    <t>Ji, Xudong; Ji, Xiao-Fang; Wei, Hongxing; Chen, Youdong; Xue, Wei; Hernández-Pérez, José Alfredo</t>
  </si>
  <si>
    <t>Butterfly optimization algorithm (BOA) is a new swarm intelligence algorithm mimicking the behaviors of butterflies. However, there is still much room for improvement. In order to enhance the convergence speed and accuracy of the BOA, we present an improved algorithm SCLBOA based on SIBOA, which incorporates a logical mapping and a Lévy flight mechanism. The logical chaotic map is used for population initialization, and then the Lévy flight mechanism is integrated into the SCLBOA algorithm. To evaluate the performance of the SCLBOA, we conducted many experiments on standard test functions. The simulation results suggest that the SCLBOA is capable of high-precision optimization, fast convergence, and effective global optimization, all of which show that our method outperforms other methods in solving mathematical optimization problems. Finally, the BP network is optimized according to the SCLBOA (SCLBOA-BP) to further verify the availability of the algorithm. Simulation experiments prove the practicability of this method by building a Boston housing price prediction model for training.</t>
  </si>
  <si>
    <t>Intell. Neuroscience</t>
  </si>
  <si>
    <t>10.1155/2022/8148586</t>
  </si>
  <si>
    <t>TV6PS54T</t>
  </si>
  <si>
    <t>Role of IoT technologies in big data management systems</t>
  </si>
  <si>
    <t>Al-Ali, A.R.; View Profile; Gupta, Ragini; View Profile; Zualkernan, Imran; View Profile; Das, Sajal K.; View Profile</t>
  </si>
  <si>
    <t>Pervasive and Mobile Computing</t>
  </si>
  <si>
    <t>; Big data; Smart cities; Smart grid; Big data analytic and visualization; Distributed file system; Internet of Things (ioT)</t>
  </si>
  <si>
    <t>10.1016/j.pmcj.2024.101905</t>
  </si>
  <si>
    <t>U2YPW2VQ</t>
  </si>
  <si>
    <t>Feasibility analysis of real-time transactions</t>
  </si>
  <si>
    <t>Rahni, Ahmed; Grolleau, Emmanuel; Richard, Michaël; Richard, Pascal</t>
  </si>
  <si>
    <t>The objective of this paper is two-fold: give a survey of response time analysis (RTA), and contribute to schedulability analysis for the real-time transaction model. The RTA is studied under fixed priority policies (FPP), while schedulability analysis assumes an optimal scheduling algorithm (like the deadline driven scheduling algorithm EDF) in a preemptive context on uniprocessor systems. We compare the transaction model to the family of multiframe models, then present the exact, and approximated methods, as well as a tunable method to compute the RTA. Finally we present a new schedulability analysis method and an efficient algorithm to speed up this test.</t>
  </si>
  <si>
    <t>Real-time Systems</t>
  </si>
  <si>
    <t xml:space="preserve">Deadline Driven Scheduling; Fixed Priority Policy; Processor demand; Real-time transactions; Response time analysis; Tasks with offsets; </t>
  </si>
  <si>
    <t>10.1007/s11241-012-9147-z</t>
  </si>
  <si>
    <t>UF69NBJJ</t>
  </si>
  <si>
    <t>Scalable algorithms for data and network analysis</t>
  </si>
  <si>
    <t>Teng, Shang-Hua</t>
  </si>
  <si>
    <t>In the age of Big Data, efficient algorithms are now in higher demand more than ever before. While Big Data takes us into the asymptotic world envisioned by our pioneers, it also challenges the classical notion of efficient algorithms: Algorithms that used to be considered efficient, according to polynomial-time characterization, may no longer be adequate for solving today’s problems. It is not just desirable, but essential, that efficient algorithms should be scalable. In other words, their complexity should be nearly linear or sub-linear with respect to the problem size. Thus, scalability, not just polynomial-time computability, should be elevated as the central complexity notion for characterizing efficient computation. In this tutorial, I will survey a family of algorithmic techniques for the design of provably-good scalable algorithms. These techniques include local network exploration, advanced sampling, sparsification, and geometric partitioning. They also include spectral graph-theoretical methods, such as those used for computing electrical flows and sampling from Gaussian Markov random fields. These methods exemplify the fusion of combinatorial, numerical, and statistical thinking in network analysis. I will illustrate the use of these techniques by a few basic problems that are fundamental in network analysis, particularly for the identification of significant nodes and coherent clusters/communities in social and information networks. I also take this opportunity to discuss some frameworks beyond graph-theoretical models for studying conceptual questions to understand multifaceted network data that arise in social influence, network dynamics, and Internet economics.</t>
  </si>
  <si>
    <t>Found. Trends Theor. Comput. Sci.</t>
  </si>
  <si>
    <t>10.1561/0400000051</t>
  </si>
  <si>
    <t>VR46DVS8</t>
  </si>
  <si>
    <t>VSI9PJL4</t>
  </si>
  <si>
    <t>CAWAL: : A novel unified analytics framework for enterprise web applications and multi-server environments</t>
  </si>
  <si>
    <t>Canay, Özkan; View Profile; Kocabıçak, Ümit; View Profile</t>
  </si>
  <si>
    <t>Information Processing and Management: an International Journal</t>
  </si>
  <si>
    <t>; Application logging; Data governance; Logging framework; User tracking; Web analytics</t>
  </si>
  <si>
    <t>10.1016/j.ipm.2023.103617</t>
  </si>
  <si>
    <t>VUM77SGY</t>
  </si>
  <si>
    <t>Using analytics with discrete-event simulation</t>
  </si>
  <si>
    <t>Greasley, Andrew</t>
  </si>
  <si>
    <t>Analytics is most often associated with the tools of statistics and data mining to transform big data into results for business decisions. This article aims to evaluate the role of the modelling tool of discrete-event simulation (DES) in conjunction with analytics. A review of articles which show the implementation of a DES in conjunction with big data, data mining, data farming, visual analytics and process mining is presented. A DES methodology is developed that provides a framework for the use of these techniques when conducting a DES study. A discussion is then presented of the challenges that are pertinent when undertaking DES in conjunction with analytics.</t>
  </si>
  <si>
    <t>Proceedings of the 50th computer simulation conference</t>
  </si>
  <si>
    <t xml:space="preserve">analytics; discrete-event simulation; literature review; </t>
  </si>
  <si>
    <t>W7D2FXWL</t>
  </si>
  <si>
    <t>Proceedings of the 1st Augmented Human International Conference</t>
  </si>
  <si>
    <t>W7W9ANRT</t>
  </si>
  <si>
    <t>Proceedings of the 2023 4th International Conference on Computer Science and Management Technology</t>
  </si>
  <si>
    <t>WWYQTNN8</t>
  </si>
  <si>
    <t>Proceedings of the 2024 International Conference on Machine Intelligence and Digital Applications</t>
  </si>
  <si>
    <t>WZFLQR9T</t>
  </si>
  <si>
    <t>Proceedings of the International Conference on Decision Science &amp; Management</t>
  </si>
  <si>
    <t>X4Z76QKU</t>
  </si>
  <si>
    <t>Fairness-aware task offloading and load balancing with delay constraints for Power Internet of Things</t>
  </si>
  <si>
    <t>Li, Xue; View Profile; Chen, Xiaojuan; View Profile; Li, Guohua; View Profile</t>
  </si>
  <si>
    <t>; Edge computing; Load balancing; Lyapunov optimization; Power IoT; Theil index</t>
  </si>
  <si>
    <t>10.1016/j.adhoc.2023.103333</t>
  </si>
  <si>
    <t>X9DQRAJA</t>
  </si>
  <si>
    <t>Reconciling fault-tolerant distributed computing and systems-on-chip</t>
  </si>
  <si>
    <t>Függer, Matthias; Schmid, Ulrich</t>
  </si>
  <si>
    <t>Classic distributed computing abstractions do not match well the reality of digital logic gates, which are the elementary building blocks of Systems-on-Chip (SoCs) and other Very Large Scale Integrated (VLSI) circuits: Massively concurrent, continuous computations undermine the concept of sequential processes executing sequences of atomic zero-time computing steps, and very limited computational resources at gate-level make even simple operations prohibitively costly. In this paper, we introduce a modeling and analysis framework based on continuous computations and zero-bit message channels, and employ this framework for the correctness &amp;amp; performance analysis of a distributed fault-tolerant clocking approach for Systems-on-Chip (SoCs). Starting out from a "classic" distributed Byzantine fault-tolerant tick generation algorithm, we show how to adapt it for direct implementation in clockless digital logic, and rigorously prove its correctness and derive analytic expressions for worst case performance metrics like synchronization precision and clock frequency. Rather than on absolute delay values, both the algorithm's correctness and the achievable synchronization precision depend solely on the ratio of certain path delays. Since these ratios can be mapped directly to placement &amp;amp; routing constraints, there is typically no need for changing the algorithm when migrating to a faster implementation technology and/or when using a slightly different layout in an SoC.</t>
  </si>
  <si>
    <t>Distributed Computing</t>
  </si>
  <si>
    <t xml:space="preserve">Clock synchronization; Fault-tolerant distributed systems; Modeling approaches; VLSI; </t>
  </si>
  <si>
    <t>10.1007/s00446-011-0151-7</t>
  </si>
  <si>
    <t>XAZGNX7D</t>
  </si>
  <si>
    <t>Proceedings of the 5th International Conference on Information Management and Management Science</t>
  </si>
  <si>
    <t>YGZ6CG4R</t>
  </si>
  <si>
    <t>Proceedings of the Winter Simulation Conference</t>
  </si>
  <si>
    <t>YHJZPWDM</t>
  </si>
  <si>
    <t>Proceedings of the 42nd Annual ACM SIGPLAN-SIGACT Symposium on Principles of Programming Languages</t>
  </si>
  <si>
    <t>YHUN9NS7</t>
  </si>
  <si>
    <t>Computer Methods and Programs in Biomedicine</t>
  </si>
  <si>
    <t xml:space="preserve">Image processing; Computer tomography (CT); Computer-aided detection (CAD); Lung nodules; Medical image; </t>
  </si>
  <si>
    <t>YMSH7IR4</t>
  </si>
  <si>
    <t>Proceedings of the ACM SIGCOMM 2023 Conference</t>
  </si>
  <si>
    <t>ZX9BS3CK</t>
  </si>
  <si>
    <t>Proceedings of the 15th ACM Multimedia Systems Conference</t>
  </si>
  <si>
    <t>ZZUL6R72</t>
  </si>
  <si>
    <t xml:space="preserve">Dimensional analysis; Bandwidth; Cache behavior; Computational force; Computational intensity; Latency; Parallel algorithms; Performance analysis; Performance metrics; Pi Theorem; Scaling; </t>
  </si>
  <si>
    <t>2NL5KB5Q</t>
  </si>
  <si>
    <t>4D6L9NJ2</t>
  </si>
  <si>
    <t>4EMRL6KA</t>
  </si>
  <si>
    <t>7KHTRJED</t>
  </si>
  <si>
    <t>7S53UY89</t>
  </si>
  <si>
    <t>9L27DYNU</t>
  </si>
  <si>
    <t xml:space="preserve">Bagging; Computer networks; Computer security; Cybersecurity; ensemble learning; Ensemble learning; Intrusion detection; intrusion detection systems; machine learning; Machine learning; Protocols; Random forests; Surveys; </t>
  </si>
  <si>
    <t>AD48LWBF</t>
  </si>
  <si>
    <t>C48FH3W5</t>
  </si>
  <si>
    <t>E43YA65A</t>
  </si>
  <si>
    <t>EPLXDGXW</t>
  </si>
  <si>
    <t xml:space="preserve">Benchmark; Benchmark testing; filters; Global Positioning System; guidelines; Guidelines; localization; Location awareness; LOS/NLOS; software; Ultra wideband technology; ultra-wideband; UWB; </t>
  </si>
  <si>
    <t>F4WZEQWJ</t>
  </si>
  <si>
    <t xml:space="preserve">Brain; Brain tumor; classification; Computed tomography; contrast limited adaptive histogram equalization; diffusion filtering; Fuzzy C-Means; Image segmentation; Magnetic resonance imaging; Pipelines; segmentation; support vector machine; Support vector machines; Tumors; </t>
  </si>
  <si>
    <t>GPJ37T9X</t>
  </si>
  <si>
    <t>HXWKIID3</t>
  </si>
  <si>
    <t>ICEHICCJ</t>
  </si>
  <si>
    <t xml:space="preserve">Anomaly detection; Computer crime; DDoS; Discrete wavelet transforms; DWT; Internet of Things; IP networks; MLP; port scan; PSO; SDN; Software; </t>
  </si>
  <si>
    <t>IVXSZASC</t>
  </si>
  <si>
    <t>K3X3IS87</t>
  </si>
  <si>
    <t>LV47RP6Y</t>
  </si>
  <si>
    <t>MMAHICQG</t>
  </si>
  <si>
    <t>N348928H</t>
  </si>
  <si>
    <t xml:space="preserve">5G mobile communication; 6G mobile communication; Autonomous aerial vehicles; cooperative; Energy harvesting; MIMO; MIMO communication; multiple access; multiuser; multiuser diversity; Radio frequency; Receiving antennas; Relays; Simultaneous wireless information and power transfer; SWIPT; Switches; UAV; Wireless communication; Wireless sensor networks; </t>
  </si>
  <si>
    <t>RTSYJI8I</t>
  </si>
  <si>
    <t>RWPTX93X</t>
  </si>
  <si>
    <t xml:space="preserve">artificial intelligence; Communication networks; deep reinforcement learning; energy-aware routing; Heuristic algorithms; Hybrid SDN/OSPF; Load management; machine learning; Machine learning; Optimization; quality of service; Quality of service; Routing; scalable; traffic engineering; </t>
  </si>
  <si>
    <t>S7PU7EUF</t>
  </si>
  <si>
    <t>SSEEHARH</t>
  </si>
  <si>
    <t>TB3M36YF</t>
  </si>
  <si>
    <t>TCWHEIPZ</t>
  </si>
  <si>
    <t>U7YRMUXM</t>
  </si>
  <si>
    <t xml:space="preserve">event detection; Event detection; frequency control; Frequency control; Frequency measurement; low inertia power systems; power blackouts; Power system disturbance; Power system dynamics; Power systems; Reliability; systematic literature review; Systematics; </t>
  </si>
  <si>
    <t>VQR692ZR</t>
  </si>
  <si>
    <t xml:space="preserve">Computer crime; denial of service; fuzzy logic; Fuzzy logic; GADS; Game theory; Games; Genetic algorithms; HWDS; IP networks; </t>
  </si>
  <si>
    <t>Y2BTI9JS</t>
  </si>
  <si>
    <t>Y9SGQTGQ</t>
  </si>
  <si>
    <t>228HICU4</t>
  </si>
  <si>
    <t>2SCHHLKU</t>
  </si>
  <si>
    <t>49JWSGPW</t>
  </si>
  <si>
    <t xml:space="preserve">Aircraft engines; Fins; Flow (Dynamics); Fluids; Heat exchangers; Heat transfer; Industrial lubrication systems; Shapes; Strips; Temperature; </t>
  </si>
  <si>
    <t>4DERHH6V</t>
  </si>
  <si>
    <t>52TTD594</t>
  </si>
  <si>
    <t>5FZAEWB2</t>
  </si>
  <si>
    <t>635QWPGY</t>
  </si>
  <si>
    <t>7REZ692R</t>
  </si>
  <si>
    <t>7YYTUUG8</t>
  </si>
  <si>
    <t>8DRAPDH2</t>
  </si>
  <si>
    <t>9ARJVFL4</t>
  </si>
  <si>
    <t>9QWVLNU5</t>
  </si>
  <si>
    <t>APC8QC3B</t>
  </si>
  <si>
    <t>ARAIVPLV</t>
  </si>
  <si>
    <t>B6XI3J5G</t>
  </si>
  <si>
    <t xml:space="preserve">Cavitation; Fluids; Pistons; Pressure; Pumps; Suction; Valves; </t>
  </si>
  <si>
    <t>C2UQA8CL</t>
  </si>
  <si>
    <t>C8GG768V</t>
  </si>
  <si>
    <t>CDV6CRUL</t>
  </si>
  <si>
    <t xml:space="preserve">Convection; Errors; Heat losses; Heat transfer coefficients; Modeling; Parabolic troughs; Solar energy; Solar radiation; Temperature; </t>
  </si>
  <si>
    <t>CFHQIL9B</t>
  </si>
  <si>
    <t xml:space="preserve">Heating; Honeycomb structures; Leakage; Leakage flows; Pressure; Temperature; </t>
  </si>
  <si>
    <t>DCJGL3DF</t>
  </si>
  <si>
    <t>FV4VMDYQ</t>
  </si>
  <si>
    <t>H3IXB3LI</t>
  </si>
  <si>
    <t>IBLRXBS6</t>
  </si>
  <si>
    <t>JPRKNP8T</t>
  </si>
  <si>
    <t>JZVDEJKE</t>
  </si>
  <si>
    <t>MPM3GXX7</t>
  </si>
  <si>
    <t>P86TLX8X</t>
  </si>
  <si>
    <t>PCVTWWAX</t>
  </si>
  <si>
    <t>PFMS5TKR</t>
  </si>
  <si>
    <t>QXLT4J4G</t>
  </si>
  <si>
    <t>QY2D5C4F</t>
  </si>
  <si>
    <t xml:space="preserve">Flow (Dynamics); Nozzles; Particle collisions; Particulate matter; Simulation; </t>
  </si>
  <si>
    <t>SDS3GLNM</t>
  </si>
  <si>
    <t>SSTA6SPV</t>
  </si>
  <si>
    <t>T62VI8H9</t>
  </si>
  <si>
    <t>UC3IIHG6</t>
  </si>
  <si>
    <t xml:space="preserve">Biodiesel; Combustion; Combustion chambers; Computational fluid dynamics; Cylinders; Diesel engines; Engines; Fuels; Simulation; Temperature; </t>
  </si>
  <si>
    <t>UG629E7E</t>
  </si>
  <si>
    <t>UPZ6KXZT</t>
  </si>
  <si>
    <t>YMJ9K4TU</t>
  </si>
  <si>
    <t>ZB9XNB7Q</t>
  </si>
  <si>
    <t>227BLQTD</t>
  </si>
  <si>
    <t xml:space="preserve">Laser Doppler Anemometry; Partially filled channel; Porous media; Pressure drop; Velocity profile; Wake; </t>
  </si>
  <si>
    <t>2BD8VRLS</t>
  </si>
  <si>
    <t xml:space="preserve">Equivalent diameters; Flight data; Flight safety; N-decane; Pilot behavior; Rectangular tubes; Risk assessment; Similarity theory; Supercritical heat transfer; Time series clustering; </t>
  </si>
  <si>
    <t>2C9JLREI</t>
  </si>
  <si>
    <t xml:space="preserve">Acoustic agglomeration; Chinese hamster ovary cells; Continuous clarification; Dimensional analysis; Mechanistic modelling; Population balance modelling; </t>
  </si>
  <si>
    <t>2FA6KFMD</t>
  </si>
  <si>
    <t xml:space="preserve">Cuttings transport; Dimensional analysis; Experimental pressure gradient; Hole cleaning; Non-dimensional correlation; Pressure drop correlation; </t>
  </si>
  <si>
    <t>2KVGIN49</t>
  </si>
  <si>
    <t xml:space="preserve">Crotalaria; Dimensional analysis; Modified Soxhlet operation; Soxhlet number; Stanton number; </t>
  </si>
  <si>
    <t>2NT2738Z</t>
  </si>
  <si>
    <t xml:space="preserve">Composite slab; Dimensional analysis; Dynamic response; ECC slab; Near-field blast; Structural protection; </t>
  </si>
  <si>
    <t>2W7I623T</t>
  </si>
  <si>
    <t xml:space="preserve">Blast vibration; Coastal subway; Corrosion pipeline; Dynamic response; Safety criterion; </t>
  </si>
  <si>
    <t>2WS87JQ7</t>
  </si>
  <si>
    <t xml:space="preserve">Buckingham Pi; Dimensional analysis; Machine learning; Neural network; Physics-informed; </t>
  </si>
  <si>
    <t>2Z2QSGGY</t>
  </si>
  <si>
    <t xml:space="preserve">Heat sink; Metal-core printed circuit board (MCPCB); Vapor chamber (VC); </t>
  </si>
  <si>
    <t>2ZQNT58L</t>
  </si>
  <si>
    <t xml:space="preserve">ANSYS AQWA; Box barge; Dimensional analysis; Optimization; Radiation-diffraction analysis; Wave energy converter; </t>
  </si>
  <si>
    <t>3CN84UBZ</t>
  </si>
  <si>
    <t xml:space="preserve">Carreau's parameters; Dimensional analysis; Polymer; Regression analysis; Viscosity; </t>
  </si>
  <si>
    <t>3CUYXMUG</t>
  </si>
  <si>
    <t xml:space="preserve">Blasting demolition; Damaged zone; Effective energy ratio; Longitudinal reinforcement; Shear reinforcement; </t>
  </si>
  <si>
    <t>3ECI9FC7</t>
  </si>
  <si>
    <t xml:space="preserve">Air dehumidification; Enthalpy pinch; Humidification-dehumidification; Liquid desiccant; Water-from-air desalination; </t>
  </si>
  <si>
    <t>3EVI7LZP</t>
  </si>
  <si>
    <t xml:space="preserve">Bulk density; Carbon clack; Dry mixing; Eirich; Li-Ion battery cells; NMC-622; Scale-up; </t>
  </si>
  <si>
    <t>3HPUJDN3</t>
  </si>
  <si>
    <t xml:space="preserve">Advanced oxidation processes; Chemical reactors; Mathematical modeling; Multi-lamp photochemical reactor; Optimization; Photochemistry; </t>
  </si>
  <si>
    <t>3IAYB7PR</t>
  </si>
  <si>
    <t xml:space="preserve">Developing governing equations; Experimental and numerical investigation; Partial length infill plate connection; Steel plate shear wall; Tension field inclination angle; Vertical boundary element; </t>
  </si>
  <si>
    <t>3KUADVVY</t>
  </si>
  <si>
    <t xml:space="preserve">Constant-force; Droplet dispensing; Fast and precise control; Microfluidics; Portable; Solenoid; </t>
  </si>
  <si>
    <t>3MRSCRER</t>
  </si>
  <si>
    <t xml:space="preserve">Multiple spur dikes; Scour depth; Spacing; Temporal variation; </t>
  </si>
  <si>
    <t>3Q5JA6CV</t>
  </si>
  <si>
    <t xml:space="preserve">Cylindrical shell structures; Distorted similitude; Mode; Scaling laws; Vibration response; </t>
  </si>
  <si>
    <t>3RURN723</t>
  </si>
  <si>
    <t xml:space="preserve">Dimensional analysis; Fermentation; Industrial biotechnology; Model analysis; Model reduction; Parameter estimation; </t>
  </si>
  <si>
    <t>3TN3GQG7</t>
  </si>
  <si>
    <t xml:space="preserve">Biochemical kinetics; Bioelectrochemical system; Buckingham’s Pi theorem; Mechanistic model; Microbial electrochemical system; </t>
  </si>
  <si>
    <t>3W2T5BUI</t>
  </si>
  <si>
    <t xml:space="preserve">Dimensional analysis; Dimensionless number; Empirical modelling; Gas detonation forming; Quadrangular plate; </t>
  </si>
  <si>
    <t>3WC8GUK5</t>
  </si>
  <si>
    <t xml:space="preserve">Dimensional analysis bedding parameters; Felsic minerals; Finite element analysis; Nanoindentation continental shale; </t>
  </si>
  <si>
    <t>3WXRHLZ2</t>
  </si>
  <si>
    <t xml:space="preserve">Charpy impact energy; Cooling rates; Fracture toughness; Instrumented spherical indentation test; Wheel steels; </t>
  </si>
  <si>
    <t>3XQDT7KD</t>
  </si>
  <si>
    <t xml:space="preserve">Back-propagation artificial neural network; Computational fluid dynamics; Distortion simulator; Dynamic distortion; Turbulence correlation; </t>
  </si>
  <si>
    <t>4393W3Z7</t>
  </si>
  <si>
    <t xml:space="preserve">Boundary condition; Derailment; Drift; Earthquake; Response spectrum; Scaling law; Uplift; </t>
  </si>
  <si>
    <t>44BH5SLM</t>
  </si>
  <si>
    <t xml:space="preserve">Carbon steel; Elbow; Flow-accelerated corrosion; Prediction model; </t>
  </si>
  <si>
    <t>44C3WXSJ</t>
  </si>
  <si>
    <t xml:space="preserve">COP; Exergy efficiency; R134a/LPG; Total exergy destruction; </t>
  </si>
  <si>
    <t>44HYC3NI</t>
  </si>
  <si>
    <t xml:space="preserve">Additive manufacturing; Analytical modeling; Dimensional analysis; Laser powder bed fusion; Part scale; Residual stress distribution; </t>
  </si>
  <si>
    <t>45G2P9NA</t>
  </si>
  <si>
    <t xml:space="preserve">Discharge; Discharge coefficient; Flow measurement; Labyrinth gate; Open channel; Sluice gate; </t>
  </si>
  <si>
    <t>49QR48C9</t>
  </si>
  <si>
    <t xml:space="preserve">Additive manufacturing; Compression testing; Digital image correlation; Finite element analysis; Isogrid; Isotropy; </t>
  </si>
  <si>
    <t>4BCNXNU3</t>
  </si>
  <si>
    <t xml:space="preserve">Finite element model; Modal analysis; Scale model; Similitude theory; Tower crane; </t>
  </si>
  <si>
    <t>4CU3U4N8</t>
  </si>
  <si>
    <t xml:space="preserve">Contact interface; Contact stress; Fabric rubber composite; Gas leakage rate; Microchannel; </t>
  </si>
  <si>
    <t>4GDZKNIY</t>
  </si>
  <si>
    <t xml:space="preserve">3DCP; Extrusion; Feedback system; Flow rate control; Inline quality assessment; Non-Newtonian; Smart casting; </t>
  </si>
  <si>
    <t>4GL6J646</t>
  </si>
  <si>
    <t xml:space="preserve">Gamma densitometer; High viscosity oil; Slug length; Translational velocity; Two phase flow; </t>
  </si>
  <si>
    <t>4MGY874A</t>
  </si>
  <si>
    <t xml:space="preserve">Analytical/experimental model; Fan aerodynamic noise prediction; Rotor optimization; </t>
  </si>
  <si>
    <t>4P67DMVP</t>
  </si>
  <si>
    <t xml:space="preserve">Collection efficiency; Filtration dust removal technology; Fine particulate matter; Process pressure drop; Ultrasonic spray technology; </t>
  </si>
  <si>
    <t>4TYMCG33</t>
  </si>
  <si>
    <t xml:space="preserve">Effective diffusivity; Mixed dryer; Thermodynamic parameters; Tomatoes drying; </t>
  </si>
  <si>
    <t>4U6JGXWT</t>
  </si>
  <si>
    <t xml:space="preserve">Direct contact heat transfer; Helium; Slurry bubble columns; Solid concentration; Volumetric heat transfer coefficient; </t>
  </si>
  <si>
    <t>4WQM8L5M</t>
  </si>
  <si>
    <t xml:space="preserve">Dimensional analysis; Finite element analysis; Representative stress–strain method; Small Punch Test; Tensile properties; </t>
  </si>
  <si>
    <t>4XDRVBGM</t>
  </si>
  <si>
    <t xml:space="preserve">Combined honeycombs; Deformation mode map; Explosive loading; FE based homogenized analysis; </t>
  </si>
  <si>
    <t>53PJD8RL</t>
  </si>
  <si>
    <t xml:space="preserve">CFD; Impinging jet ventilation; Multiple regression analysis; Prediction model; Thermal stratification; </t>
  </si>
  <si>
    <t>5492I2SG</t>
  </si>
  <si>
    <t xml:space="preserve">Dimensional analysis; Earthquake; FE modelling; Jacket structure; Suction caissons; Winkler-based models; </t>
  </si>
  <si>
    <t>55LV9SA8</t>
  </si>
  <si>
    <t xml:space="preserve">Dimensionless analysis; Ethanol; Freeze concentration; Response surface; </t>
  </si>
  <si>
    <t>587HX2RE</t>
  </si>
  <si>
    <t xml:space="preserve">Colon, mini-USP II; Digital twin; Dissolution profile; Mathematical modelling; Smoothed Particle Hydrodynamics (SPH); </t>
  </si>
  <si>
    <t>5EJRMPMS</t>
  </si>
  <si>
    <t xml:space="preserve">Bending mode; Coupled cylindrical–conical​ shells; Coupling distorted similitude; Scaling laws; </t>
  </si>
  <si>
    <t>5EP7NVMR</t>
  </si>
  <si>
    <t xml:space="preserve">Artificial neural networks; Multiphase flow; Oscillation characteristic; Pulsating heat pipe; Solar collectors; </t>
  </si>
  <si>
    <t>5GSE56ND</t>
  </si>
  <si>
    <t xml:space="preserve">Scaling; Ship collision; Similarity; Structural impact; </t>
  </si>
  <si>
    <t>5GTA2UZ4</t>
  </si>
  <si>
    <t xml:space="preserve">Energy; Friction factor; Geothermal energy; Pressure loss; Rough pipe; Temperature; Turbulent flow; </t>
  </si>
  <si>
    <t>5HHZCJQK</t>
  </si>
  <si>
    <t xml:space="preserve">Damaged rubber seals; Gas leakage; Infrared thermography; Non-contact detection; Temperature gradient; </t>
  </si>
  <si>
    <t>5LLFTNXK</t>
  </si>
  <si>
    <t xml:space="preserve">Acceleration; Bending moment; Boundary condition; Earthquake; Natural frequency; Response spectrum; Similitude law; Strain gauge; </t>
  </si>
  <si>
    <t>5P5X7VA8</t>
  </si>
  <si>
    <t xml:space="preserve">Buckingham Pi; Dimensional analysis; Dryout quality; Helical coil; Physics-informed neural networks; </t>
  </si>
  <si>
    <t>5VJYRZCU</t>
  </si>
  <si>
    <t xml:space="preserve">Artificial neural network; Ballistic impact; Buckingham Pi theorem; Long rod penetration; Machine learning; </t>
  </si>
  <si>
    <t>636I4X5I</t>
  </si>
  <si>
    <t xml:space="preserve">Air conditioner; Computational fluid dynamics (CFD); Indoor air quality; Leakage hazards; Propane refrigerant; Refrigerant leakage; </t>
  </si>
  <si>
    <t>65WYFDBP</t>
  </si>
  <si>
    <t xml:space="preserve">Cold thermal energy storage; Metal foam; Numerical simulation; Performance prediction; </t>
  </si>
  <si>
    <t>6AVEUVUH</t>
  </si>
  <si>
    <t xml:space="preserve">Off-design performance prediction; Performance map; S–CO compressor; Similitude analysis; Supercritical CO; </t>
  </si>
  <si>
    <t>6ECEHJJ7</t>
  </si>
  <si>
    <t xml:space="preserve">Additive manufacturing; Laser; Melt pool control; Powder bed fusion; Scaling laws; </t>
  </si>
  <si>
    <t>6FNRTEGG</t>
  </si>
  <si>
    <t xml:space="preserve">Dynamic response; Failure mechanism; Hilbert–Huang transform method; Large-scale shaking table test; Loess–mudstone landslide; </t>
  </si>
  <si>
    <t>6HVSNAWC</t>
  </si>
  <si>
    <t xml:space="preserve">Data-driven method; Dimensional analysis; Dimensional reduction; Stochastic reliability; Stochastic stability; </t>
  </si>
  <si>
    <t>6KJL93Y4</t>
  </si>
  <si>
    <t xml:space="preserve">Impact loading; Model test; Reinforced concrete; Similarity law; Structural dynamic response; </t>
  </si>
  <si>
    <t>6KTINA3Y</t>
  </si>
  <si>
    <t xml:space="preserve">Artificial neural network (ANN); Bench blasting; Blast-induced rock movement (BIRM); Dimensional analysis (DA); </t>
  </si>
  <si>
    <t>6RT4WFXJ</t>
  </si>
  <si>
    <t xml:space="preserve">Buckle propagation; Collapse; Hybrid steel-CFRP pipe; Machine learning; U-shape failure; </t>
  </si>
  <si>
    <t>6W85JTBJ</t>
  </si>
  <si>
    <t xml:space="preserve">Finite volume; Fractured porous media; Hybrid upwind; Mixed-dimensional; Two-phase flow; </t>
  </si>
  <si>
    <t>7CF5DWEB</t>
  </si>
  <si>
    <t xml:space="preserve">Empirical correlations; Heat transfer; Laminar &amp; turbulent flow; Supercritical fluids; </t>
  </si>
  <si>
    <t>7HED2A53</t>
  </si>
  <si>
    <t xml:space="preserve">Dimensional analysis; Engine core; Heat exchanger; Oscillatory flow; Regenerator; Thermoacoustic; </t>
  </si>
  <si>
    <t>7RDUZKNH</t>
  </si>
  <si>
    <t xml:space="preserve">Anchor; Lattice beam; Seismic response; Shaking table test; Three-stage slope; </t>
  </si>
  <si>
    <t>7S3APJDQ</t>
  </si>
  <si>
    <t xml:space="preserve">Bluff bodies; Energy harvesting; Flow-induced vibration; Mathematical modelling; Vortex; </t>
  </si>
  <si>
    <t>7TA4Z254</t>
  </si>
  <si>
    <t xml:space="preserve">Bubble size distribution; CFD; PBM; Process intensification; Swirl flow microbubble generator; </t>
  </si>
  <si>
    <t>7WCEJ7XN</t>
  </si>
  <si>
    <t xml:space="preserve">Finite element analysis; Instrumented indentation; Mechanical testing; Metals; Residual stress; </t>
  </si>
  <si>
    <t>7Y9I8J3A</t>
  </si>
  <si>
    <t xml:space="preserve">A. Laminates; B. Buckling; C. Finite element analysis (FEA); D. Mechanical testing; </t>
  </si>
  <si>
    <t>83LI6ZZM</t>
  </si>
  <si>
    <t xml:space="preserve">Blast wave; BLEVE; Overpressure; Sedov-Taylor model; Self-similar theory; </t>
  </si>
  <si>
    <t>83VRZ49E</t>
  </si>
  <si>
    <t xml:space="preserve">Sea ice; Seismic collapse-resistance performance; Shaking table test; Simplified calculation model; Wind turbine tower; </t>
  </si>
  <si>
    <t>87FLYEX6</t>
  </si>
  <si>
    <t xml:space="preserve">Conductance sensor; Contact impedance; Dimensional analysis; Film thickness; Multiphase flow; </t>
  </si>
  <si>
    <t>89F7GFUP</t>
  </si>
  <si>
    <t xml:space="preserve">Bamboo sliver; HPFM; Reliability; Sensitivity Analysis; </t>
  </si>
  <si>
    <t>89LIXIQG</t>
  </si>
  <si>
    <t xml:space="preserve">Additive manufacturing; Discrete element method; Powder spreading process; Powder-bed fusion; Spreadability; </t>
  </si>
  <si>
    <t>8FQYWS2M</t>
  </si>
  <si>
    <t xml:space="preserve">Effective surface elastic modulus; Finite element simulation; Micromechanics; Microstructure; </t>
  </si>
  <si>
    <t>8T3UMA2P</t>
  </si>
  <si>
    <t>Brence, Jure; View Profile; Džeroski, Sašo; View Profile; Todorovski, Ljupčo; View Profile</t>
  </si>
  <si>
    <t>Information Sciences: an International Journal</t>
  </si>
  <si>
    <t xml:space="preserve">Background knowledge; Computational scientific discovery; Dimensional analysis; Equation discovery; Symbolic regression; Units of measurement; </t>
  </si>
  <si>
    <t>9EEFT7I5</t>
  </si>
  <si>
    <t xml:space="preserve">Draft tube; Francis turbine; Meta-model; Optimization; Pressure recovery factor; </t>
  </si>
  <si>
    <t>9IDE3S6Y</t>
  </si>
  <si>
    <t xml:space="preserve">Crossflow; Droplet dispersion; Droplets counter-rotating vortex pair (CVP); Hollow cone spray; </t>
  </si>
  <si>
    <t>9S65XZAC</t>
  </si>
  <si>
    <t>9UYNYLSW</t>
  </si>
  <si>
    <t xml:space="preserve">Inclined pipes; Slug flow; Taylor bubble; Terminal velocity; </t>
  </si>
  <si>
    <t>9WK586H9</t>
  </si>
  <si>
    <t xml:space="preserve">Energy loss; Grid drop-type dissipator; Hydraulic characteristics; Model experimentation; Supercritical flow; </t>
  </si>
  <si>
    <t>9X3BWUDZ</t>
  </si>
  <si>
    <t xml:space="preserve">Dimensional analysis; Mean absolute percentage error; Microbubble generator; Swirl flow; </t>
  </si>
  <si>
    <t>9YG46WYC</t>
  </si>
  <si>
    <t xml:space="preserve">Agglomeration; Granulation; Liquid bridge; Mathematical modeling; Particle; Rupture; </t>
  </si>
  <si>
    <t>A2YU65U8</t>
  </si>
  <si>
    <t xml:space="preserve">Dimensionless volume; FLACS; Gas cloud prediction; Mathematical modelling; </t>
  </si>
  <si>
    <t>A8A2E8Z2</t>
  </si>
  <si>
    <t xml:space="preserve">Gust load alleviation; Neural networks; Nonlinear vertical sloshing; Optimal fuel usage; Reduced order models; </t>
  </si>
  <si>
    <t>A9723FP6</t>
  </si>
  <si>
    <t xml:space="preserve">Annular duct; ESP Skid; Gas-liquid separation; Intermittent flow pattern; Two-phase flow; </t>
  </si>
  <si>
    <t>AHLLNQRQ</t>
  </si>
  <si>
    <t xml:space="preserve">Discharge coefficient; Labyrinth weir; Meta models; Neural networks; Sensitivity analysis; </t>
  </si>
  <si>
    <t>AIRIAC2Q</t>
  </si>
  <si>
    <t xml:space="preserve">Digital image correlation; Model test; Progressive failure behaviour; Shallow tunnel-type anchorage; Soft rock; </t>
  </si>
  <si>
    <t>ALVMTAWY</t>
  </si>
  <si>
    <t xml:space="preserve">Anion-exchange membrane fuel cells; Dimensional analysis; Membrane design; Modeling; Performance stability; </t>
  </si>
  <si>
    <t>AR8DPBAC</t>
  </si>
  <si>
    <t xml:space="preserve">Dimensional homogeneity; Global solar radiation; Homogeneous temperature-based model; Local geographic factor; Models; Northern Spain; </t>
  </si>
  <si>
    <t>AWPZW9CY</t>
  </si>
  <si>
    <t xml:space="preserve">High-speed water entry; Impact load; Similarity scaling; Test environment; </t>
  </si>
  <si>
    <t>B4K3TZ2J</t>
  </si>
  <si>
    <t xml:space="preserve">CFD modelling; HS; Nomograph-based analysis; Risk assessment; Subsea gas release; </t>
  </si>
  <si>
    <t>BAFTMF2J</t>
  </si>
  <si>
    <t xml:space="preserve">Beam–column element; Dual system; Fishbone model; Lumped parameter model; Moment frame; Shear wall; </t>
  </si>
  <si>
    <t>BL5JEPQX</t>
  </si>
  <si>
    <t xml:space="preserve">Bearing clearance; Central composite rotatable design (CCRD); Dimensional analysis; Non-linear vibrations; </t>
  </si>
  <si>
    <t>BNXHHITD</t>
  </si>
  <si>
    <t xml:space="preserve">Acacia concinna; Bubble size distribution; CO microbubbles; Enhanced oil recovery; Foam stability; Rheology; </t>
  </si>
  <si>
    <t>BPFN2BBY</t>
  </si>
  <si>
    <t xml:space="preserve">Aero-engine; Dimensional analysis; Heat transfer; High rotational speed; Nusselt number; Rossby number; Turbine disk cavity; </t>
  </si>
  <si>
    <t>BU22FLKN</t>
  </si>
  <si>
    <t xml:space="preserve">Falling film; Film thickness; Horizontal tube; Laminar flow; Numerical simulation; </t>
  </si>
  <si>
    <t>BX3WKB4U</t>
  </si>
  <si>
    <t xml:space="preserve">Granulation characteristics; Granulator structure; Molten slag; Numerical Simulation; Waste heat recovery; </t>
  </si>
  <si>
    <t>BXG37LCS</t>
  </si>
  <si>
    <t xml:space="preserve">Channeling effect; High-velocity impact; Honeycomb sandwich panel; Internal structure model; Material point method; </t>
  </si>
  <si>
    <t>C7FQLBPP</t>
  </si>
  <si>
    <t xml:space="preserve">Offshore thermal recovery well; Sealing failure; Thermal deformation; Thermal stress; Wellbore integrity; </t>
  </si>
  <si>
    <t>C836NNEX</t>
  </si>
  <si>
    <t xml:space="preserve">Armor vehicle; Dimensional analysis; Dynamic response; Shallow-buried landmine; Similarity law; </t>
  </si>
  <si>
    <t>C8TR5E3L</t>
  </si>
  <si>
    <t xml:space="preserve">Floating fish net cages; Floating wave energy converters; Froude scaling of floating structures; Multi-purpose floating structures; Offshore wind turbines; Physical models; </t>
  </si>
  <si>
    <t>CKEA4VJY</t>
  </si>
  <si>
    <t xml:space="preserve">Bottom-blown furnace; Gas-liquid two-phase flow; RGB colour model; SKS lead reduction process; Water model; </t>
  </si>
  <si>
    <t>CNUEJZZC</t>
  </si>
  <si>
    <t xml:space="preserve">Buckingham Pi Theorem; Corrosion protection; Dimensional analysis; Impressed current cathodic protection; Thermoelectric module; Waste heat recovery; </t>
  </si>
  <si>
    <t>CUMH4TKI</t>
  </si>
  <si>
    <t xml:space="preserve">Bio-structure; Buckingham  theorem; Dimensional analysis; Paddlefish; Rostrum; Similitude; </t>
  </si>
  <si>
    <t>CWDEGNZ5</t>
  </si>
  <si>
    <t xml:space="preserve">Asphalt mixtures; Bullet physics engine; Computational model; Gyratory compactor; Laboratory compaction; </t>
  </si>
  <si>
    <t>CZR6RTJS</t>
  </si>
  <si>
    <t xml:space="preserve">Buckingham’s Pi theorem; Dimensional analysis; Electrochemical flow system; Empirical correlation; Vanadium redox flow battery (VRFB); </t>
  </si>
  <si>
    <t>D9D7MEQC</t>
  </si>
  <si>
    <t xml:space="preserve">3-D; Bidirectional; Chaos; Non-dimensional; Overturning; Rocking; Unidirectional; </t>
  </si>
  <si>
    <t>DDPKX33J</t>
  </si>
  <si>
    <t xml:space="preserve">Buoyancy; CFD simulation; Convective dispersion; Double heat and mass transfer; </t>
  </si>
  <si>
    <t>DEN34I59</t>
  </si>
  <si>
    <t xml:space="preserve">Adaptive motion; Aeroelasticity; Flexible blade; Part-load; Wind turbine; </t>
  </si>
  <si>
    <t>DFVEXS35</t>
  </si>
  <si>
    <t xml:space="preserve">Ballistic impact; Composites; Damage mechanism; Dimensional analysis; Energy dissipation; </t>
  </si>
  <si>
    <t>DGK3P7U6</t>
  </si>
  <si>
    <t xml:space="preserve">Dimensionless model; Filling method; Fine distribution; Material flow; Silo; </t>
  </si>
  <si>
    <t>DYN769KS</t>
  </si>
  <si>
    <t xml:space="preserve">Buckingham Pi Theorem; Dimensional analysis; Fatigue life prediction; High temperature alloys; Stress-based, and stress–strain based fatigue life prediction models; </t>
  </si>
  <si>
    <t>E4N2EMZ8</t>
  </si>
  <si>
    <t xml:space="preserve">Active subspaces; Data science; Dimension reduction; Particle-laden flow; Radiative heat transfer; Turbulence; </t>
  </si>
  <si>
    <t>E4NWGQ6M</t>
  </si>
  <si>
    <t xml:space="preserve">Ceiling temperature; Fire simulation; Longitudinal temperature distribution; Small curvature radius; Temperature attenuation; </t>
  </si>
  <si>
    <t>ED3A2VKX</t>
  </si>
  <si>
    <t xml:space="preserve">Prefabricated box culvert; Seismic response; Shaking table test; Soil-structure interaction; Split components; </t>
  </si>
  <si>
    <t>EESMJUUY</t>
  </si>
  <si>
    <t xml:space="preserve">Dimensional analysis; Draft force; Mathematical Model; Tool geometry; </t>
  </si>
  <si>
    <t>EHNI56SS</t>
  </si>
  <si>
    <t xml:space="preserve">Belleville spring; Composite materials; Energy method; Geometrical nonlinearities; Isotropic; Snap-through; </t>
  </si>
  <si>
    <t>EJDTG73Q</t>
  </si>
  <si>
    <t xml:space="preserve">Dimensional analysis; Finite element simulation; Nano-indentation; TaC; Yield strength; </t>
  </si>
  <si>
    <t>EM2NKWF2</t>
  </si>
  <si>
    <t xml:space="preserve">Centrifuge modeling; Expansive soils; Fiber-reinforced soil; Fibers; Geosynthetics; Reinforced soils; </t>
  </si>
  <si>
    <t>ETT4FGS6</t>
  </si>
  <si>
    <t xml:space="preserve">Friction factor; Frictional pressure drop; Liquid-liquid flow; Millichannel; Packed channel; Serpentine channel; </t>
  </si>
  <si>
    <t>EWR3B77T</t>
  </si>
  <si>
    <t xml:space="preserve">Broad-crested weir; Discharge coefficient; Intelligence model; </t>
  </si>
  <si>
    <t>EXK552VA</t>
  </si>
  <si>
    <t xml:space="preserve">Corrected similitude method; Distorted geometry; Stiffened panels; Structural impact; </t>
  </si>
  <si>
    <t>F4AQDSID</t>
  </si>
  <si>
    <t xml:space="preserve">3D simulation; Dimensional analysis; Dynamic mesh handling; Multiphase flow; OpenFOAM; Water entry; </t>
  </si>
  <si>
    <t>F4YFE5CE</t>
  </si>
  <si>
    <t xml:space="preserve">Classical similitude theory; Computational scaling; Flight dynamics assessment; Governing equations based similitude; Sub-scale Flight Testing (SFT); Sub-scale model design methods; </t>
  </si>
  <si>
    <t>FA5WARX5</t>
  </si>
  <si>
    <t xml:space="preserve">Atomic force microscopy; Cells; Confocal microscopy; Cytoskeleton; Elasticity; Fluid–solid cell model; Mechanical properties; Mechanics; Membrane; </t>
  </si>
  <si>
    <t>FAQ2MFNP</t>
  </si>
  <si>
    <t xml:space="preserve">Data driven science; Dimensional analysis; Genetic programming; Statistical analysis; Symbolic regression; Thermonuclear fusion; </t>
  </si>
  <si>
    <t>FDWNI7L2</t>
  </si>
  <si>
    <t xml:space="preserve">Closure laws; CTF; Model form; P3DM; Two-phase flow; </t>
  </si>
  <si>
    <t>RPNSM8A3</t>
  </si>
  <si>
    <t>; Mach Number; Computational Fluid Dynamics; Configuration File; Global Position System; Unmanned Aerial Vehicle</t>
  </si>
  <si>
    <t>5625QVUL</t>
  </si>
  <si>
    <t>; building energy performance; daylighting; multi-objective optimization; thermochromic; transition temperature</t>
  </si>
  <si>
    <t>E47I3LGW</t>
  </si>
  <si>
    <t>; Embedded programming; Real time; Stroke recognition; Swimming</t>
  </si>
  <si>
    <t>9R378UJN</t>
  </si>
  <si>
    <t>; attitude; orbit; solar sail; structure</t>
  </si>
  <si>
    <t>RS7X6URE</t>
  </si>
  <si>
    <t>; Experimental study; Coupled CPU-GPU architectures; Group-by and aggregation</t>
  </si>
  <si>
    <t>LKWPYYXQ</t>
  </si>
  <si>
    <t>; Control; Actuation; Bio-inspired; Fish locomotion; Robot fish</t>
  </si>
  <si>
    <t>YMJFN3EW</t>
  </si>
  <si>
    <t>; Earthquake; Hazard; Literature review; Remote sensing; Risk; Roadmap; Vulnerability</t>
  </si>
  <si>
    <t>YP6IZRLR</t>
  </si>
  <si>
    <t>; Geothermal energy; Direct expansion ground-coupled heat exchanger; Earth-Air Heat Exchange; Ground heat exchanger; Ground source heat pump</t>
  </si>
  <si>
    <t>W76FG3EN</t>
  </si>
  <si>
    <t xml:space="preserve">cutting power; disc cutter; Discrete Element Analysis (DEA); jointed rock mass; Linear Cutting Machine (LCM); Tunnel Boring Machine (TBM); </t>
  </si>
  <si>
    <t>7JXC7YRH</t>
  </si>
  <si>
    <t xml:space="preserve">cavitating turbulent flow; hydro turbine; numerical simulation; turbopump; </t>
  </si>
  <si>
    <t>RCR4IQCH</t>
  </si>
  <si>
    <t xml:space="preserve">Shaking table test; Finite element model; Composite isolation system; Isolation optimization; Long-span structure; </t>
  </si>
  <si>
    <t>29BJXMYB</t>
  </si>
  <si>
    <t xml:space="preserve">Joint performance; Large diameter tunnel; Parametric calculation; Shell-spring model; Structure modeling; </t>
  </si>
  <si>
    <t>AGVTNSPY</t>
  </si>
  <si>
    <t>UAVRMD24</t>
  </si>
  <si>
    <t>H3N57BPM</t>
  </si>
  <si>
    <t>K9DUBS2G</t>
  </si>
  <si>
    <t>; performance analysis; compute clusters; performance model; roofline model</t>
  </si>
  <si>
    <t>V7R4B6VJ</t>
  </si>
  <si>
    <t>PL8XRV3P</t>
  </si>
  <si>
    <t>PANFMR3A</t>
  </si>
  <si>
    <t>GFTBPKML</t>
  </si>
  <si>
    <t>RIGPI3FK</t>
  </si>
  <si>
    <t>HJAJ2LMY</t>
  </si>
  <si>
    <t>J75WHYF2</t>
  </si>
  <si>
    <t>8GHK652Q</t>
  </si>
  <si>
    <t>847QZNGJ</t>
  </si>
  <si>
    <t>XHZ6LIPE</t>
  </si>
  <si>
    <t>6R2HVY52</t>
  </si>
  <si>
    <t>AARZ9E2K</t>
  </si>
  <si>
    <t>J2E4SG2U</t>
  </si>
  <si>
    <t>8WZRAAZD</t>
  </si>
  <si>
    <t>Y7GPPBTE</t>
  </si>
  <si>
    <t>YAF24SRS</t>
  </si>
  <si>
    <t>NFPAWWXN</t>
  </si>
  <si>
    <t>TLNDFL54</t>
  </si>
  <si>
    <t>78B7MDJ7</t>
  </si>
  <si>
    <t>QMIVDZGS</t>
  </si>
  <si>
    <t>RVSS5ZYE</t>
  </si>
  <si>
    <t>YVT7PR39</t>
  </si>
  <si>
    <t>ZT84ID44</t>
  </si>
  <si>
    <t>EUUJSEEZ</t>
  </si>
  <si>
    <t>VB67EUFL</t>
  </si>
  <si>
    <t>VYRP229R</t>
  </si>
  <si>
    <t>T5DZQQ9B</t>
  </si>
  <si>
    <t>CZDJPYRK</t>
  </si>
  <si>
    <t>IYZZZZJY</t>
  </si>
  <si>
    <t>AQQG68U8</t>
  </si>
  <si>
    <t>CGVAIFLP</t>
  </si>
  <si>
    <t>NZE5KEBS</t>
  </si>
  <si>
    <t>3CKQFF6X</t>
  </si>
  <si>
    <t>SW2XNGJX</t>
  </si>
  <si>
    <t>6VHBUVS4</t>
  </si>
  <si>
    <t>7XJFV7SB</t>
  </si>
  <si>
    <t>R25C8GWG</t>
  </si>
  <si>
    <t>Y4CUB8EM</t>
  </si>
  <si>
    <t>TXGGFA49</t>
  </si>
  <si>
    <t>NMNGUCAX</t>
  </si>
  <si>
    <t>TRVVUP4D</t>
  </si>
  <si>
    <t>864V4USJ</t>
  </si>
  <si>
    <t>AGIG7CY7</t>
  </si>
  <si>
    <t>RPUS43BV</t>
  </si>
  <si>
    <t>JDL2C433</t>
  </si>
  <si>
    <t>I4HLDH33</t>
  </si>
  <si>
    <t>CTNFSB6Z</t>
  </si>
  <si>
    <t>E522MBFC</t>
  </si>
  <si>
    <t>B2XBHGEH</t>
  </si>
  <si>
    <t>4XSAZICC</t>
  </si>
  <si>
    <t>YUQFL6L8</t>
  </si>
  <si>
    <t>3GXFNWIR</t>
  </si>
  <si>
    <t>B6RV77FE</t>
  </si>
  <si>
    <t>2VGAC4PL</t>
  </si>
  <si>
    <t>D9M6K86A</t>
  </si>
  <si>
    <t>YISAXDQD</t>
  </si>
  <si>
    <t>SRKT6H9R</t>
  </si>
  <si>
    <t>M73NACUB</t>
  </si>
  <si>
    <t>JTWH9M3W</t>
  </si>
  <si>
    <t>6ML9JMGR</t>
  </si>
  <si>
    <t>33PQMWIU</t>
  </si>
  <si>
    <t>ZW6KFUZ9</t>
  </si>
  <si>
    <t>LPDLTPNG</t>
  </si>
  <si>
    <t>SKGWL23Q</t>
  </si>
  <si>
    <t>DPPXJVR7</t>
  </si>
  <si>
    <t>DIZ2PBYV</t>
  </si>
  <si>
    <t>NNJAEXUZ</t>
  </si>
  <si>
    <t>LBCDR89P</t>
  </si>
  <si>
    <t>CADBHRD6</t>
  </si>
  <si>
    <t>5BLYRGF4</t>
  </si>
  <si>
    <t>P3EJ9HJI</t>
  </si>
  <si>
    <t>URE4XD3E</t>
  </si>
  <si>
    <t>35CHJWMC</t>
  </si>
  <si>
    <t>FY5HUC7E</t>
  </si>
  <si>
    <t>H34IS3WF</t>
  </si>
  <si>
    <t>9KDIC4GP</t>
  </si>
  <si>
    <t>6UA4XZJ6</t>
  </si>
  <si>
    <t>TVXCKVR4</t>
  </si>
  <si>
    <t>I3TDFBA4</t>
  </si>
  <si>
    <t>MASU2S3Q</t>
  </si>
  <si>
    <t>4EWM5MAP</t>
  </si>
  <si>
    <t>TPRQ2I86</t>
  </si>
  <si>
    <t>ILHW37GN</t>
  </si>
  <si>
    <t>JFM2EQXF</t>
  </si>
  <si>
    <t>WJ3NPZP9</t>
  </si>
  <si>
    <t>7TH4JE9X</t>
  </si>
  <si>
    <t>A5EJEFAC</t>
  </si>
  <si>
    <t>E8ATUL2S</t>
  </si>
  <si>
    <t>7IB3P227</t>
  </si>
  <si>
    <t>5BKA2739</t>
  </si>
  <si>
    <t>5RR4AA54</t>
  </si>
  <si>
    <t>QXYAPPR6</t>
  </si>
  <si>
    <t>SLQBBM9K</t>
  </si>
  <si>
    <t>YEF98TUV</t>
  </si>
  <si>
    <t>J9JGJNUY</t>
  </si>
  <si>
    <t>AP8FDBVV</t>
  </si>
  <si>
    <t>FELNV2CN</t>
  </si>
  <si>
    <t xml:space="preserve">Cerebral aqueduct; Cerebrospinal fluid; Interventricular pressure; </t>
  </si>
  <si>
    <t>FH9F92MY</t>
  </si>
  <si>
    <t xml:space="preserve">3D printing; CFD; Correlation; Dean vortices; Friction factor; Helical pipe; </t>
  </si>
  <si>
    <t>FJJNHVDI</t>
  </si>
  <si>
    <t xml:space="preserve">Dimensional analysis; Drip irrigation; Finite element method; Hydraulic design; Pipe deformation; </t>
  </si>
  <si>
    <t>FN3HMX32</t>
  </si>
  <si>
    <t xml:space="preserve">Acceleration; Concrete; Depths of burst; Explosion mechanics; Pressure; </t>
  </si>
  <si>
    <t>FQVMZ3DL</t>
  </si>
  <si>
    <t xml:space="preserve">Vertical axis wind turbine; Wind energy; </t>
  </si>
  <si>
    <t>FXW892LJ</t>
  </si>
  <si>
    <t xml:space="preserve">Black box models; Computational simulations tools; Electrochemical models; Mathematical modeling; Microbial fuel cells; Scaling-up models; </t>
  </si>
  <si>
    <t>FZP7FQNT</t>
  </si>
  <si>
    <t xml:space="preserve">Buried gas pipe; Full-scale model; Parametric analysis; Safety assessment; Surface explosion test; </t>
  </si>
  <si>
    <t>G2TQA7IW</t>
  </si>
  <si>
    <t xml:space="preserve">Bilayer structure; Buckling; Etching; Finite element analysis; Postbuckling; Wiggling; </t>
  </si>
  <si>
    <t>G5WDTEQX</t>
  </si>
  <si>
    <t xml:space="preserve">Flow measurement; Numerical simulation; Portable flumes; U-shaped channel; </t>
  </si>
  <si>
    <t>G723KAI8</t>
  </si>
  <si>
    <t xml:space="preserve">physical modeling; Principle of similitude; Reservoir landslides; Stabilizing piles; </t>
  </si>
  <si>
    <t>G8WTS4Z4</t>
  </si>
  <si>
    <t xml:space="preserve">Depth-sensing indentation; Finite element modelling; Inverse analysis; Pressure-sensitive materials; </t>
  </si>
  <si>
    <t>GE5AF9NS</t>
  </si>
  <si>
    <t xml:space="preserve">Control verification; District heating network; Dynamic similitude; Optimization; Thermal fluid systems; </t>
  </si>
  <si>
    <t>GEMJ2E47</t>
  </si>
  <si>
    <t xml:space="preserve">Dimensionless volume; FLACS; Gas cloud prediction; Mathematical modelling; Microfluidics; Mixing; Pulsed flow; T-micromixer; </t>
  </si>
  <si>
    <t>GGWANLDY</t>
  </si>
  <si>
    <t xml:space="preserve">Belleville spring; Bistable; Conical shell; Corrugation; Large deformation; Negative stiffness; </t>
  </si>
  <si>
    <t>GJRYB7IK</t>
  </si>
  <si>
    <t xml:space="preserve">Flowing irregular semi-cokes; Heat exchanger; Heat transfer performance; Particle; Waste heat recovery; </t>
  </si>
  <si>
    <t>GK4H4PCS</t>
  </si>
  <si>
    <t xml:space="preserve">Dimensional analysis; Drip irrigation; In-line emitter; Optimum lateral length; Prediction model; </t>
  </si>
  <si>
    <t>GKAVLLQW</t>
  </si>
  <si>
    <t xml:space="preserve">3D-PTV; Density interface; Inertial particles; Lagrangian trajectories; Stratification force; </t>
  </si>
  <si>
    <t>GNBEESWK</t>
  </si>
  <si>
    <t xml:space="preserve">Dynamic analysis; Dynamic earth pressures; R-F method; Shaking table testing; Transfer station; Underground structure; </t>
  </si>
  <si>
    <t>GP4N33BQ</t>
  </si>
  <si>
    <t>Beneddine, Samir; View Profile</t>
  </si>
  <si>
    <t xml:space="preserve">Deep learning; Dimensional analysis; Feature selection; Mutual information; Physical modeling; </t>
  </si>
  <si>
    <t>GT6WKQP9</t>
  </si>
  <si>
    <t xml:space="preserve">Clean energy generation; Computational fluid dynamics; Geometrical configuration; Solar chimney power plant; </t>
  </si>
  <si>
    <t>GV5DJFZM</t>
  </si>
  <si>
    <t xml:space="preserve">Chinese solar greenhouse; Dimension analysis; Energy storage wall; Temperature wave interaction; Thermal environment model; Thermal performance design; </t>
  </si>
  <si>
    <t>H56PRLV6</t>
  </si>
  <si>
    <t xml:space="preserve">By-pass factor; Catalyst-coated fin modelling; Fin efficiency for heat transfer; Fin efficiency for reaction; Plate-fin heat exchanger reactor; Reactive fin modelling; </t>
  </si>
  <si>
    <t>H5BEH2H5</t>
  </si>
  <si>
    <t xml:space="preserve">Molten salt reactor; Packing factor; Pebble bed; Vibration; </t>
  </si>
  <si>
    <t>H799VJFH</t>
  </si>
  <si>
    <t xml:space="preserve">Distillation; HETP correlations; Physical properties; Sensitivity analysis; Structured packing; </t>
  </si>
  <si>
    <t>H89QWSI3</t>
  </si>
  <si>
    <t xml:space="preserve">CO capture; Dimensional analysis; Intelligent modeling; Mass transfer; Rotating packed bed; Support vector regression; </t>
  </si>
  <si>
    <t>HBV7ET22</t>
  </si>
  <si>
    <t xml:space="preserve">Dimensional analysis; Distributed defects; Localized defects; Regression analysis; Vibration analysis; </t>
  </si>
  <si>
    <t>HEYFH9CF</t>
  </si>
  <si>
    <t xml:space="preserve">Buckingham pi theorem; Clothes dryer; Dimensional analysis; Effectiveness; Heat and mass transfer; Lewis; </t>
  </si>
  <si>
    <t>HFRAJFX5</t>
  </si>
  <si>
    <t xml:space="preserve">Heat transfer correlation; Nuclear-based hydrogen co-generation; SuperCritical water; Thermochemical Copper-Chlorine cycle; </t>
  </si>
  <si>
    <t>HLVHJ8FG</t>
  </si>
  <si>
    <t xml:space="preserve">Apigenin; Microreactor technology; Nanodrug; Solvent-antisolvent precipitation；Particle size regulation; </t>
  </si>
  <si>
    <t>HQM232X8</t>
  </si>
  <si>
    <t xml:space="preserve">Critical heat flux; Fluid-to-fluid scaling; Small modular integral Reactors; </t>
  </si>
  <si>
    <t>HR87GEW7</t>
  </si>
  <si>
    <t xml:space="preserve">Climate change; Food security; Greenhouse; Liquid desiccant cooling; Solar energy; </t>
  </si>
  <si>
    <t>HTDNYKDL</t>
  </si>
  <si>
    <t xml:space="preserve">Dimensional analysis; Empirical correlation; Fouling deposit; Pasteurization; Thermal treatment; Whey protein; </t>
  </si>
  <si>
    <t>HTTA3XQS</t>
  </si>
  <si>
    <t xml:space="preserve">Dimensional analysis; Discrepancy modeling and reduction; Erosion; Gaussian process modeling; Hybrid modeling; </t>
  </si>
  <si>
    <t>HWCYMPQZ</t>
  </si>
  <si>
    <t xml:space="preserve">Attenuation; PDMS; Segmented floating covers; Viscoelastic; Wave dispersion; </t>
  </si>
  <si>
    <t>HZ3HY9I2</t>
  </si>
  <si>
    <t xml:space="preserve">Constricted flow; Curved geometry; Gear pumps; Gerotors; Leakage flow; Pump modelling; </t>
  </si>
  <si>
    <t>I2FTF7AK</t>
  </si>
  <si>
    <t xml:space="preserve">Cloud analysis; Copula function; Nuclear safety; Performance-based earthquake engineering (PBEE); Seismic fragility; </t>
  </si>
  <si>
    <t>I2WLIMFQ</t>
  </si>
  <si>
    <t xml:space="preserve">Active subspace methods; Critical flow; Dimensional analysis; Micro-channel; Neural network; </t>
  </si>
  <si>
    <t>I3QN8Z5L</t>
  </si>
  <si>
    <t xml:space="preserve">Dimensional analysis; Dynamic modeling; Neural network; Rolling contact bearings; </t>
  </si>
  <si>
    <t>I3RXPJAM</t>
  </si>
  <si>
    <t xml:space="preserve">Differential pressure; Two-phase flow; V-Cone throttle device; Wet gas; </t>
  </si>
  <si>
    <t>I4TEN7PU</t>
  </si>
  <si>
    <t xml:space="preserve">Discharge coefficient; Hydraulic characteristics; Labyrinth side weirs; Machine learning; Numerical simulation; </t>
  </si>
  <si>
    <t>I5MK648N</t>
  </si>
  <si>
    <t xml:space="preserve">Differential; Modulus of vector acceleration; Three-axis acceleration sensor; Vortex precession frequency; Wet gas; </t>
  </si>
  <si>
    <t>I6V2WGDX</t>
  </si>
  <si>
    <t xml:space="preserve">Concrete plates; Contact detonation; Crater damage; Scaling; Shock wave; </t>
  </si>
  <si>
    <t>ICA7AN23</t>
  </si>
  <si>
    <t xml:space="preserve">Cold spray; In-situ micro-forging; Inter-particle bonding; Mechanical properties; Processing maps; </t>
  </si>
  <si>
    <t>IE4UES88</t>
  </si>
  <si>
    <t xml:space="preserve">Hardware-in-the-loop; Mechanical interactions; rotational quantities; Scaling; Torque limiting clutch; Virtual coupling; Virtual shaft; Virtual test bench; X-in-the-loop; </t>
  </si>
  <si>
    <t>IE57BEX4</t>
  </si>
  <si>
    <t xml:space="preserve">Apex shape; Computational fluids dynamics (CFD); Crest profile; Discharge coefficient; Labyrinth weir; </t>
  </si>
  <si>
    <t>IEE2YHBW</t>
  </si>
  <si>
    <t xml:space="preserve">Compressor; Deep learning; Performance map; Real-gas effect; Similitude method; </t>
  </si>
  <si>
    <t>IHMQFQB6</t>
  </si>
  <si>
    <t xml:space="preserve">Experiment; Finite element analysis; Ship; Similarity analysis; Stiffened panel; Ultimate strength; </t>
  </si>
  <si>
    <t>IIVUQI36</t>
  </si>
  <si>
    <t xml:space="preserve">Dimensional analysis; Eddy current separation; Electrodynamic process; Lorentz force; Magnetic field parameters; </t>
  </si>
  <si>
    <t>IN8KLBVP</t>
  </si>
  <si>
    <t xml:space="preserve">Archimedes screw; CFD; Flow 3D; Quadratic equation; RSM; </t>
  </si>
  <si>
    <t>IT47C9ST</t>
  </si>
  <si>
    <t xml:space="preserve">Discontinuous structure; Modal experiment; Response prediction; Rotor system; Scaling design; </t>
  </si>
  <si>
    <t>J4WVGHRX</t>
  </si>
  <si>
    <t xml:space="preserve">Centrifugal pump; Droplet size; Effective viscosity; Stable emulsion; Unstable emulsion; Water-in-oil emulsion flow; </t>
  </si>
  <si>
    <t>J6GLJI5W</t>
  </si>
  <si>
    <t xml:space="preserve">Floating breakwater; Module connector forces; Mooring loads; Oblique waves; Physical model; Wave transmission coefficient; </t>
  </si>
  <si>
    <t>J7HUILB4</t>
  </si>
  <si>
    <t>J7J67RII</t>
  </si>
  <si>
    <t xml:space="preserve">Dimensionless number; Magnetic particle transport; Magnetophoretic force; Multiphysics modeling; Scaling law; Stokes’ drag; </t>
  </si>
  <si>
    <t>J8QRU58R</t>
  </si>
  <si>
    <t xml:space="preserve">Dimension reduction; Monitoring data; Physical knowledge; Prediction model; Tunnel engineering; </t>
  </si>
  <si>
    <t>JDFLYRQY</t>
  </si>
  <si>
    <t xml:space="preserve">Acceleration amplification; Deposit slope; Dynamic earth pressure; Load-sharing ratio; Pile-anchor structure; Shaking table test; Weak interlayer; </t>
  </si>
  <si>
    <t>JL7ARCHI</t>
  </si>
  <si>
    <t xml:space="preserve">Jet flows; Phase locked measurements; PIV; Synthetic jets; Vortex ring; </t>
  </si>
  <si>
    <t>JV7RJY2G</t>
  </si>
  <si>
    <t xml:space="preserve">Dimensional analysis; Rolling element bearings; Surface fault angle; </t>
  </si>
  <si>
    <t>K3YZACNZ</t>
  </si>
  <si>
    <t xml:space="preserve">Flow structure; Gas–liquid flow regime; Heat-exchanger reactor; Mass transfer coefficient; Meandering millimetric channel; Number of Transfer Units; </t>
  </si>
  <si>
    <t>K9DPQYTM</t>
  </si>
  <si>
    <t xml:space="preserve">Illumination; LED; MGVC; Performance; TGM; Thermoelectric; Vapor chamber; VCPCB; </t>
  </si>
  <si>
    <t>K9NE2GCC</t>
  </si>
  <si>
    <t xml:space="preserve">Dimensional analysis; Helical-coil; Melting process; Phase change material; Thermal energy storage; Triplex-pipe; </t>
  </si>
  <si>
    <t>KH568XXU</t>
  </si>
  <si>
    <t xml:space="preserve">Buckingham's Pi theorem; Gas turbine; Intercooled cycle; Performance prediction; Simulation model; </t>
  </si>
  <si>
    <t>KJCMNDKC</t>
  </si>
  <si>
    <t xml:space="preserve">Graphene hydrogels; Graphene nanoplatelets; Graphene oxide; Liquid phase exfoliation; Supercapacitor; </t>
  </si>
  <si>
    <t>KMH9MI2K</t>
  </si>
  <si>
    <t xml:space="preserve">Buckingham Pi theorem; Heat pipe heat exchanger; HVAC; Non-dimensional paramater; Sp Numbers; </t>
  </si>
  <si>
    <t>KPXPCUGD</t>
  </si>
  <si>
    <t xml:space="preserve">Dimensionality reduction; Microfluidics; Supercritical fluids; Turbulence; </t>
  </si>
  <si>
    <t>KR5MIPST</t>
  </si>
  <si>
    <t xml:space="preserve">Discharge coefficient; Intake; Labyrinth weir; Neuro-fuzzy; Side weir; </t>
  </si>
  <si>
    <t>KTB3AIRK</t>
  </si>
  <si>
    <t xml:space="preserve">Electro-thermal model; Experiments; Lithium iron phosphate battery; Scaling; Time compressed; </t>
  </si>
  <si>
    <t>KXVG4LH5</t>
  </si>
  <si>
    <t xml:space="preserve">DCMD; Dimensional analysis; Pi theorem; Regression analysis; Scale up; </t>
  </si>
  <si>
    <t>KYQKCWFA</t>
  </si>
  <si>
    <t xml:space="preserve">Anisotropy ratio; Cubic material; Cubic symmetry microstructure; Elastoplastic properties; Indentation; </t>
  </si>
  <si>
    <t>L2KI2DRS</t>
  </si>
  <si>
    <t xml:space="preserve">Distortion model; Performance-driven separate similitude; Prototype prediction; Scaling laws; Space Solar Power Satellite; </t>
  </si>
  <si>
    <t>L3TGMAUE</t>
  </si>
  <si>
    <t xml:space="preserve">Acid–base neutralization decolourization; Kaldo furnace; Mixing time; RGB colour model; Water model; </t>
  </si>
  <si>
    <t>L45UGVUZ</t>
  </si>
  <si>
    <t xml:space="preserve">Evaporation; Flotation; Foam stability; Relative humidity; </t>
  </si>
  <si>
    <t>L58S7DLJ</t>
  </si>
  <si>
    <t xml:space="preserve">Active subspace method; Data-driven; Melt pool morphology; Porosity evolution; Powder bed fusion; </t>
  </si>
  <si>
    <t>L5EAL5M4</t>
  </si>
  <si>
    <t xml:space="preserve">Damage features; Dimensionless damage number; Failure modes; Internal blast; Stiffened cabin structure; </t>
  </si>
  <si>
    <t>L7853R3D</t>
  </si>
  <si>
    <t xml:space="preserve">CFD; Gas diffusion layer; Genetic algorithm; Numerical optimization; Wavy channel; </t>
  </si>
  <si>
    <t>LBB6UXP4</t>
  </si>
  <si>
    <t xml:space="preserve">Fluid-particle coupling; Large eddy simulation; Nanofluid; Thermophoresis; Turbulent heat transfer; </t>
  </si>
  <si>
    <t>LEYV3T68</t>
  </si>
  <si>
    <t xml:space="preserve">Energy dissipation; Semicircular breakwater; Wave forces; Wave reflection; Wave screen; Wave transmission; </t>
  </si>
  <si>
    <t>LG8LC9SA</t>
  </si>
  <si>
    <t xml:space="preserve">Imperfect interfaces; Nonlinear response; Stiffness; Suction caisson; </t>
  </si>
  <si>
    <t>LK7GR3FR</t>
  </si>
  <si>
    <t xml:space="preserve">Additive manufacturing; Data-driven design; Data-driven discovery; Deep learning; Physics-informed machine learning; Scientific data science; </t>
  </si>
  <si>
    <t>LL3XP98Z</t>
  </si>
  <si>
    <t xml:space="preserve">Abutment scour; And Combined wave-Current flow; Current-only; Horseshoe vortex; Lee-wake vortex; Vertical-wall abutment; </t>
  </si>
  <si>
    <t>LR9P7IFS</t>
  </si>
  <si>
    <t xml:space="preserve">3d printing; Experimental test; Marine structures; Powder bed fusion; Similarity; Web girder; </t>
  </si>
  <si>
    <t>LRRQQW3V</t>
  </si>
  <si>
    <t xml:space="preserve">Curve similarity; Dimensional analysis; Near-fault ground motion; Pulse detection; Velocity pulse; </t>
  </si>
  <si>
    <t>LVVPSD9L</t>
  </si>
  <si>
    <t xml:space="preserve">Conduction Transfer Functions; Design methodologies; Dimensionless correlations; LMTD; NTU; Numerical models; Phase change materials; </t>
  </si>
  <si>
    <t>LW86DII6</t>
  </si>
  <si>
    <t xml:space="preserve">C&amp;S–R anchor cable; Dynamic response; Dynamic safety factor; Seismic performance; Shaking table test; </t>
  </si>
  <si>
    <t>LWDFNVS2</t>
  </si>
  <si>
    <t xml:space="preserve">Cleaning process; Dimensional analysis; Food industry; Machine learning; Statistical analysis; Symbolic regression; </t>
  </si>
  <si>
    <t>LXR5P3QS</t>
  </si>
  <si>
    <t xml:space="preserve">Computational fluid dynamic; Cutting transport; Hole cleaning; Hole inclination; Pipe rotation; </t>
  </si>
  <si>
    <t>LYRJSZ6L</t>
  </si>
  <si>
    <t xml:space="preserve">DEM; Rheology; Vibrating screens; </t>
  </si>
  <si>
    <t>M44CVVFI</t>
  </si>
  <si>
    <t xml:space="preserve">Base isolation; Ground-borne vibrations; Physical modeling; Prediction model; Soil-structure interaction; </t>
  </si>
  <si>
    <t>M5V5IY2C</t>
  </si>
  <si>
    <t xml:space="preserve">Experimental scaled model testing; Impacted structures; Rapid prototyping; Similitude theory; Structural similitude; Thermal similitude; </t>
  </si>
  <si>
    <t>M5XNJTV2</t>
  </si>
  <si>
    <t xml:space="preserve">Hypervelocity impact resistance; Impact-induced reaction; Reactive material; Space debris; Whipple shield; </t>
  </si>
  <si>
    <t>M8TSL7Z6</t>
  </si>
  <si>
    <t xml:space="preserve">Bayesian calibration; Gibbs sampler application to thermal hydraulic problems; Inverse methods; MCMC methods; Penetration of discharged steam in subcooled pools; Thermal–hydraulic correlations; </t>
  </si>
  <si>
    <t>MERQ99WD</t>
  </si>
  <si>
    <t xml:space="preserve">Bubble dynamics; Hydrogen production; Mass transfer; </t>
  </si>
  <si>
    <t>MGC9LTMC</t>
  </si>
  <si>
    <t xml:space="preserve">Dimensionless groups; Pervaporation performance; Physicochemical properties; Predictive model; Process conditions; </t>
  </si>
  <si>
    <t>MGQK2XF8</t>
  </si>
  <si>
    <t xml:space="preserve">Casing collapse; Casing wear; Finite element method; Well integrity; </t>
  </si>
  <si>
    <t>MIEEJR4U</t>
  </si>
  <si>
    <t xml:space="preserve">Additive manufacturing; Analytical models; Defects; Laser powder bed fusion; Laser-metal interaction; Melt pool geometry; Processing maps; </t>
  </si>
  <si>
    <t>MJYEIKRA</t>
  </si>
  <si>
    <t xml:space="preserve">Composites; Stress intensity factor; </t>
  </si>
  <si>
    <t>MSCLS7UF</t>
  </si>
  <si>
    <t xml:space="preserve">Containment vessel; Nuclear power plant; Seismic performance; Shaking table test; Similarity law; </t>
  </si>
  <si>
    <t>MT686JFL</t>
  </si>
  <si>
    <t xml:space="preserve">Building structure; Cumulative damage; High-speed railway train; Long-term service; Vibration response; Vibration safety assessment; Vibration source function; </t>
  </si>
  <si>
    <t>MWRIUEJU</t>
  </si>
  <si>
    <t xml:space="preserve">AZ31B Mg alloy plate; Deformation behavior; Hypervelocity impact; Microstructural evolution; Shock wave propagation; </t>
  </si>
  <si>
    <t>MWXW4NCU</t>
  </si>
  <si>
    <t xml:space="preserve">Buoyancy effect; Heat transfer; Numerical simulation; Secondary flow; Submerged combustion vaporizer; Supercritical LNG; </t>
  </si>
  <si>
    <t>MYTEGS2T</t>
  </si>
  <si>
    <t>Buckingham's Pi theorem; Dimensional analysis; Fluid mechanics; Physical similarity analysis; Python programming; BuPi; nrv; RV,rv; SI</t>
  </si>
  <si>
    <t>N75ENY33</t>
  </si>
  <si>
    <t xml:space="preserve">Deformable terrain; Mobility; Off-road; Parameterization; Soil; Terramechanics; Tire model; Wheeled vehicle; </t>
  </si>
  <si>
    <t>N8RYRMRH</t>
  </si>
  <si>
    <t xml:space="preserve">Composite liquid droplet; Critical conditions; Dimensionless criteria; Droplet breakup; Micro-explosion; Puffing; </t>
  </si>
  <si>
    <t>NBC346VA</t>
  </si>
  <si>
    <t xml:space="preserve">Effective thermal conductivity; High-power LEDs; Hot-spot; Vapor chamber; </t>
  </si>
  <si>
    <t>NS6KKK7E</t>
  </si>
  <si>
    <t xml:space="preserve">ORC optimal turbine efficiency map; ORC systems optimization; Real gas compressibility effects; Scale effect; Turbomachines flow similarity; </t>
  </si>
  <si>
    <t>NVLP2WLZ</t>
  </si>
  <si>
    <t xml:space="preserve">High-sphericity; Idealized model method; PI theorem; Spheroid particle; Suction force; </t>
  </si>
  <si>
    <t>P4PKFCGQ</t>
  </si>
  <si>
    <t xml:space="preserve">Cytocompatibility; Electrospinning; Interfaces; Nanostructures; Surface texturing; </t>
  </si>
  <si>
    <t>P6ZBJKWM</t>
  </si>
  <si>
    <t xml:space="preserve">Adaptive Neuro-Fuzzy Inference System (ANFIS); Analyse énergétique; Energy analysis; Mathematical model; Modèle mathématique; R134a/GPL; R134a/LPG; Système ANFIS; Système d’inférence neuro-flou adaptatif; </t>
  </si>
  <si>
    <t>P9C5DJVK</t>
  </si>
  <si>
    <t xml:space="preserve">Active control; Active safety; Lateral stability; Off-road vehicle; Tractor rollover; </t>
  </si>
  <si>
    <t>PAP6EUQD</t>
  </si>
  <si>
    <t xml:space="preserve">Dimensional analysis; Direct absorption solar collector; Empirical correlation; Nusselt number; PVP-coated silver nanofluid; </t>
  </si>
  <si>
    <t>PLKDYIBM</t>
  </si>
  <si>
    <t xml:space="preserve">Eroded area; Experimental study; Multi-layer berm breakwaters; Waves; </t>
  </si>
  <si>
    <t>PMIHH42M</t>
  </si>
  <si>
    <t xml:space="preserve">Abrasion-erosion; FLOW-3D; Hydraulic structures; Numerical simulation; Semi-analytical equation; </t>
  </si>
  <si>
    <t>PRUDXTTY</t>
  </si>
  <si>
    <t xml:space="preserve">Double-column bent; Overturning analysis; Rocking bridge system; Seismic response; Viscous damper; </t>
  </si>
  <si>
    <t>PYQEA6JZ</t>
  </si>
  <si>
    <t xml:space="preserve">Dimensionless; Extraction; number; Similitude; </t>
  </si>
  <si>
    <t>Q2GYW8AE</t>
  </si>
  <si>
    <t xml:space="preserve">Badlands; Dimensional analysis; Self-similarity theory; Sicily; Soil erosion; </t>
  </si>
  <si>
    <t>Q4GB8YCX</t>
  </si>
  <si>
    <t xml:space="preserve">Bifurcations and chaos; Dry friction; Stick–slip vibration; Sticking phase plot; </t>
  </si>
  <si>
    <t>QFN6USEH</t>
  </si>
  <si>
    <t xml:space="preserve">Desiccant wheel; Thermal comfort; Thermoelectric cooler; TRNSYS; </t>
  </si>
  <si>
    <t>QGZZ54XP</t>
  </si>
  <si>
    <t xml:space="preserve">Gas wells; Liquid leakage flow rate; Liquid loading; Plunger lift; </t>
  </si>
  <si>
    <t>QHT68YJW</t>
  </si>
  <si>
    <t xml:space="preserve">Bridge; Dynamic response; Earthquake; Similitude criterion; Test model design; Underwater shaking table; </t>
  </si>
  <si>
    <t>QKP5Z362</t>
  </si>
  <si>
    <t xml:space="preserve">Desiccant dehumidifier; Dimensional analysis; Latent energy; Scaling analysis; Silica gel-coated heat exchanger; </t>
  </si>
  <si>
    <t>QMKNA64P</t>
  </si>
  <si>
    <t xml:space="preserve">Area reduction effect; Crown configuration; Streamlining effect; Tree dynamics; Tree reconfiguration; Wind tunnel test; </t>
  </si>
  <si>
    <t>QRJFKVPD</t>
  </si>
  <si>
    <t xml:space="preserve">Dynamic response; Horizontal impact test; Nonlinear numerical simulation; Precast segmental pier; </t>
  </si>
  <si>
    <t>QSZ2S9A8</t>
  </si>
  <si>
    <t xml:space="preserve">Bed undulation; Hyporheic exchanges; Residence time; Width undulation; </t>
  </si>
  <si>
    <t>QWA6RZ36</t>
  </si>
  <si>
    <t xml:space="preserve">Bubbles diameter distribution; Dimensional analysis; Microbubble generator; Oxygen mass transfer; </t>
  </si>
  <si>
    <t>QY5VC4TR</t>
  </si>
  <si>
    <t xml:space="preserve">Bubble column reactor; Gas holdup; High pressure; Hydrodynamics; Regime transition; Viscoelastic liquids; </t>
  </si>
  <si>
    <t>R26JWJ3M</t>
  </si>
  <si>
    <t xml:space="preserve">Galloping control; Interphase spacer; Wind tunnel test; Wind-induced responses; </t>
  </si>
  <si>
    <t>R4MDJID2</t>
  </si>
  <si>
    <t xml:space="preserve">CFD models; Energy efficiency; Experimental methodology; Large air masses; Natural ventilation; </t>
  </si>
  <si>
    <t>R87G28N5</t>
  </si>
  <si>
    <t xml:space="preserve">Analyze dimensionnelle; Apprentissage automatique; Condensation; Dimensional analysis; Gaz non condensable; Machine learning; Non-condensable gas; </t>
  </si>
  <si>
    <t>RCZ2CN3U</t>
  </si>
  <si>
    <t xml:space="preserve">3D simulations; Aggregate; Asphalt concrete; Compaction; Packing; Physics engines; </t>
  </si>
  <si>
    <t>RD4HARE5</t>
  </si>
  <si>
    <t xml:space="preserve">Economics; Erosion; Nanofluids; Stability; Sustainability; Thermal conductivity; </t>
  </si>
  <si>
    <t>RFQEJRFW</t>
  </si>
  <si>
    <t xml:space="preserve">Lubrication; Permeability; Pore pressure; Porous media; </t>
  </si>
  <si>
    <t>RHG8BLUU</t>
  </si>
  <si>
    <t xml:space="preserve">Computational Fluid Dynamics (CFD); Dimensional analysis; Scaling method; Two-phase flow; </t>
  </si>
  <si>
    <t>RKZ7BCJD</t>
  </si>
  <si>
    <t xml:space="preserve">Analytical model; Frame bridge pier; Overturning analysis; Rocking system; Seismic response; </t>
  </si>
  <si>
    <t>RP3FB333</t>
  </si>
  <si>
    <t xml:space="preserve">Breakage time; ECDD; Empirical modelling; Liquid–liquid system; Number of daughter drops; Optimization; Performance characteristics; Single drop breakage; Stirred tank; </t>
  </si>
  <si>
    <t>RSBJTG84</t>
  </si>
  <si>
    <t xml:space="preserve">Aerospace actuators; Convection cooling; Dimensional analysis; Response surface methodology; Surrogate modeling; Thermal modeling; </t>
  </si>
  <si>
    <t>RUDXDKP6</t>
  </si>
  <si>
    <t xml:space="preserve">Bubbling; Computational fluid dynamics; Interface capturing methods; Two-phase flow modeling; Waste glass melter model; Waste vitrification; </t>
  </si>
  <si>
    <t>RYX45Y5J</t>
  </si>
  <si>
    <t xml:space="preserve">Additional vegetation resistance; Dimensional analysis; Linear superposition method; Overland flow resistance; Soil erosion; Vegetation cover; </t>
  </si>
  <si>
    <t>RZD4EEMZ</t>
  </si>
  <si>
    <t xml:space="preserve">Dimensionless parameters; Dynamic fracture; Fracture mechanism; Metal cylindrical shell; Partition of fracture modes; </t>
  </si>
  <si>
    <t>S3A3EZCA</t>
  </si>
  <si>
    <t xml:space="preserve">Fuzzy c-means clustering; Modeling moisture redistribution; Neuro-fuzzy; Particle swarm optimization – gravity search algorithm; </t>
  </si>
  <si>
    <t>S4U963G3</t>
  </si>
  <si>
    <t xml:space="preserve">Gas holdup; Gas–liquid–solid fluidization; Genetic algorithm; Multiphase flow; Optimization; </t>
  </si>
  <si>
    <t>S8939KQW</t>
  </si>
  <si>
    <t xml:space="preserve">Drag coefficient; Non-Newtonian liquid; Single bubble terminal velocity; Thin-gap bubble column; </t>
  </si>
  <si>
    <t>S9YJCRIA</t>
  </si>
  <si>
    <t xml:space="preserve">Friction stir welding; Mechanical behavior; Microstructure; Numerical analysis; </t>
  </si>
  <si>
    <t>SBLRHQJU</t>
  </si>
  <si>
    <t xml:space="preserve">Finite similitude; Metal forming; Scaling; </t>
  </si>
  <si>
    <t>SDHN8SH3</t>
  </si>
  <si>
    <t xml:space="preserve">Dimensional analysis; Multi-gene genetic programming; Performance prediction; Practical models; Tunnel boring machines; </t>
  </si>
  <si>
    <t>SF7GJDZH</t>
  </si>
  <si>
    <t xml:space="preserve">Bed pressure distribution; Discharge coefficient; Semi-cylindrical weir; Stage-discharge relation; </t>
  </si>
  <si>
    <t>SQ8XZD5K</t>
  </si>
  <si>
    <t xml:space="preserve">Active subspace; Cluster; Data-driven dimensional analysis; Machine learning; </t>
  </si>
  <si>
    <t>SSST9RDR</t>
  </si>
  <si>
    <t xml:space="preserve">Discrete element method; Numerical model; Roadheader; Rock cutting; Simulation; </t>
  </si>
  <si>
    <t>SUIZN99X</t>
  </si>
  <si>
    <t xml:space="preserve">Computational Fluid Dynamics (CFD); Severe accidents; Thermal-hydraulics; WGAMA; </t>
  </si>
  <si>
    <t>SZYI8GML</t>
  </si>
  <si>
    <t xml:space="preserve">Impact; Scaling; Similarity; Structure; </t>
  </si>
  <si>
    <t>T42NU46M</t>
  </si>
  <si>
    <t xml:space="preserve">Dimensional analysis; Finite volume method; High resolution scheme; Jet buckling; </t>
  </si>
  <si>
    <t>T4QM746Y</t>
  </si>
  <si>
    <t xml:space="preserve">Additive friction extrusion deposition; Additive friction stir deposition; Friction stir processing; Friction stir welding; Grain structure evolution; Materials flow; </t>
  </si>
  <si>
    <t>T9IZ8JLD</t>
  </si>
  <si>
    <t xml:space="preserve">Dimensional analysis (DA); Multivariable regression analysis (MVRA); Roller element bearing; </t>
  </si>
  <si>
    <t>TFAIJBGV</t>
  </si>
  <si>
    <t xml:space="preserve">Dimension; Geometric distortion; Response number; Scaling; Similarity; Structural impact; </t>
  </si>
  <si>
    <t>THE8X7XS</t>
  </si>
  <si>
    <t xml:space="preserve">Artificial neural networks; Drip irrigation; Nonlinear regression; Simulation; Wetted area; </t>
  </si>
  <si>
    <t>TR9EZB3U</t>
  </si>
  <si>
    <t xml:space="preserve">Cabin structure; Dynamic response; Internal blast; Scale model; Similarity law; </t>
  </si>
  <si>
    <t>TSLRY4Q2</t>
  </si>
  <si>
    <t xml:space="preserve">Adaptive Neuro-Fuzzy Inference System; Bearing fault size; Dimension analysis; Signal processing; </t>
  </si>
  <si>
    <t>TV4QRQP9</t>
  </si>
  <si>
    <t xml:space="preserve">CFD; ESP; Performance degradation; Viscosity; </t>
  </si>
  <si>
    <t>TXBYKGMV</t>
  </si>
  <si>
    <t xml:space="preserve">Computational fluid dynamics with the discrete element method (CFD-DEM); Immersed boundary; Navier–Stokes incompressible flow; Pair-wise particle interaction; Reduced order modeling; </t>
  </si>
  <si>
    <t>U4Z6V79X</t>
  </si>
  <si>
    <t xml:space="preserve">Bolted joints; Design curves; Dimensional analysis; Failure mechanisms; Virtual testing; </t>
  </si>
  <si>
    <t>U5SKQRPK</t>
  </si>
  <si>
    <t xml:space="preserve">Dimensional analysis; Dimensionless groups; Gas storage; Heat transfer; Hydrogen; Mass transfer; Natural gas; Physical adsorption; </t>
  </si>
  <si>
    <t>UDDUZMBZ</t>
  </si>
  <si>
    <t xml:space="preserve">Analysis; Inclination; LED; Performance; Thermal module; Vapor chamber; </t>
  </si>
  <si>
    <t>UE8HJVSC</t>
  </si>
  <si>
    <t xml:space="preserve">Arc interaction; Arc offset; Arc stiffness; Double pulse; High-power double-wire GMAW; Quantitative analysis; Weld bead formation; </t>
  </si>
  <si>
    <t>UFKJ6DTJ</t>
  </si>
  <si>
    <t xml:space="preserve">Anisotropic scaling; Finite similitude; Scaled experimentation; Scaled models; </t>
  </si>
  <si>
    <t>UG463MEW</t>
  </si>
  <si>
    <t>UHPLSSKZ</t>
  </si>
  <si>
    <t xml:space="preserve">Impact force; Nonlinear numerical simulation; Scaled model test; Ship-pier collision; </t>
  </si>
  <si>
    <t>UKHCQTXA</t>
  </si>
  <si>
    <t xml:space="preserve">Coalescence; Densification; Flow characteristics; Iron ore sintering; Laplace number; Molten mix; </t>
  </si>
  <si>
    <t>UMUXCU29</t>
  </si>
  <si>
    <t xml:space="preserve">Agglomeration mechanisms; Circularity; Dimensional analysis; Durum wheat couscous; Rotating screen drum; </t>
  </si>
  <si>
    <t>UT3AEVEW</t>
  </si>
  <si>
    <t xml:space="preserve">Aircraft conceptual design; Boundary layer ingestion; Distributed electric propulsion; Global optimization; Multi disciplinary optimization; Nonlinear optimization; Sensitivity analysis; </t>
  </si>
  <si>
    <t>UY24TQZY</t>
  </si>
  <si>
    <t xml:space="preserve">Multi-span continuous deck bridges; Non-dimensional equations; Optimal friction coefficient; ratio; Seismic isolation; Seismic performance; </t>
  </si>
  <si>
    <t>UY5UU5KR</t>
  </si>
  <si>
    <t xml:space="preserve">Air-water flows; Introductory overview; Metrology; Model validation; Numerical modelling; Physical modelling; </t>
  </si>
  <si>
    <t>UYIDT6JS</t>
  </si>
  <si>
    <t xml:space="preserve">Artificial neural network; Correlation; Dimensional analysis; Flame exposure; Flame-retardant clothing; Second degree burn time; </t>
  </si>
  <si>
    <t>V2LVCVFD</t>
  </si>
  <si>
    <t xml:space="preserve">Dimensionless polarization curve; Proton exchange membrane fuel cell; Sensibility analysis; Similarity analysis; </t>
  </si>
  <si>
    <t>VLZTWBVY</t>
  </si>
  <si>
    <t xml:space="preserve">CFD; Computer aided design; Green water infrastructure; Machine learning; Retention; Water treatment; </t>
  </si>
  <si>
    <t>VRHW25WI</t>
  </si>
  <si>
    <t xml:space="preserve">Curtainwall; Daylighting; Dimensional analysis; Nusselt number correlations; Photovoltaic/thermal (PV/T) collector; Solar-optical properties; Thermal collection efficiency; </t>
  </si>
  <si>
    <t>W25J4U7Y</t>
  </si>
  <si>
    <t xml:space="preserve">Bubble length; Contactor; Gas-liquid; Hydrodynamics; Multiphase flow; Taylor flow; </t>
  </si>
  <si>
    <t>W3DBGHCI</t>
  </si>
  <si>
    <t xml:space="preserve">Equivalent diameters; N-decane; Rectangular tubes; Supercritical heat transfer; </t>
  </si>
  <si>
    <t>W7BEIX8G</t>
  </si>
  <si>
    <t xml:space="preserve">Cementitious composites; Electrical conductivity; Finite element model; Graphene derivatives; </t>
  </si>
  <si>
    <t>W7VGA57F</t>
  </si>
  <si>
    <t xml:space="preserve">Analytical model; Choked flow; Energy storage; Numerical simulation; Oscillating water column; </t>
  </si>
  <si>
    <t>W8GAI4HL</t>
  </si>
  <si>
    <t xml:space="preserve">Contraction coefficient; Discharge coefficient; Energy loss coefficient; Multivariate adaptive regression spline; Open channel; Vertical sluice gate; </t>
  </si>
  <si>
    <t>WDD24XJJ</t>
  </si>
  <si>
    <t xml:space="preserve">Broad crested weir; Energy-momentum approach; Free and submerged discharge coefficients; sluice gate; </t>
  </si>
  <si>
    <t>WLEPT9BD</t>
  </si>
  <si>
    <t xml:space="preserve">ECDD; Empirical modelling; Optimization; Performance characteristics; </t>
  </si>
  <si>
    <t>WSGI9GPF</t>
  </si>
  <si>
    <t xml:space="preserve">Dimensional analysis; Indoor environment; Multi-objective optimization; Reduced-order optimization; Surrogate-based optimization; </t>
  </si>
  <si>
    <t>WTMT4GNP</t>
  </si>
  <si>
    <t xml:space="preserve">Aeration efficiency; Air entrainment; Dissolved oxygen; Froude number; Hydraulic jump; Reynolds number; </t>
  </si>
  <si>
    <t>WTSDB55B</t>
  </si>
  <si>
    <t xml:space="preserve">Artificial neural network; Building thermal energy demand; Dimensionless analysis; Forecasting method; Multiple criteria assessment; Multiple linear regression; </t>
  </si>
  <si>
    <t>WU868VR2</t>
  </si>
  <si>
    <t xml:space="preserve">Archimedes; Finite element modeling; Lack-of-fusion porosity; Laser powder bed fusion; Micro-computed tomography; Micrographs; </t>
  </si>
  <si>
    <t>WUJ6YQC8</t>
  </si>
  <si>
    <t xml:space="preserve">Dimensional analysis; Dimensionless number; Induction furnace; Iron-rich phase removal; Melting reduction; </t>
  </si>
  <si>
    <t>WYMLM88L</t>
  </si>
  <si>
    <t xml:space="preserve">Artificial neural network; Discharge coefficient; Froude number; Sensitivity analysis; Side weirs; </t>
  </si>
  <si>
    <t>WZ5RRWZF</t>
  </si>
  <si>
    <t xml:space="preserve">Die filling; Gravity filling; Powder flow; Rotary press; Suction filling; </t>
  </si>
  <si>
    <t>WZZ2U947</t>
  </si>
  <si>
    <t xml:space="preserve">Buckingham theorem; Components sizing; Metamodels; Preliminary/conceptual design; Scaling laws; Surrogate modeling; </t>
  </si>
  <si>
    <t>XARYDZL4</t>
  </si>
  <si>
    <t xml:space="preserve">CLEAR-S facility; Dimensional effect; Porous media; Thermal stratification; </t>
  </si>
  <si>
    <t>XBKBF6YA</t>
  </si>
  <si>
    <t xml:space="preserve">Active subspace methods; Critical heat flux; Departure from nucleate boiling; Dimensional analysis; Neural network; </t>
  </si>
  <si>
    <t>XG7KAF54</t>
  </si>
  <si>
    <t xml:space="preserve">Acceleration response; Dynamic soil pressure response; Seismic action; Shaking table test; Slope engineering; Soil-pile system; </t>
  </si>
  <si>
    <t>XHGCYJGZ</t>
  </si>
  <si>
    <t xml:space="preserve">Dimensional analysis; Discharge coefficient; Labyrinth sluice gates; Self-similarity; Stage-discharge relationship; </t>
  </si>
  <si>
    <t>XMLU84HX</t>
  </si>
  <si>
    <t xml:space="preserve">Estuaries; India; Mandovi; Numerical models; Residual circulation; Salinity; </t>
  </si>
  <si>
    <t>XMQT5W95</t>
  </si>
  <si>
    <t xml:space="preserve">Artificial neural network; Channel; Flow regime; Gas-liquid; Multiphase flow; Taylor flow; </t>
  </si>
  <si>
    <t>XVEUDJ5B</t>
  </si>
  <si>
    <t xml:space="preserve">Dimensionless correlation; Hydrodynamic characteristics; Onset of flow instability; Supercritical pressure; Tube diameter; Tube length; </t>
  </si>
  <si>
    <t>XWCH7FBR</t>
  </si>
  <si>
    <t xml:space="preserve">Empirical equations; Genetic programming; Incipient sediment motion; Rectangular channels; Sediment bed thickness; </t>
  </si>
  <si>
    <t>XXNXPN9I</t>
  </si>
  <si>
    <t xml:space="preserve">Fracture conductivity; Regression modeling; Statistical analysis of pooled data; </t>
  </si>
  <si>
    <t>XYRAU7B3</t>
  </si>
  <si>
    <t xml:space="preserve">Discharge coefficient; Liquefied gas; Release hole shape; Spray morphology; Temperature; </t>
  </si>
  <si>
    <t>Y3AIRB9Z</t>
  </si>
  <si>
    <t xml:space="preserve">Dimensional analysis; Flow resistance; Open channel; Self-similarity; Vegetation; Velocity profile; </t>
  </si>
  <si>
    <t>Y6JFK7TD</t>
  </si>
  <si>
    <t>YAJ5PS7V</t>
  </si>
  <si>
    <t xml:space="preserve">Airlift photobioreactor; Dimensionless numbers; Kinetics; Scale-up; π-Theorem; </t>
  </si>
  <si>
    <t>YE5CKZ4Z</t>
  </si>
  <si>
    <t xml:space="preserve">Buckingham Pi (π) theorem; Dimensional analysis; Hot rolling process; Mathematical model; Production rate; </t>
  </si>
  <si>
    <t>YE6ZZZ4I</t>
  </si>
  <si>
    <t xml:space="preserve">Dimensional analysis; Fracture mechanics; Phase-field method, Scaled boundary finite element method; Scaling laws; </t>
  </si>
  <si>
    <t>YFW8MUQ5</t>
  </si>
  <si>
    <t xml:space="preserve">Corrugated steel structure; Decaying mechanism; Propagation law; Shock wave; </t>
  </si>
  <si>
    <t>YJVDRDLR</t>
  </si>
  <si>
    <t xml:space="preserve">Buckingham  theorem; Building thermal balance; Dimensionless parameters; Dynamic simulations; </t>
  </si>
  <si>
    <t>YK5PF4UG</t>
  </si>
  <si>
    <t xml:space="preserve">Double Cantilever Beam; Dynamic effects; Fracture toughness; High loading rates; Quasi-static analysis; </t>
  </si>
  <si>
    <t>YPBYLFX5</t>
  </si>
  <si>
    <t xml:space="preserve">Discharge coefficient; Regression; Sill; Sluice gate; </t>
  </si>
  <si>
    <t>YTGLA9S3</t>
  </si>
  <si>
    <t xml:space="preserve">Empirical formulas; Serrated seawalls; Slotted seawalls; SPSS; Wave hydrodynamics; </t>
  </si>
  <si>
    <t>YTJUPK5Q</t>
  </si>
  <si>
    <t xml:space="preserve">Aeration; Oxygen transfer; Pooled circular stepped cascade; Standard aeration efficiency; </t>
  </si>
  <si>
    <t>YVI98GRC</t>
  </si>
  <si>
    <t xml:space="preserve">Heat transfer; Laminar flow; Newtonian fluid; Spiral coil; </t>
  </si>
  <si>
    <t>YVRK8EUU</t>
  </si>
  <si>
    <t xml:space="preserve">FORM; Internal corrosion; Neural networks; Regression; Reliability; </t>
  </si>
  <si>
    <t>YVZX58HG</t>
  </si>
  <si>
    <t xml:space="preserve">Central composite design; Hydroelectricity; Optimization; Pico-hydro; Response surface methodology; Turgo turbine; </t>
  </si>
  <si>
    <t>YYL57MJC</t>
  </si>
  <si>
    <t xml:space="preserve">Dielectric fluid; Immersion cooling; Metal foam; Pool boiling; Predictive model; </t>
  </si>
  <si>
    <t>YZQVEDZ9</t>
  </si>
  <si>
    <t xml:space="preserve">Britter and McQuaid workbook; Chlorine field experiment; Dense gas dispersion; Jack Rabbit II; Model evaluation; </t>
  </si>
  <si>
    <t>YZTV99UH</t>
  </si>
  <si>
    <t xml:space="preserve">Floating intake; Nonlinearly stratified reservoir; Outflow temperature; PIV; Selective withdrawal; </t>
  </si>
  <si>
    <t>Z2M48ILL</t>
  </si>
  <si>
    <t xml:space="preserve">Blasting; Dynamic fracturing; FDEM; Pulsed power; Waterless stimulation; </t>
  </si>
  <si>
    <t>Z5BLWMJ7</t>
  </si>
  <si>
    <t xml:space="preserve">Denaturation/aggregation; Dimensional analysis; Food processing; Fouling; Kinetics; Mathematical modelling; </t>
  </si>
  <si>
    <t>Z72T43VK</t>
  </si>
  <si>
    <t xml:space="preserve">Anaerobic digestion; Euler-Lagrange; Grid independence; Lattice-Boltzmann; Non-Newtonian; OpenLB; </t>
  </si>
  <si>
    <t>Z7UQ3AEF</t>
  </si>
  <si>
    <t xml:space="preserve">Dimension analysis; Hierarchy; Measurement metrics; Power law; Similitude; Spatiotemporal data; </t>
  </si>
  <si>
    <t>ZC8SAJEX</t>
  </si>
  <si>
    <t xml:space="preserve">Drift flux model; Drift velocity; High-viscosity oil; Inclined pipes; Multiphase flow; Taylor bubble; </t>
  </si>
  <si>
    <t>ZHZE6D8Z</t>
  </si>
  <si>
    <t xml:space="preserve">Cold-formed steel frame; Cold-formed steel framing shear wall; Floor-by-floor assembling; Multi-story building; Seismic performance; Shake table test; </t>
  </si>
  <si>
    <t>ZLN4JEKE</t>
  </si>
  <si>
    <t xml:space="preserve">Cross-laminated timber; Fire resistance; Floor; Scale model; Similarity; </t>
  </si>
  <si>
    <t>ZNTXWAZD</t>
  </si>
  <si>
    <t xml:space="preserve">Flow around the perforated tube; Gas–liquid two-phase flow; Separation characteristics; Wake region; </t>
  </si>
  <si>
    <t>ZTED2BNW</t>
  </si>
  <si>
    <t xml:space="preserve">Filtration efficiency; Flow rate; Head loss; Model; Sediment content; </t>
  </si>
  <si>
    <t>ZVJ9LDPZ</t>
  </si>
  <si>
    <t xml:space="preserve">Capillary tubes; Expansion devices; Refrigeration; Statistics; Two-phase flow; </t>
  </si>
  <si>
    <t>ZVZ2BI5S</t>
  </si>
  <si>
    <t xml:space="preserve">Bayesian entropy; Discharge coefficient; Information theory; Invasive weed optimization; Morning glory spillways; Support vector regression; </t>
  </si>
  <si>
    <t>ZY9HU8N9</t>
  </si>
  <si>
    <t xml:space="preserve">Coiled flow inverter; Continuous processing; Helical coil tube; Particle handling; Residence time distribution; Suspension flow behavior; </t>
  </si>
  <si>
    <t>Hota, Rudra Narayan; Syed, Shahanaz; Krishna, P. Radha</t>
  </si>
  <si>
    <t>Inspected</t>
  </si>
  <si>
    <t>Double Check</t>
  </si>
  <si>
    <t>To close read the entire document.</t>
  </si>
  <si>
    <t>FLT-016</t>
  </si>
  <si>
    <t>QF-01</t>
  </si>
  <si>
    <t>QF-02</t>
  </si>
  <si>
    <t>QF-03</t>
  </si>
  <si>
    <t>QF-04</t>
  </si>
  <si>
    <t>QF-05</t>
  </si>
  <si>
    <t>QF-06</t>
  </si>
  <si>
    <t xml:space="preserve"> Score</t>
  </si>
  <si>
    <t>PS-04</t>
  </si>
  <si>
    <t>PS-05</t>
  </si>
  <si>
    <t>PS-06</t>
  </si>
  <si>
    <t>UMFDQ7P5</t>
  </si>
  <si>
    <t>3IFNFBS7</t>
  </si>
  <si>
    <t>55RR4PSV</t>
  </si>
  <si>
    <t>AC5DH5AY</t>
  </si>
  <si>
    <t>X59BM33R</t>
  </si>
  <si>
    <t>Computational forces in the Linpack benchmark</t>
  </si>
  <si>
    <t>Computational forces in the SAGE benchmark</t>
  </si>
  <si>
    <t>Dimensional Analysis Applied to a Parallel QR Algorithm</t>
  </si>
  <si>
    <t>Parallel Processing and Applied Mathematics</t>
  </si>
  <si>
    <t>10.1016/j.jpdc.2008.02.008</t>
  </si>
  <si>
    <t>10.1007/s11227-009-0273-x</t>
  </si>
  <si>
    <t>10.1007/s11227-007-0145-1</t>
  </si>
  <si>
    <t>10.1016/j.jpdc.2008.12.001</t>
  </si>
  <si>
    <t>10.1007/978-3-540-68111-3_16</t>
  </si>
  <si>
    <t>URL</t>
  </si>
  <si>
    <t>https://doi.org/10.1007/s00450-010-0147-8</t>
  </si>
  <si>
    <t>https://www.sciencedirect.com/science/article/pii/S074373150800035X</t>
  </si>
  <si>
    <t>https://www.sciencedirect.com/science/article/pii/S0965997822001363</t>
  </si>
  <si>
    <t>https://doi.org/10.1007/s11227-007-0145-1</t>
  </si>
  <si>
    <t>https://www.sciencedirect.com/science/article/pii/S074373150800213X</t>
  </si>
  <si>
    <t>https://www.sciencedirect.com/science/article/pii/S0167819110001444</t>
  </si>
  <si>
    <t>Dimensional analysis reduces a complicated ten-parameter formula for the execution time of the Linpack benchmark to a simpler two-parameter formula. These two parameters are ratios of software forces and hardware forces that determine a self-similarity surface. Machines move along paths on this surface as the problem size and the number of processors change. Two machines scale the same way, they move along the same path, if they have the same hardware forces. To design efficient algorithms, the programmer must produce software forces large enough to overcome the hardware forces. Modern machines have larger hardware forces than older machines and are harder to program.</t>
  </si>
  <si>
    <t>We apply dimensional analysis to a formula for execution time for a QR algorithm from a paper by Henry and van de Geijn. We define a single efficiency surface that reduces performance analysis for this algorithm to an exercise in differential geometry. As the problem size and the number of processors change, different machines move along different paths on the surface determined by two computational forces specific to each machine. We show that computational force, also called computational intensity, is a unifying concept for understanding the performance of parallel numerical algorithms.</t>
  </si>
  <si>
    <t>Dimensional analysis; Scalability; Computational force; Computational intensity; Performance analysis; Linpack benchmark; Parallel numerical algorithms</t>
  </si>
  <si>
    <t>Performance analysis; Computational action norm; Computational energy spectrum; Principle of computational least action</t>
  </si>
  <si>
    <t>Impact Force; Instruction Sequence; Memory Bandwidth; Phase Portrait; Power Series Expansion</t>
  </si>
  <si>
    <t>Dimensional analysis; Computational force; Computational intensity; Parallel algorithms; Scaling; Benchmark analysis; Self-similarity</t>
  </si>
  <si>
    <t>Scalability; computational force; computational intensity; dimensional analysis; parallel numerical algorithms; performance analysis</t>
  </si>
  <si>
    <t>Type</t>
  </si>
  <si>
    <t>Venue</t>
  </si>
  <si>
    <t>Limitations</t>
  </si>
  <si>
    <t>Future Directions</t>
  </si>
  <si>
    <t>Available Date</t>
  </si>
  <si>
    <t>Journal Article</t>
  </si>
  <si>
    <t>Conference Paper</t>
  </si>
  <si>
    <t>CES of a Program</t>
  </si>
  <si>
    <t>CF in SAGE</t>
  </si>
  <si>
    <t>CF in Linpack</t>
  </si>
  <si>
    <t>DA applied to QR-Algo</t>
  </si>
  <si>
    <t>MS for CP and the PoCLA</t>
  </si>
  <si>
    <t>Reference Count</t>
  </si>
  <si>
    <t>Benchmark / Use Case</t>
  </si>
  <si>
    <t>Pi-Theo using Py</t>
  </si>
  <si>
    <t>SSim PMs</t>
  </si>
  <si>
    <t>CPA and Pi-Theo</t>
  </si>
  <si>
    <t>One-Sentence Summary</t>
  </si>
  <si>
    <t>Implementation of Buckingham's Pi Theorem Using Python</t>
  </si>
  <si>
    <t>Self-Similarity of Parallel Machines</t>
  </si>
  <si>
    <t>Computer Performance Analysis and the Pi Theorem</t>
  </si>
  <si>
    <t>The Computational Energy Spectrum of a Program as It Executes</t>
  </si>
  <si>
    <t>Computational Forces in the SAGE Benchmark</t>
  </si>
  <si>
    <t>The paper uses dimensional analysis to reduce the SAGE benchmark’s runtime model to a universal efficiency surface shaped by hardware and software force ratios.</t>
  </si>
  <si>
    <t>Computational Forces in the Linpack Benchmark</t>
  </si>
  <si>
    <t>Dimensional analysis is used to build a 3D efficiency surface from a parallel QR runtime model, enabling cross-platform performance comparisons.</t>
  </si>
  <si>
    <t>A Metric Space for Computer Programs and the Principle of Computational Least Action</t>
  </si>
  <si>
    <t>The paper defines a normed metric space for programs based on computational action, proposing that optimal programs follow a least-action principle similar to classical mechanics.</t>
  </si>
  <si>
    <t>This paper presents a Python-based method to automatically compute dimensionless pi-groups from physical variables using Buckingham’s Pi theorem.</t>
  </si>
  <si>
    <t>The paper introduces the mixing coefficient to classify parallel machines by decomposing Conjugate Gradient (CG) solver runtime into compute, memory, and communication components for dimensionless comparison.</t>
  </si>
  <si>
    <t>Key Concepts</t>
  </si>
  <si>
    <t>• Implements symbolic and numerical computation of dimensionless groups using Buckingham’s Pi Theorem. ✅</t>
  </si>
  <si>
    <t>• Parallel Conjugate Gradient (CG) solver. ✅</t>
  </si>
  <si>
    <t>• Linpack benchmark (dense matrix factorization). ✅</t>
  </si>
  <si>
    <t>• Parallel QR factorization routines. ✅</t>
  </si>
  <si>
    <t>• Data movement pattern (SAXPY). ✅</t>
  </si>
  <si>
    <t>• Uses dimensional analysis and mixing coefficients to compare machines. 🟡
• Decomposes CG solver runtime into core components. 🟡</t>
  </si>
  <si>
    <t>• Applies the Pi Theorem to performance metrics like latency, cache, and parallelism. ✅
• Develops dimensionless relationships using dimensional matrices. ✅</t>
  </si>
  <si>
    <t>• Applies Pi Theorem to simplify a 10-parameter runtime model. 🟡
• Defines four computational forces (2 software, 2 hardware). ✅</t>
  </si>
  <si>
    <t>• Python (SymPy, NumPy). ✅
• Jupyter Notebooks. ✅</t>
  </si>
  <si>
    <t>• Automatically generates valid π-groups. ✅
• Reproduces known physical dimensionless numbers. ✅</t>
  </si>
  <si>
    <t>• Limited to M, L, and T fundamental dimensions. ✅
• Not yet generalized to broader other physics dimensions (e.g.: electric current [A]). ✅</t>
  </si>
  <si>
    <t>• To extend to additional base dimensions (e.g., temperature, electric current). 🟡
• To distribute it as an educational or research tool. 🟡</t>
  </si>
  <si>
    <t>• Automated dimensional analysis. ✅
• Symbolic π-group computation. ✅</t>
  </si>
  <si>
    <t>• Classical five fluid mechanics examples (e.g., Reynolds number). ✅</t>
  </si>
  <si>
    <t>• Identifies machine equivalence via the mixing coefficient. ✅
• Validates performance self-similarity. ✅</t>
  </si>
  <si>
    <t>• Based on a single algorithm (CG solver). 🟡
• Limited to specific decomposition model. 🟡</t>
  </si>
  <si>
    <t>• To generalize to other solvers and system types. 🟡
• To apply mixing coefficient as a classification tool. 🟡</t>
  </si>
  <si>
    <t>• Mixing coefficient. ✅
• Machine equivalence classes. ✅
• Dimensionless runtime analysis. 🟡</t>
  </si>
  <si>
    <t>• PowerPC G5 instruction simulator. ✅
• Compiler-level instruction traces. ✅
• tracer tool AMBER. ✅</t>
  </si>
  <si>
    <t>• Shows many performance issues can be unified through dimensionless ratios. ✅
• Enables system comparison through self-similarity. ✅</t>
  </si>
  <si>
    <t>• Automate parameter discovery. 🟡
• Extend to irregular and hybrid workload patterns. 🟡</t>
  </si>
  <si>
    <t>• Shows optimized programs exhibit lower-action trajectories. ✅
• Introduces the energy spectrum as a way to visualize execution variability. ✅</t>
  </si>
  <si>
    <t>• Dependent on detailed, architecture-specific trace data. 🟡
• Limited to a single processor architecture. 🟡</t>
  </si>
  <si>
    <t>• Generalize the approach to modern multicore and heterogeneous architectures. 🟡
• Develop platform-independent tools to compute action. 🟡</t>
  </si>
  <si>
    <t>• Computational action. ✅
• Energy spectrum. ✅
• Principle of least action. ✅</t>
  </si>
  <si>
    <t>This paper applies the Pi Theorem to simplify Linpack’s runtime model and define four computational forces that shape a self-similarity surface for analysing performance.</t>
  </si>
  <si>
    <t>• Uses dimensional matrix methods to model parallel QR runtime behaviour. ✅
• Analyses execution as a composition of compute and communication costs. 🟡</t>
  </si>
  <si>
    <t>We define a normed metric space for computer programs and derive from it the Principle of Computational Least Action. In our model, programs follow trajectories determined by Newton's equation of motion in an abstract computational phase space and generate computational action as they evolve. A program's action norm is the L 1 -norm of its action function, and its distance from other programs is the distance derived from the action norm. The Principle of Computational Least Action states the goal of performance optimization as finding the program with the smallest action norm. We illustrate this principle by analysing a simple program.</t>
  </si>
  <si>
    <t>• Applies Newtonian mechanics to program behaviour. 🟡
• Defines a norm-based metric space using computational action. ✅</t>
  </si>
  <si>
    <t xml:space="preserve">Dimensional analysis; Bandwidth; Cache behaviour; Computational force; Computational intensity; Latency; Parallel algorithms; Performance analysis; Performance metrics; Pi Theorem; Scaling; </t>
  </si>
  <si>
    <t>This study applies the Pi Theorem to computer performance problems to reveal dimensionless relationships that unify latency, bandwidth, cache behaviour, and parallel efficiency.</t>
  </si>
  <si>
    <t>• Dimensional matrix construction. ✅
• Pi-group formulation. ✅
• Performance modelling. 🟡</t>
  </si>
  <si>
    <t>• Requires detailed knowledge of system parameters. 🟡
• Assumes scalable execution behaviour. 🟡</t>
  </si>
  <si>
    <t>• General system performance models (latency, cache behaviour, parallelism). ✅</t>
  </si>
  <si>
    <t>• Pi groups. ✅
• Dimensionless modelling. ✅
• Performance self-similarity. ✅</t>
  </si>
  <si>
    <t>This research defines a computational energy spectrum to analyse how energy use varies during program execution, supporting the principle of computational least action (a physics-based model).</t>
  </si>
  <si>
    <t>• Applies Hamiltonian mechanics to analyse instruction-level execution. 🟡
• Defines energy, mass, and computational action over time. ✅</t>
  </si>
  <si>
    <t>• Instruction-level behaviour on PowerPC architecture. ✅</t>
  </si>
  <si>
    <t>Dimensional analysis applied to a complicated timing formula for the SAGE benchmark yields new insight into the limits to scalability. A single surface, defined by two curvilinear coordinates, describes the parallel efficiency of the benchmark. Each machine, as a function of the number of processors, follows its own path on the surface determined by dimensionless ratios of hardware forces to software forces. Two machines with the same ratios follow the same path and are self-similar, even though the numerical value of each individual force may be different. For this benchmark, latency effects are unimportant relative to bandwidth effects because of the slab decomposition used to distribute the problem across processors. To a good first-order approximation, a single force ratio describes the efficiency as a function of the number of processors. A simpler model, with a single dimensionless exponent, describes the first-order behaviour of the computational power as a function of the number of processors.</t>
  </si>
  <si>
    <t>• Focused on weak scaling. 🟡
• Depends on machine-specific force definitions. 🟡</t>
  </si>
  <si>
    <t>• Extend to strong and hybrid scaling models. 🟡
• Improve path tracking across surfaces. 🟡</t>
  </si>
  <si>
    <t>• Computational forces. ✅
• Self-similarity surfaces. ✅
• Machine equivalence. ✅</t>
  </si>
  <si>
    <t>• Defines a 2D efficiency surface. ✅
• Enables force-based performance comparisons across systems. ✅</t>
  </si>
  <si>
    <t>• Benchmark-specific assumptions. 🟡
• Requires accurate modelling of parameters like α, β, γ. 🟡</t>
  </si>
  <si>
    <t>• Extend to other numerical benchmarks. 🟡
• Use geometric distance on the surface as a comparative metric. 🟡</t>
  </si>
  <si>
    <t>• Authors did not propose future work explicitly, but the use of notebooks and simplified interface strongly suggests educational and extensible applications.</t>
  </si>
  <si>
    <t>• No “Methodology” section exists; inferred from the CG decomposition and how the authors construct ratios and matrices.</t>
  </si>
  <si>
    <t>• “Dimensional ratios” not formally described as a tool, but evident from how execution time is normalized and restructured.</t>
  </si>
  <si>
    <t>• Suggested extensions are hinted at, e.g., “other algorithms,” but not formally proposed.</t>
  </si>
  <si>
    <t>• “Dimensionless runtime analysis” is a logical label based on how time components are compared via ratios.</t>
  </si>
  <si>
    <t>• “Performance modeling” is an interpretive summary of repeated Pi-group applications across different performance scenarios.</t>
  </si>
  <si>
    <t>• The authors never list limitations directly, but they mention the need for complete parameters and assume ideal scalability.</t>
  </si>
  <si>
    <t>• No formal future section; next steps are inferred based on dimensional modeling scope and need for automation.</t>
  </si>
  <si>
    <t>• The application of Hamiltonian mechanics is presented as theory, not methodology; inferred from structure and terminology (e.g., "kinetic energy," "action").</t>
  </si>
  <si>
    <t>• Limitations (trace detail, architecture specificity) are not labeled, but evident from dependence on PowerPC and simulation details.</t>
  </si>
  <si>
    <t>• Future work is not declared, but generalizing across platforms is an obvious implication from the narrow focus on G5.</t>
  </si>
  <si>
    <t>• No formal method section; the force model and dimensional ratios are shown via equations and figures.</t>
  </si>
  <si>
    <t>• The tools (e.g., curvilinear coordinates, matrix transforms) are mathematical rather than coded tools and not labeled explicitly.</t>
  </si>
  <si>
    <t>• Limitations inferred based on single-scaling regime and machine dependence; not addressed in a structured section.</t>
  </si>
  <si>
    <t>• No formal future work proposed; extensions to strong scaling and generalized architectures are natural extrapolations.</t>
  </si>
  <si>
    <t>• “SAGE benchmark” is a modeled system; no downloadable suite or standard test exists, so use case is reconstructed from context.</t>
  </si>
  <si>
    <t>• Timing model reduction and Pi Theorem application are not described as “methodology,” but follow same analytical structure as other Numrich works.</t>
  </si>
  <si>
    <t>• Force ratios are shown but never labeled as a specific "tool"; inferred based on how the performance model is reframed.</t>
  </si>
  <si>
    <t>• Assumptions like α, β, and γ are presented without critique; limitations inferred from reliance on hardcoded constants.</t>
  </si>
  <si>
    <t>• Geometric comparisons between machine paths are described visually but not developed into a research plan — inferred potential.</t>
  </si>
  <si>
    <t>• “Force-based modeling” is a synthesis based on combining forces with performance scaling; not labeled that way in the paper.</t>
  </si>
  <si>
    <t>• Idealized behavior and algorithm-specific focus are not problematized in the paper, but are clear from the simplified runtime model.</t>
  </si>
  <si>
    <t>• Extensions (to other routines, autotuning) not stated, but naturally follow from comparative performance framework.</t>
  </si>
  <si>
    <t>• “Cross-platform comparison” is a framing inferred from the authors’ use of performance surfaces across systems.</t>
  </si>
  <si>
    <t>• Newtonian mechanics are used as a formal analogy; no section labeled “methodology,” but method inferred from mathematical flow.</t>
  </si>
  <si>
    <t>• Highly abstract design is evident, but the author does not discuss practical deployment; limitation inferred.</t>
  </si>
  <si>
    <t>• Future use in optimization is not stated, but is a logical extrapolation from the action norm structure.</t>
  </si>
  <si>
    <t>• Analytical decomposition of runtime model. ✅
• Dimensional algebra techniques. ✅</t>
  </si>
  <si>
    <t>• Builds a 3D efficiency surface for QR. ✅
• Enables comparison of performance across machines. ✅</t>
  </si>
  <si>
    <t>• Assumes idealized execution. 🟡
• Specific to dense QR factorization. 🟡</t>
  </si>
  <si>
    <t>• Apply to other linear algebra algorithms. 🟡
• Integrate with autotuning frameworks. 🟡</t>
  </si>
  <si>
    <t>• Computational forces. ✅
• Efficiency surfaces. ✅
• Force-based performance modelling. 🟡</t>
  </si>
  <si>
    <t>• Dimensional matrix. ✅
• 3D efficiency surface. ✅
• Cross-platform comparison. 🟡</t>
  </si>
  <si>
    <t>https://link.springer.com/chapter/10.1007/978-3-540-68111-3_16</t>
  </si>
  <si>
    <t>• Abstract execution models. ✅
• Action norm calculations. ✅
• SAXPY operation example. ✅</t>
  </si>
  <si>
    <t>• Introduces a principle of least action for program execution. ✅
• Defines program distance in a performance metric space. ✅</t>
  </si>
  <si>
    <t>• Highly abstract and theoretical. 🟡
• May not directly apply to low-level architectural behaviour. 🟡</t>
  </si>
  <si>
    <t>• Extend to general workloads. 🟡
• Apply norm-based metrics to guide compiler or runtime optimization. 🟡</t>
  </si>
  <si>
    <t>• Computational action. ✅
• Normed performance space. ✅
• Principle of least action. ✅</t>
  </si>
  <si>
    <t>• Uses dimensional analysis to reduce the SAGE runtime model. 🟡
• Defines software and hardware force ratios to build a performance surface. 🟡</t>
  </si>
  <si>
    <t>• Dimensional matrices. 🟡
• Curvilinear coordinates. 🟡
• Analytical expressions for weak scaling. 🟡</t>
  </si>
  <si>
    <t>• Dimensional reduction. ✅
• Force ratios. 🟡
• Benchmark data from ASCI Red, Cray XT3, and IBM Blue Gene/L. ✅</t>
  </si>
  <si>
    <t>• SAGE benchmark (SAIC’s multidimensional hydrodynamics code with adaptive mesh refinement). 🟡</t>
  </si>
  <si>
    <t>• Dimensional ratios. 🟡
• Data from SGI Altix XE1300 and IBM Blade Cluster. ✅
• Execution time tak breakdown (compute, memory, and communication). ✅</t>
  </si>
  <si>
    <t>• Produces a universal efficiency surface across machines. ✅
• Classifies machines into equivalence classes via force ratios. ✅</t>
  </si>
  <si>
    <t>Methodology 🟡</t>
  </si>
  <si>
    <t>Tools 🟡</t>
  </si>
  <si>
    <t>Results 🟡</t>
  </si>
  <si>
    <t>Limitations 🟡</t>
  </si>
  <si>
    <t>Future Directions 🟡</t>
  </si>
  <si>
    <t>Benchmark / Use Case 🟡</t>
  </si>
  <si>
    <t>---</t>
  </si>
  <si>
    <t>Key Concepts 🟡</t>
  </si>
  <si>
    <t>NO</t>
  </si>
  <si>
    <t>• The scope is limited to a CG solver and this is implicit from the single-algorithm focus.
• No limitations section is labeled.</t>
  </si>
  <si>
    <t>FLT-017</t>
  </si>
  <si>
    <t>To qualify the document content</t>
  </si>
  <si>
    <t>Due to ensuring the document evidence</t>
  </si>
  <si>
    <t>RD-01</t>
  </si>
  <si>
    <t>RD-02</t>
  </si>
  <si>
    <t>RD-03</t>
  </si>
  <si>
    <t>RD-04</t>
  </si>
  <si>
    <t>RD-05</t>
  </si>
  <si>
    <t>RD-06</t>
  </si>
  <si>
    <t>RD-07</t>
  </si>
  <si>
    <t>RD-08</t>
  </si>
  <si>
    <t>N.A.</t>
  </si>
  <si>
    <t>Cites key DA sources and applies classical examples (e.g., Reynolds number).</t>
  </si>
  <si>
    <t>DA is the paper's main focus and purpose.</t>
  </si>
  <si>
    <t>Clearly states an implementation goal using the Pi-Theorem.</t>
  </si>
  <si>
    <t>Outlines and executes symbolic/numeric steps for π-group derivation.</t>
  </si>
  <si>
    <t>Validates the method by reproducing known π-groups.</t>
  </si>
  <si>
    <t>Notes current limitations (MLT only); proposes generalization.</t>
  </si>
  <si>
    <t>References prior DA-based performance studies and scaling laws.</t>
  </si>
  <si>
    <t>Central to defining self-similarity and machine classification.</t>
  </si>
  <si>
    <t>Objective is to model and compare machines using dimensional ratios.</t>
  </si>
  <si>
    <t>Decomposes performance using dimensional coefficients and runtime components.</t>
  </si>
  <si>
    <t>Includes benchmark results from real hardware for model support.</t>
  </si>
  <si>
    <t>Limited discussion of generalization beyond the CG solver.</t>
  </si>
  <si>
    <t>References foundational DA literature and the Pi-Theorem.</t>
  </si>
  <si>
    <t>DA is used to unify performance phenomena like cache and latency.</t>
  </si>
  <si>
    <t>States a modeling goal using π-groups for performance analysis.</t>
  </si>
  <si>
    <t>Builds dimensional matrices and identifies π-groups for metrics.</t>
  </si>
  <si>
    <t>Uses real system data to support normalized performance insights.</t>
  </si>
  <si>
    <t>Notes some assumptions but lacks deep discussion of limits.</t>
  </si>
  <si>
    <t>References computational energy analogies but not DA sources directly.</t>
  </si>
  <si>
    <t>Uses dimensional ideas (energy/action), but not in standard DA form.</t>
  </si>
  <si>
    <t>Goal is to describe execution using energy and computational action.</t>
  </si>
  <si>
    <t>Applies physical analogy without concrete DA modeling steps.</t>
  </si>
  <si>
    <t>Limited numeric analysis; no validation of dimensionless claims.</t>
  </si>
  <si>
    <t>Does not address applicability limits of the analogy-based model.</t>
  </si>
  <si>
    <t>Cites dimensional matrix formulations and scaling models.</t>
  </si>
  <si>
    <t>DA is used to define forces and generate performance surfaces.</t>
  </si>
  <si>
    <t>States modeling goal based on force-based performance analysis.</t>
  </si>
  <si>
    <t>Applies dimensional matrices to derive force ratios and curvilinear paths.</t>
  </si>
  <si>
    <t>Includes plotted efficiency surfaces; lacks broader validation.</t>
  </si>
  <si>
    <t>Does not explore generalization to other scaling regimes.</t>
  </si>
  <si>
    <t>Applies DA to simplify complex runtime expressions; references physical analogies.</t>
  </si>
  <si>
    <t>DA is key to deriving computational forces for Linpack performance.</t>
  </si>
  <si>
    <t>Modeling goal is to reduce the Linpack performance model using π-groups.</t>
  </si>
  <si>
    <t>Builds and simplifies a 10-parameter model into dimensionless form.</t>
  </si>
  <si>
    <t>Provides some benchmark data, but not full validation.</t>
  </si>
  <si>
    <t>Benchmark assumptions not critically discussed.</t>
  </si>
  <si>
    <t>DA is central to expressing QR algorithm behavior.</t>
  </si>
  <si>
    <t>Describes a modeling objective of analyzing QR performance via DA.</t>
  </si>
  <si>
    <t>Applies dimensional matrices to decompose compute and communication time.</t>
  </si>
  <si>
    <t>Builds theoretical performance surfaces but lacks numerical benchmarking.</t>
  </si>
  <si>
    <t>Does not address assumptions or boundaries of the QR-specific model.</t>
  </si>
  <si>
    <t>Refers to physics analogies (e.g., Newtonian action), not standard DA references.</t>
  </si>
  <si>
    <t>Dimensional thinking is present but not a main modeling device.</t>
  </si>
  <si>
    <t>Goal is to create a metric space for program behavior using least action.</t>
  </si>
  <si>
    <t>Uses analogical constructs, not stepwise DA techniques.</t>
  </si>
  <si>
    <t>No numerical support or system-level validation provided.</t>
  </si>
  <si>
    <t>Highly abstract; lacks reflection on limits or practical scope.</t>
  </si>
  <si>
    <t>Uses dimensional reasoning in modeling but does not cite Görtler or canonical DA references.</t>
  </si>
  <si>
    <t>QF-01 ~ QF-06</t>
  </si>
  <si>
    <t>SD-01, SD-02, and SD-03</t>
  </si>
  <si>
    <t>SD-01, SD-04, SMD-05, and SMD-02</t>
  </si>
  <si>
    <t>SD-10</t>
  </si>
  <si>
    <t>SD-01 ~ SD-10 and SMD-01 ~ SMD-06</t>
  </si>
  <si>
    <t>Words</t>
  </si>
  <si>
    <t>Types</t>
  </si>
  <si>
    <t>Ratio</t>
  </si>
  <si>
    <t>Words/Sentence</t>
  </si>
  <si>
    <t>doi:10.1016/j.jpdc.2008.02.008</t>
  </si>
  <si>
    <t>Comment</t>
  </si>
  <si>
    <t>Highest readability score, distinctive use of Python and mathematical symbols (π, ρ)</t>
  </si>
  <si>
    <t>Notable for parallel computing terms and unique coefficient analysis</t>
  </si>
  <si>
    <t>PS-03 - Numrich - 2014</t>
  </si>
  <si>
    <t>Longest document, extensive use of cache analysis terms</t>
  </si>
  <si>
    <t>PS-04 - Numrich - 2009</t>
  </si>
  <si>
    <t>Focus on computational forces with unique mathematical notation</t>
  </si>
  <si>
    <t>Shortest document but highest vocabulary diversity</t>
  </si>
  <si>
    <t>Focus on dimensional analysis with QR-specific terminology</t>
  </si>
  <si>
    <t>Voyant Name</t>
  </si>
  <si>
    <t>dimensional</t>
  </si>
  <si>
    <t>efficiency</t>
  </si>
  <si>
    <t>machine*</t>
  </si>
  <si>
    <t>analysis*</t>
  </si>
  <si>
    <t>parameter*</t>
  </si>
  <si>
    <t>function*</t>
  </si>
  <si>
    <t>surface*</t>
  </si>
  <si>
    <t>parameters</t>
  </si>
  <si>
    <t>Topic</t>
  </si>
  <si>
    <t>Key Terms</t>
  </si>
  <si>
    <t>Focus Area</t>
  </si>
  <si>
    <t>Suggested Label</t>
  </si>
  <si>
    <t>Dimensional Analysis &amp; Theorems</t>
  </si>
  <si>
    <t>DIMTHEO - Dimensional Theory &amp; Mathematical Foundations</t>
  </si>
  <si>
    <t>Forces &amp; Quantities</t>
  </si>
  <si>
    <t>FORQUAN - Forces &amp; Quantitative Measurements</t>
  </si>
  <si>
    <t>Hardware &amp; Machine Characteristics</t>
  </si>
  <si>
    <t>HWARCH - Hardware Architecture &amp; System Components</t>
  </si>
  <si>
    <t>Computational Analysis &amp; Efficiency</t>
  </si>
  <si>
    <t>COMPEFF - Computational Efficiency Analysis</t>
  </si>
  <si>
    <t>Processor Communication &amp; Models</t>
  </si>
  <si>
    <t>PROCMOD - Processor Models &amp; Communication Patterns</t>
  </si>
  <si>
    <t>Primary Focus</t>
  </si>
  <si>
    <t>TOP-01</t>
  </si>
  <si>
    <t>TOP-02</t>
  </si>
  <si>
    <t>TOP-03</t>
  </si>
  <si>
    <t>TOP-04</t>
  </si>
  <si>
    <t>TOP-05</t>
  </si>
  <si>
    <t>Label</t>
  </si>
  <si>
    <t>DIMTHEO</t>
  </si>
  <si>
    <t>FORQUAN</t>
  </si>
  <si>
    <t>HWARCH</t>
  </si>
  <si>
    <t>COMPEFF</t>
  </si>
  <si>
    <t>PROCMOD</t>
  </si>
  <si>
    <t>Dimensional Analysis Python tool</t>
  </si>
  <si>
    <t>Processor Models &amp; Forces in SAGE benchmark</t>
  </si>
  <si>
    <t>Computational &amp; Processor Analysis between clusters</t>
  </si>
  <si>
    <t>Dimensional Analysis &amp; Computational performance/efficiency</t>
  </si>
  <si>
    <t>Analysis &amp; Forces in Linpack benchmark</t>
  </si>
  <si>
    <t>Hardware &amp; Machines models using Dimensional Analysis</t>
  </si>
  <si>
    <t>Primary Categories</t>
  </si>
  <si>
    <t>Justification</t>
  </si>
  <si>
    <t>CAT-01, CAT-02, CAT-03</t>
  </si>
  <si>
    <t>CAT-01, CAT-04</t>
  </si>
  <si>
    <t>CAT-01, CAT-02, CAT-04</t>
  </si>
  <si>
    <t>CAT-02, CAT-03, CAT-04</t>
  </si>
  <si>
    <t>• Topics (CAT-01): Parallel computing and machine similarity (highest machine* frequency 0.0097)
• Outcomes (CAT-04): Focus on analytical results (36.38% computational analysis, 36.29% processor analysis)</t>
  </si>
  <si>
    <t>• Topics (CAT-01): Performance analysis and Pi Theorem (32.86% dimensional theory)
• Methods (CAT-02): Analytical approaches (highest analysis frequency 0.0044)
• Outcomes (CAT-04): Mixed focus on computational results (28.95%)</t>
  </si>
  <si>
    <t>• Methods (CAT-02): Computational analysis methods
• Tools (CAT-03): SAGE benchmark system
• Outcomes (CAT-04): Focus on forces and processor models (42.57% processor models)</t>
  </si>
  <si>
    <t>• Methods (CAT-02): Computational force analysis
• Tools (CAT-03): Linpack benchmark system
• Outcomes (CAT-04): Mixed focus on analysis (37.71%) and forces (32.19%)</t>
  </si>
  <si>
    <t>• Topics (CAT-01): Dimensional analysis in parallel computing
• Methods (CAT-02): QR Algorithm application
• Tools (CAT-03): Focus on hardware/machines (42.86% hardware focus)</t>
  </si>
  <si>
    <t>• Topics (CAT-01): Dimensional analysis and Pi theorem (74.95% topic focus, highest dimensional* frequency 0.0112)
• Methods (CAT-02): Implementation methodology using Python
• Tools (CAT-03): Python as primary implementation tool, focus on programming (key terms: python)</t>
  </si>
  <si>
    <t>Category ID</t>
  </si>
  <si>
    <t>Category Name</t>
  </si>
  <si>
    <t>dimensional, theorem, variables, array, physical, terms, pi, primary, problems, π</t>
  </si>
  <si>
    <t>formula, forces, dimensional, quantities, surface, different, γ, work, bandwidth, power</t>
  </si>
  <si>
    <t>length, unit, force, hardware, byte, machines, dimensions, software, machine, quantity</t>
  </si>
  <si>
    <t>analysis, parameters, computational, algorithm, matrix, processors, self, efficiency, units, paper</t>
  </si>
  <si>
    <t>processor, function, similar, communication, model, fraction, count, bc, cells, effects</t>
  </si>
  <si>
    <t>Doc ID</t>
  </si>
  <si>
    <t>Count of Category ID</t>
  </si>
  <si>
    <t>Sheet Name</t>
  </si>
  <si>
    <t>00 - README</t>
  </si>
  <si>
    <t>Main introduction and meta-information about the spreadsheet.</t>
  </si>
  <si>
    <t>01A - Data Profiles</t>
  </si>
  <si>
    <t>Overview of sources, queries, and metadata profiles.</t>
  </si>
  <si>
    <t>01B - QryStr</t>
  </si>
  <si>
    <t>Final search strings and query structures used in the SLR.</t>
  </si>
  <si>
    <t>01C - Mapping Cats</t>
  </si>
  <si>
    <t>02A - ACM Dlib Data</t>
  </si>
  <si>
    <t>02B - ASME Dlib Data</t>
  </si>
  <si>
    <t>Records retrieved from the ASME Digital Collection.</t>
  </si>
  <si>
    <t>02C - IEEE Xplore Data</t>
  </si>
  <si>
    <t>02D - Science Direct Data</t>
  </si>
  <si>
    <t>02E - Springer Nature|Link Data</t>
  </si>
  <si>
    <t>03A - Qry Basics</t>
  </si>
  <si>
    <t>03B - Qry Stats</t>
  </si>
  <si>
    <t>03C - Selection Pro</t>
  </si>
  <si>
    <t>03D - PS QF Score</t>
  </si>
  <si>
    <t>03E - SLR Filter Count</t>
  </si>
  <si>
    <t>04A - PS Summary</t>
  </si>
  <si>
    <t>04B - PS Inferences</t>
  </si>
  <si>
    <t>05A - PS Analitics</t>
  </si>
  <si>
    <t>05B - Token Trends</t>
  </si>
  <si>
    <t>05C - PS Topics</t>
  </si>
  <si>
    <t>Topic modeling results or topic clusters of primary studies.</t>
  </si>
  <si>
    <t>05E - PS Cats Map</t>
  </si>
  <si>
    <t>99 - Extras</t>
  </si>
  <si>
    <t>Records retrieved from the ACM Digital Library.</t>
  </si>
  <si>
    <t>Records retrieved from IEEE Xplore.</t>
  </si>
  <si>
    <t>Records retrieved from Elsevier’s ScienceDirect platform.</t>
  </si>
  <si>
    <t>Records retrieved from Springer Nature/Link.</t>
  </si>
  <si>
    <t>Basic stats and top-level analysis of query hits at 2020 and 2024.</t>
  </si>
  <si>
    <t>Top-level summary statistics for academic soruces query.</t>
  </si>
  <si>
    <t>Quality Feature score for Relevant Documents (RD) to select the final Primary Studies (PS).</t>
  </si>
  <si>
    <t>Screening process (steps) with the inclusion/exclusion criteria.</t>
  </si>
  <si>
    <t>Document count filtered by inclusion/exclusion criteria and quality feature score applied across the SLR steps.</t>
  </si>
  <si>
    <t>One-line summaries, sigificant data, and metadata of the final primary studies.</t>
  </si>
  <si>
    <t>Inferred insights and data extrapolations from primary studies.</t>
  </si>
  <si>
    <t>Chart</t>
  </si>
  <si>
    <t>Table</t>
  </si>
  <si>
    <t>Notes, references, and auxiliary tables for analysis or backups.</t>
  </si>
  <si>
    <t>05A - PS Analitics Chart</t>
  </si>
  <si>
    <t>05B - Token Trends TOP5</t>
  </si>
  <si>
    <t>05B - Token Trends TOP7</t>
  </si>
  <si>
    <t>05E - PS Cats Map Chart</t>
  </si>
  <si>
    <t>Quantitative and comparative analytics across primary studies with NLP in Voyant (readability, length, unique vocabulary, etc.).</t>
  </si>
  <si>
    <t>NLP token trends and term frequency tracking across primary studies.</t>
  </si>
  <si>
    <t>Chart with the NLP for the primary sutudies.</t>
  </si>
  <si>
    <t>Chart with a custom query for the 7 tokens across all primary studies.</t>
  </si>
  <si>
    <t>Chart with the TOP 5 tokens across all primary studies.</t>
  </si>
  <si>
    <t>Chart with the primary studies category count.</t>
  </si>
  <si>
    <t>Mapping between categories and primary studies extracted topics using Voyant.</t>
  </si>
  <si>
    <t>05D - PS Categories</t>
  </si>
  <si>
    <t>Classification tags or taxonomy of the primary studies according to the category map</t>
  </si>
  <si>
    <t>Category map (categories/classification) for the primary studies in the SLR (based keywords).</t>
  </si>
  <si>
    <t>Query Results after period + availabilty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</si>
</sst>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
      <i/>
      <sz val="11"/>
      <color theme="1"/>
      <name val="Calibri"/>
      <family val="2"/>
      <scheme val="minor"/>
    </font>
    <font>
      <u/>
      <sz val="11"/>
      <color theme="10"/>
      <name val="Calibri"/>
      <family val="2"/>
      <scheme val="minor"/>
    </font>
    <font>
      <b/>
      <i/>
      <sz val="11"/>
      <color theme="1"/>
      <name val="Calibri"/>
      <family val="2"/>
      <scheme val="minor"/>
    </font>
    <font>
      <sz val="11"/>
      <color rgb="FF9C5700"/>
      <name val="Calibri"/>
      <family val="2"/>
      <scheme val="minor"/>
    </font>
    <font>
      <b/>
      <sz val="11"/>
      <color rgb="FF000000"/>
      <name val="Calibri"/>
      <family val="2"/>
      <scheme val="minor"/>
    </font>
    <font>
      <b/>
      <sz val="11"/>
      <color rgb="FF000000"/>
      <name val="Calibri"/>
      <family val="2"/>
    </font>
    <font>
      <b/>
      <sz val="16"/>
      <color theme="1"/>
      <name val="Calibri"/>
      <family val="2"/>
      <scheme val="minor"/>
    </font>
    <font>
      <b/>
      <i/>
      <sz val="16"/>
      <name val="Calibri"/>
      <family val="2"/>
      <scheme val="minor"/>
    </font>
    <font>
      <sz val="16"/>
      <name val="Calibri"/>
      <family val="2"/>
      <scheme val="minor"/>
    </font>
    <font>
      <sz val="11"/>
      <color rgb="FF9C0006"/>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FFEB9C"/>
      </patternFill>
    </fill>
    <fill>
      <patternFill patternType="solid">
        <fgColor rgb="FFFFC7CE"/>
      </patternFill>
    </fill>
    <fill>
      <patternFill patternType="solid">
        <fgColor theme="8"/>
        <bgColor indexed="64"/>
      </patternFill>
    </fill>
    <fill>
      <patternFill patternType="solid">
        <fgColor theme="0" tint="-0.14999847407452621"/>
        <bgColor theme="0" tint="-0.14999847407452621"/>
      </patternFill>
    </fill>
  </fills>
  <borders count="7">
    <border>
      <left/>
      <right/>
      <top/>
      <bottom/>
      <diagonal/>
    </border>
    <border>
      <left/>
      <right/>
      <top style="thin">
        <color theme="1"/>
      </top>
      <bottom style="thin">
        <color theme="1"/>
      </bottom>
      <diagonal/>
    </border>
    <border>
      <left/>
      <right/>
      <top/>
      <bottom style="thin">
        <color theme="1"/>
      </bottom>
      <diagonal/>
    </border>
    <border>
      <left/>
      <right/>
      <top style="thin">
        <color indexed="64"/>
      </top>
      <bottom style="double">
        <color indexed="64"/>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8" fillId="3" borderId="0" applyNumberFormat="0" applyBorder="0" applyAlignment="0" applyProtection="0"/>
    <xf numFmtId="0" fontId="14" fillId="4" borderId="0" applyNumberFormat="0" applyBorder="0" applyAlignment="0" applyProtection="0"/>
  </cellStyleXfs>
  <cellXfs count="79">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0" xfId="1" applyFill="1" applyAlignment="1">
      <alignment horizontal="center" vertical="center" wrapText="1"/>
    </xf>
    <xf numFmtId="0" fontId="0" fillId="0" borderId="0" xfId="0" applyAlignment="1">
      <alignment wrapText="1"/>
    </xf>
    <xf numFmtId="164" fontId="0" fillId="0" borderId="0" xfId="0" applyNumberFormat="1" applyAlignment="1">
      <alignment horizontal="center" vertical="center"/>
    </xf>
    <xf numFmtId="1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5" fillId="0" borderId="0" xfId="0" applyFont="1" applyAlignment="1">
      <alignment horizontal="center" vertical="center" wrapText="1"/>
    </xf>
    <xf numFmtId="0" fontId="0" fillId="2" borderId="0" xfId="0" applyFill="1" applyAlignment="1">
      <alignment horizontal="center" vertical="center" wrapText="1"/>
    </xf>
    <xf numFmtId="2" fontId="7"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2" fillId="0" borderId="0" xfId="0" applyFont="1" applyAlignment="1">
      <alignment horizontal="center" vertical="center" wrapText="1"/>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vertical="center"/>
    </xf>
    <xf numFmtId="0" fontId="2" fillId="0" borderId="0" xfId="0" applyFont="1"/>
    <xf numFmtId="14" fontId="0" fillId="0" borderId="0" xfId="0" applyNumberFormat="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5" xfId="0" applyBorder="1" applyAlignment="1">
      <alignment horizontal="center" vertical="center"/>
    </xf>
    <xf numFmtId="10" fontId="0" fillId="0" borderId="0" xfId="0" applyNumberFormat="1" applyAlignment="1">
      <alignment horizontal="center" vertical="center"/>
    </xf>
    <xf numFmtId="10" fontId="0" fillId="0" borderId="0" xfId="0" applyNumberFormat="1" applyAlignment="1">
      <alignment horizontal="center" vertical="center" wrapText="1"/>
    </xf>
    <xf numFmtId="0" fontId="13" fillId="0" borderId="0" xfId="0" applyFont="1" applyAlignment="1">
      <alignment horizontal="center" vertical="center"/>
    </xf>
    <xf numFmtId="0" fontId="2" fillId="0" borderId="0" xfId="2" applyFont="1" applyFill="1" applyBorder="1" applyAlignment="1">
      <alignment horizontal="center" vertical="center"/>
    </xf>
    <xf numFmtId="14" fontId="2" fillId="0" borderId="0" xfId="0" applyNumberFormat="1" applyFont="1" applyAlignment="1">
      <alignment horizontal="center" vertical="center" wrapText="1"/>
    </xf>
    <xf numFmtId="14" fontId="3" fillId="0" borderId="0" xfId="0" applyNumberFormat="1" applyFont="1" applyAlignment="1">
      <alignment horizontal="center" vertical="center"/>
    </xf>
    <xf numFmtId="14" fontId="0" fillId="0" borderId="0" xfId="0" applyNumberForma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14" fontId="0" fillId="0" borderId="0" xfId="0" applyNumberFormat="1" applyAlignment="1">
      <alignment wrapText="1"/>
    </xf>
    <xf numFmtId="0" fontId="1" fillId="0" borderId="0" xfId="0" applyFont="1" applyAlignment="1">
      <alignment vertical="center" wrapText="1"/>
    </xf>
    <xf numFmtId="0" fontId="0" fillId="0" borderId="0" xfId="0" applyAlignment="1">
      <alignment horizontal="left" wrapText="1"/>
    </xf>
    <xf numFmtId="49" fontId="1" fillId="0" borderId="1"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0" fillId="0" borderId="0" xfId="0" applyNumberFormat="1" applyAlignment="1">
      <alignment horizontal="left" wrapText="1"/>
    </xf>
    <xf numFmtId="49" fontId="0" fillId="0" borderId="0" xfId="0" applyNumberFormat="1"/>
    <xf numFmtId="49" fontId="2" fillId="0" borderId="0" xfId="0" applyNumberFormat="1" applyFont="1" applyAlignment="1">
      <alignment horizontal="left" wrapText="1"/>
    </xf>
    <xf numFmtId="0" fontId="0" fillId="0" borderId="0" xfId="0" quotePrefix="1" applyAlignment="1">
      <alignment horizontal="center" vertical="center" wrapText="1"/>
    </xf>
    <xf numFmtId="0" fontId="0" fillId="0" borderId="2" xfId="0" applyBorder="1" applyAlignment="1">
      <alignment horizontal="center" vertical="center" wrapText="1"/>
    </xf>
    <xf numFmtId="0" fontId="14" fillId="4" borderId="0" xfId="3" applyAlignment="1">
      <alignment horizontal="center" vertical="center" wrapText="1"/>
    </xf>
    <xf numFmtId="2" fontId="14" fillId="4" borderId="0" xfId="3" applyNumberFormat="1" applyAlignment="1">
      <alignment horizontal="center" vertical="center"/>
    </xf>
    <xf numFmtId="0" fontId="14" fillId="4" borderId="0" xfId="3" applyAlignment="1">
      <alignment horizontal="left" vertical="center" wrapText="1"/>
    </xf>
    <xf numFmtId="14" fontId="14" fillId="4" borderId="0" xfId="3" applyNumberFormat="1" applyAlignment="1">
      <alignment horizontal="center" vertical="center"/>
    </xf>
    <xf numFmtId="0" fontId="14" fillId="4" borderId="0" xfId="3" applyAlignment="1">
      <alignment horizontal="center" vertical="center"/>
    </xf>
    <xf numFmtId="0" fontId="14" fillId="4" borderId="0" xfId="3" applyAlignment="1">
      <alignment vertical="center" wrapText="1"/>
    </xf>
    <xf numFmtId="0" fontId="14" fillId="4" borderId="0" xfId="3" applyBorder="1" applyAlignment="1">
      <alignment horizontal="center" vertical="center" wrapText="1"/>
    </xf>
    <xf numFmtId="0" fontId="14" fillId="4" borderId="0" xfId="3" quotePrefix="1" applyAlignment="1">
      <alignment horizontal="center" vertical="center" wrapText="1"/>
    </xf>
    <xf numFmtId="1" fontId="1" fillId="0" borderId="0" xfId="0" applyNumberFormat="1" applyFont="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2" fontId="1" fillId="0" borderId="4" xfId="0" applyNumberFormat="1" applyFont="1" applyBorder="1" applyAlignment="1">
      <alignment horizontal="center" vertical="center"/>
    </xf>
    <xf numFmtId="1" fontId="0" fillId="0" borderId="0" xfId="0" applyNumberFormat="1" applyAlignment="1">
      <alignment horizontal="center" vertical="center"/>
    </xf>
    <xf numFmtId="0" fontId="1" fillId="0" borderId="6" xfId="0" applyFont="1" applyBorder="1" applyAlignment="1">
      <alignment horizontal="center" vertical="center"/>
    </xf>
    <xf numFmtId="164" fontId="1" fillId="0" borderId="6" xfId="0" applyNumberFormat="1" applyFont="1" applyBorder="1" applyAlignment="1">
      <alignment horizontal="center" vertical="center"/>
    </xf>
    <xf numFmtId="2" fontId="1" fillId="0" borderId="6" xfId="0" applyNumberFormat="1" applyFont="1" applyBorder="1" applyAlignment="1">
      <alignment horizontal="center" vertical="center"/>
    </xf>
    <xf numFmtId="0" fontId="0" fillId="5" borderId="0" xfId="0" applyFill="1" applyAlignment="1">
      <alignment horizontal="center" vertical="center" wrapText="1"/>
    </xf>
    <xf numFmtId="0" fontId="5" fillId="5" borderId="0" xfId="0" applyFont="1" applyFill="1" applyAlignment="1">
      <alignment horizontal="center" vertical="center"/>
    </xf>
    <xf numFmtId="0" fontId="0" fillId="6" borderId="0" xfId="0" applyFill="1" applyAlignment="1">
      <alignment horizontal="center" vertical="center" wrapText="1"/>
    </xf>
    <xf numFmtId="0" fontId="0" fillId="6" borderId="2" xfId="0"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10" fillId="0" borderId="5" xfId="0" applyFont="1" applyBorder="1" applyAlignment="1">
      <alignment horizontal="center" vertical="center"/>
    </xf>
    <xf numFmtId="0" fontId="10" fillId="0" borderId="5" xfId="0" applyFont="1" applyBorder="1" applyAlignment="1">
      <alignment horizontal="center" vertical="center" wrapText="1"/>
    </xf>
    <xf numFmtId="0" fontId="12"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cellXfs>
  <cellStyles count="4">
    <cellStyle name="Bad" xfId="3" builtinId="27"/>
    <cellStyle name="Hyperlink" xfId="1" builtinId="8"/>
    <cellStyle name="Neutral" xfId="2" builtinId="28"/>
    <cellStyle name="Normal" xfId="0" builtinId="0"/>
  </cellStyles>
  <dxfs count="410">
    <dxf>
      <numFmt numFmtId="14" formatCode="0.00%"/>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indent="0" justifyLastLine="0" shrinkToFit="0" readingOrder="0"/>
    </dxf>
    <dxf>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border>
        <bottom style="double">
          <color indexed="64"/>
        </bottom>
      </border>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theme="0" tint="-0.14999847407452621"/>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numFmt numFmtId="164" formatCode="0.000"/>
      <alignment horizontal="center" vertical="center" textRotation="0" indent="0" justifyLastLine="0" shrinkToFit="0" readingOrder="0"/>
    </dxf>
    <dxf>
      <numFmt numFmtId="164" formatCode="0.000"/>
      <alignment horizontal="center" vertical="center" textRotation="0" wrapText="0" indent="0" justifyLastLine="0" shrinkToFit="0" readingOrder="0"/>
      <border diagonalUp="0" diagonalDown="0" outline="0">
        <left/>
        <right/>
        <top/>
        <bottom/>
      </border>
    </dxf>
    <dxf>
      <numFmt numFmtId="164" formatCode="0.000"/>
      <alignment horizontal="center" vertical="center" textRotation="0" indent="0" justifyLastLine="0" shrinkToFit="0" readingOrder="0"/>
    </dxf>
    <dxf>
      <numFmt numFmtId="2" formatCode="0.00"/>
      <alignment horizontal="center" vertical="center" textRotation="0" wrapText="0" indent="0" justifyLastLine="0" shrinkToFit="0" readingOrder="0"/>
      <border diagonalUp="0" diagonalDown="0" outline="0">
        <left/>
        <right/>
        <top/>
        <bottom/>
      </border>
    </dxf>
    <dxf>
      <numFmt numFmtId="164" formatCode="0.000"/>
      <alignment horizontal="center" vertical="center" textRotation="0" indent="0" justifyLastLine="0" shrinkToFit="0" readingOrder="0"/>
    </dxf>
    <dxf>
      <numFmt numFmtId="164" formatCode="0.000"/>
      <alignment horizontal="center" vertical="center" textRotation="0" wrapText="0" indent="0" justifyLastLine="0" shrinkToFit="0" readingOrder="0"/>
      <border diagonalUp="0" diagonalDown="0" outline="0">
        <left/>
        <right/>
        <top/>
        <bottom/>
      </border>
    </dxf>
    <dxf>
      <numFmt numFmtId="1" formatCode="0"/>
      <alignment horizontal="center" vertical="center" textRotation="0" indent="0" justifyLastLine="0" shrinkToFit="0" readingOrder="0"/>
    </dxf>
    <dxf>
      <font>
        <b/>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outline="0">
        <left/>
        <right/>
        <top/>
        <bottom/>
      </border>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bottom/>
      </border>
    </dxf>
    <dxf>
      <font>
        <i/>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19"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ill>
        <patternFill patternType="solid">
          <fgColor auto="1"/>
          <bgColor indexed="65"/>
        </patternFill>
      </fill>
    </dxf>
    <dxf>
      <border outline="0">
        <top style="thin">
          <color rgb="FF000000"/>
        </top>
      </border>
    </dxf>
    <dxf>
      <font>
        <strike val="0"/>
        <outline val="0"/>
        <shadow val="0"/>
        <u val="none"/>
        <vertAlign val="baseline"/>
        <sz val="11"/>
        <color rgb="FF000000"/>
        <name val="Calibri"/>
        <family val="2"/>
        <scheme val="none"/>
      </font>
      <fill>
        <patternFill patternType="none">
          <bgColor auto="1"/>
        </patternFill>
      </fill>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9" formatCode="m/d/yyyy"/>
      <fill>
        <patternFill patternType="none">
          <fgColor indexed="64"/>
          <bgColor auto="1"/>
        </patternFill>
      </fill>
      <alignment horizontal="center" vertical="center" textRotation="0" wrapText="0" indent="0" justifyLastLine="0" shrinkToFit="0" readingOrder="0"/>
    </dxf>
    <dxf>
      <numFmt numFmtId="19"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ill>
        <patternFill patternType="solid">
          <fgColor auto="1"/>
          <bgColor indexed="65"/>
        </patternFill>
      </fill>
    </dxf>
    <dxf>
      <border outline="0">
        <top style="thin">
          <color theme="1"/>
        </top>
      </border>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i/>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font>
      <numFmt numFmtId="2" formatCode="0.00"/>
      <alignment horizontal="center" vertical="center" textRotation="0" wrapText="0" indent="0" justifyLastLine="0" shrinkToFit="0" readingOrder="0"/>
    </dxf>
    <dxf>
      <numFmt numFmtId="2" formatCode="0.00"/>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right/>
        <top/>
        <bottom style="thin">
          <color theme="1"/>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i/>
      </font>
      <fill>
        <patternFill patternType="none">
          <bgColor auto="1"/>
        </patternFill>
      </fill>
      <alignment horizontal="center" vertical="center" textRotation="0" wrapText="1" indent="0" justifyLastLine="0" shrinkToFit="0" readingOrder="0"/>
    </dxf>
    <dxf>
      <border outline="0">
        <top style="thin">
          <color rgb="FF000000"/>
        </top>
      </border>
    </dxf>
    <dxf>
      <fill>
        <patternFill patternType="none">
          <bgColor auto="1"/>
        </patternFill>
      </fill>
      <alignment horizontal="center" vertical="center"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strike val="0"/>
        <outline val="0"/>
        <shadow val="0"/>
        <u val="none"/>
        <vertAlign val="baseline"/>
        <color auto="1"/>
        <name val="Calibri"/>
        <family val="2"/>
        <scheme val="minor"/>
      </font>
      <numFmt numFmtId="19" formatCode="m/d/yyyy"/>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30" formatCode="@"/>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30" formatCode="@"/>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color auto="1"/>
        <name val="Calibri"/>
        <family val="2"/>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bottom style="double">
          <color indexed="64"/>
        </bottom>
      </border>
    </dxf>
    <dxf>
      <alignment horizontal="center" vertical="center" textRotation="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theme="4" tint="0.39997558519241921"/>
        </top>
      </border>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hartsheet" Target="chartsheets/sheet1.xml"/><Relationship Id="rId26" Type="http://schemas.openxmlformats.org/officeDocument/2006/relationships/chartsheet" Target="chartsheets/sheet5.xml"/><Relationship Id="rId39" Type="http://schemas.openxmlformats.org/officeDocument/2006/relationships/customXml" Target="../customXml/item3.xml"/><Relationship Id="rId21" Type="http://schemas.openxmlformats.org/officeDocument/2006/relationships/chartsheet" Target="chartsheets/sheet3.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worksheet" Target="worksheets/sheet20.xml"/><Relationship Id="rId32" Type="http://schemas.openxmlformats.org/officeDocument/2006/relationships/sharedStrings" Target="sharedString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worksheet" Target="worksheets/sheet18.xml"/><Relationship Id="rId14" Type="http://schemas.openxmlformats.org/officeDocument/2006/relationships/worksheet" Target="worksheets/sheet14.xml"/><Relationship Id="rId22" Type="http://schemas.openxmlformats.org/officeDocument/2006/relationships/worksheet" Target="worksheets/sheet19.xml"/><Relationship Id="rId27" Type="http://schemas.openxmlformats.org/officeDocument/2006/relationships/worksheet" Target="worksheets/sheet22.xml"/><Relationship Id="rId30" Type="http://schemas.openxmlformats.org/officeDocument/2006/relationships/connections" Target="connections.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1.xml"/><Relationship Id="rId33" Type="http://schemas.openxmlformats.org/officeDocument/2006/relationships/sheetMetadata" Target="metadata.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chartsheet" Target="chartsheets/sheet2.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chartsheet" Target="chartsheets/sheet4.xml"/><Relationship Id="rId28" Type="http://schemas.openxmlformats.org/officeDocument/2006/relationships/pivotCacheDefinition" Target="pivotCache/pivotCacheDefinition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614770689553635E-2"/>
          <c:y val="6.0785964269319127E-2"/>
          <c:w val="0.89418742270969553"/>
          <c:h val="0.77744103502347339"/>
        </c:manualLayout>
      </c:layout>
      <c:lineChart>
        <c:grouping val="standard"/>
        <c:varyColors val="0"/>
        <c:ser>
          <c:idx val="0"/>
          <c:order val="0"/>
          <c:tx>
            <c:strRef>
              <c:f>'05A - PS Analitics'!$E$2</c:f>
              <c:strCache>
                <c:ptCount val="1"/>
                <c:pt idx="0">
                  <c:v>Words</c:v>
                </c:pt>
              </c:strCache>
            </c:strRef>
          </c:tx>
          <c:spPr>
            <a:ln w="28575" cap="rnd">
              <a:solidFill>
                <a:schemeClr val="accent1"/>
              </a:solidFill>
              <a:prstDash val="dash"/>
              <a:round/>
            </a:ln>
            <a:effectLst/>
          </c:spPr>
          <c:marker>
            <c:symbol val="circle"/>
            <c:size val="5"/>
            <c:spPr>
              <a:solidFill>
                <a:schemeClr val="accent1"/>
              </a:solidFill>
              <a:ln w="38100">
                <a:solidFill>
                  <a:schemeClr val="accent1"/>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Analitics'!$E$3:$E$8</c:f>
              <c:numCache>
                <c:formatCode>0</c:formatCode>
                <c:ptCount val="6"/>
                <c:pt idx="0">
                  <c:v>5778</c:v>
                </c:pt>
                <c:pt idx="1">
                  <c:v>10370</c:v>
                </c:pt>
                <c:pt idx="2">
                  <c:v>20765</c:v>
                </c:pt>
                <c:pt idx="3">
                  <c:v>9348</c:v>
                </c:pt>
                <c:pt idx="4">
                  <c:v>3246</c:v>
                </c:pt>
                <c:pt idx="5">
                  <c:v>6789</c:v>
                </c:pt>
              </c:numCache>
            </c:numRef>
          </c:val>
          <c:smooth val="0"/>
          <c:extLst>
            <c:ext xmlns:c16="http://schemas.microsoft.com/office/drawing/2014/chart" uri="{C3380CC4-5D6E-409C-BE32-E72D297353CC}">
              <c16:uniqueId val="{00000000-875E-4B92-A64F-3DFA439D54C5}"/>
            </c:ext>
          </c:extLst>
        </c:ser>
        <c:ser>
          <c:idx val="1"/>
          <c:order val="1"/>
          <c:tx>
            <c:strRef>
              <c:f>'05A - PS Analitics'!$F$2</c:f>
              <c:strCache>
                <c:ptCount val="1"/>
                <c:pt idx="0">
                  <c:v>Types</c:v>
                </c:pt>
              </c:strCache>
            </c:strRef>
          </c:tx>
          <c:spPr>
            <a:ln w="28575" cap="rnd">
              <a:solidFill>
                <a:schemeClr val="accent2"/>
              </a:solidFill>
              <a:prstDash val="dash"/>
              <a:round/>
            </a:ln>
            <a:effectLst/>
          </c:spPr>
          <c:marker>
            <c:symbol val="circle"/>
            <c:size val="5"/>
            <c:spPr>
              <a:solidFill>
                <a:schemeClr val="accent2"/>
              </a:solidFill>
              <a:ln w="38100">
                <a:solidFill>
                  <a:schemeClr val="accent2"/>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Analitics'!$F$3:$F$8</c:f>
              <c:numCache>
                <c:formatCode>0</c:formatCode>
                <c:ptCount val="6"/>
                <c:pt idx="0">
                  <c:v>1376</c:v>
                </c:pt>
                <c:pt idx="1">
                  <c:v>2230</c:v>
                </c:pt>
                <c:pt idx="2">
                  <c:v>3996</c:v>
                </c:pt>
                <c:pt idx="3">
                  <c:v>2106</c:v>
                </c:pt>
                <c:pt idx="4">
                  <c:v>1020</c:v>
                </c:pt>
                <c:pt idx="5">
                  <c:v>1606</c:v>
                </c:pt>
              </c:numCache>
            </c:numRef>
          </c:val>
          <c:smooth val="0"/>
          <c:extLst>
            <c:ext xmlns:c16="http://schemas.microsoft.com/office/drawing/2014/chart" uri="{C3380CC4-5D6E-409C-BE32-E72D297353CC}">
              <c16:uniqueId val="{00000001-875E-4B92-A64F-3DFA439D54C5}"/>
            </c:ext>
          </c:extLst>
        </c:ser>
        <c:ser>
          <c:idx val="2"/>
          <c:order val="2"/>
          <c:tx>
            <c:strRef>
              <c:f>'05A - PS Analitics'!$G$2</c:f>
              <c:strCache>
                <c:ptCount val="1"/>
                <c:pt idx="0">
                  <c:v>Ratio</c:v>
                </c:pt>
              </c:strCache>
            </c:strRef>
          </c:tx>
          <c:spPr>
            <a:ln w="19050" cap="rnd">
              <a:solidFill>
                <a:schemeClr val="accent3">
                  <a:lumMod val="75000"/>
                </a:schemeClr>
              </a:solidFill>
              <a:prstDash val="dash"/>
              <a:round/>
            </a:ln>
            <a:effectLst/>
          </c:spPr>
          <c:marker>
            <c:symbol val="circle"/>
            <c:size val="5"/>
            <c:spPr>
              <a:solidFill>
                <a:schemeClr val="accent3"/>
              </a:solidFill>
              <a:ln w="38100">
                <a:solidFill>
                  <a:schemeClr val="accent3">
                    <a:lumMod val="75000"/>
                  </a:schemeClr>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Analitics'!$G$3:$G$8</c:f>
              <c:numCache>
                <c:formatCode>0.000</c:formatCode>
                <c:ptCount val="6"/>
                <c:pt idx="0">
                  <c:v>0.23814468674281758</c:v>
                </c:pt>
                <c:pt idx="1">
                  <c:v>0.21504339440694312</c:v>
                </c:pt>
                <c:pt idx="2">
                  <c:v>0.19243920057789549</c:v>
                </c:pt>
                <c:pt idx="3">
                  <c:v>0.22528883183568676</c:v>
                </c:pt>
                <c:pt idx="4">
                  <c:v>0.3142329020332717</c:v>
                </c:pt>
                <c:pt idx="5">
                  <c:v>0.23655913978494625</c:v>
                </c:pt>
              </c:numCache>
            </c:numRef>
          </c:val>
          <c:smooth val="0"/>
          <c:extLst>
            <c:ext xmlns:c16="http://schemas.microsoft.com/office/drawing/2014/chart" uri="{C3380CC4-5D6E-409C-BE32-E72D297353CC}">
              <c16:uniqueId val="{00000002-875E-4B92-A64F-3DFA439D54C5}"/>
            </c:ext>
          </c:extLst>
        </c:ser>
        <c:ser>
          <c:idx val="3"/>
          <c:order val="3"/>
          <c:tx>
            <c:strRef>
              <c:f>'05A - PS Analitics'!$H$2</c:f>
              <c:strCache>
                <c:ptCount val="1"/>
                <c:pt idx="0">
                  <c:v>Words/Sentence</c:v>
                </c:pt>
              </c:strCache>
            </c:strRef>
          </c:tx>
          <c:spPr>
            <a:ln w="19050" cap="rnd">
              <a:solidFill>
                <a:schemeClr val="accent4"/>
              </a:solidFill>
              <a:prstDash val="dash"/>
              <a:round/>
            </a:ln>
            <a:effectLst/>
          </c:spPr>
          <c:marker>
            <c:symbol val="circle"/>
            <c:size val="5"/>
            <c:spPr>
              <a:solidFill>
                <a:schemeClr val="accent4"/>
              </a:solidFill>
              <a:ln w="38100">
                <a:solidFill>
                  <a:schemeClr val="accent4"/>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Analitics'!$H$3:$H$8</c:f>
              <c:numCache>
                <c:formatCode>0.000</c:formatCode>
                <c:ptCount val="6"/>
                <c:pt idx="0">
                  <c:v>25.45</c:v>
                </c:pt>
                <c:pt idx="1">
                  <c:v>22.35</c:v>
                </c:pt>
                <c:pt idx="2">
                  <c:v>26.9</c:v>
                </c:pt>
                <c:pt idx="3">
                  <c:v>26.41</c:v>
                </c:pt>
                <c:pt idx="4">
                  <c:v>29.24</c:v>
                </c:pt>
                <c:pt idx="5">
                  <c:v>26.11</c:v>
                </c:pt>
              </c:numCache>
            </c:numRef>
          </c:val>
          <c:smooth val="0"/>
          <c:extLst>
            <c:ext xmlns:c16="http://schemas.microsoft.com/office/drawing/2014/chart" uri="{C3380CC4-5D6E-409C-BE32-E72D297353CC}">
              <c16:uniqueId val="{00000003-875E-4B92-A64F-3DFA439D54C5}"/>
            </c:ext>
          </c:extLst>
        </c:ser>
        <c:ser>
          <c:idx val="4"/>
          <c:order val="4"/>
          <c:tx>
            <c:strRef>
              <c:f>'05A - PS Analitics'!$I$2</c:f>
              <c:strCache>
                <c:ptCount val="1"/>
                <c:pt idx="0">
                  <c:v>Readability Index</c:v>
                </c:pt>
              </c:strCache>
            </c:strRef>
          </c:tx>
          <c:spPr>
            <a:ln w="19050" cap="rnd">
              <a:solidFill>
                <a:schemeClr val="accent5"/>
              </a:solidFill>
              <a:prstDash val="dash"/>
              <a:round/>
            </a:ln>
            <a:effectLst/>
          </c:spPr>
          <c:marker>
            <c:symbol val="circle"/>
            <c:size val="5"/>
            <c:spPr>
              <a:solidFill>
                <a:schemeClr val="accent5"/>
              </a:solidFill>
              <a:ln w="38100">
                <a:solidFill>
                  <a:schemeClr val="accent5"/>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'05A - PS Analitics'!$I$3:$I$8</c:f>
              <c:numCache>
                <c:formatCode>0.000</c:formatCode>
                <c:ptCount val="6"/>
                <c:pt idx="0">
                  <c:v>23.052</c:v>
                </c:pt>
                <c:pt idx="1">
                  <c:v>12.413</c:v>
                </c:pt>
                <c:pt idx="2">
                  <c:v>15.583</c:v>
                </c:pt>
                <c:pt idx="3">
                  <c:v>12.651</c:v>
                </c:pt>
                <c:pt idx="4">
                  <c:v>12.619</c:v>
                </c:pt>
                <c:pt idx="5">
                  <c:v>14.256</c:v>
                </c:pt>
              </c:numCache>
            </c:numRef>
          </c:val>
          <c:smooth val="0"/>
          <c:extLst>
            <c:ext xmlns:c16="http://schemas.microsoft.com/office/drawing/2014/chart" uri="{C3380CC4-5D6E-409C-BE32-E72D297353CC}">
              <c16:uniqueId val="{00000000-06B2-44CC-A58A-B740913A836C}"/>
            </c:ext>
          </c:extLst>
        </c:ser>
        <c:dLbls>
          <c:showLegendKey val="0"/>
          <c:showVal val="1"/>
          <c:showCatName val="0"/>
          <c:showSerName val="0"/>
          <c:showPercent val="0"/>
          <c:showBubbleSize val="0"/>
        </c:dLbls>
        <c:marker val="1"/>
        <c:smooth val="0"/>
        <c:axId val="959439263"/>
        <c:axId val="1094127807"/>
      </c:lineChart>
      <c:catAx>
        <c:axId val="959439263"/>
        <c:scaling>
          <c:orientation val="minMax"/>
        </c:scaling>
        <c:delete val="0"/>
        <c:axPos val="b"/>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1094127807"/>
        <c:crosses val="autoZero"/>
        <c:auto val="1"/>
        <c:lblAlgn val="ctr"/>
        <c:lblOffset val="100"/>
        <c:noMultiLvlLbl val="0"/>
      </c:catAx>
      <c:valAx>
        <c:axId val="1094127807"/>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943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'05B - Token Trends '!$E$2</c:f>
              <c:strCache>
                <c:ptCount val="1"/>
                <c:pt idx="0">
                  <c:v>analysis</c:v>
                </c:pt>
              </c:strCache>
            </c:strRef>
          </c:tx>
          <c:spPr>
            <a:ln w="19050" cap="rnd">
              <a:solidFill>
                <a:schemeClr val="accent1"/>
              </a:solidFill>
              <a:prstDash val="lgDash"/>
              <a:round/>
            </a:ln>
            <a:effectLst/>
          </c:spPr>
          <c:marker>
            <c:symbol val="circle"/>
            <c:size val="5"/>
            <c:spPr>
              <a:solidFill>
                <a:schemeClr val="accent1"/>
              </a:solidFill>
              <a:ln w="38100">
                <a:solidFill>
                  <a:schemeClr val="accent1"/>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'!$E$3:$E$8</c:f>
              <c:numCache>
                <c:formatCode>0.00E+00</c:formatCode>
                <c:ptCount val="6"/>
                <c:pt idx="0">
                  <c:v>3.2883000000000001E-3</c:v>
                </c:pt>
                <c:pt idx="1">
                  <c:v>4.4787000000000004E-3</c:v>
                </c:pt>
                <c:pt idx="2">
                  <c:v>3.7441000000000002E-3</c:v>
                </c:pt>
                <c:pt idx="3">
                  <c:v>3.3750999999999998E-3</c:v>
                </c:pt>
                <c:pt idx="4">
                  <c:v>2.6513000000000001E-3</c:v>
                </c:pt>
                <c:pt idx="5">
                  <c:v>6.4695000000000004E-3</c:v>
                </c:pt>
              </c:numCache>
            </c:numRef>
          </c:val>
          <c:smooth val="0"/>
          <c:extLst>
            <c:ext xmlns:c16="http://schemas.microsoft.com/office/drawing/2014/chart" uri="{C3380CC4-5D6E-409C-BE32-E72D297353CC}">
              <c16:uniqueId val="{00000000-1273-49CD-82C2-6092B90AB820}"/>
            </c:ext>
          </c:extLst>
        </c:ser>
        <c:ser>
          <c:idx val="1"/>
          <c:order val="1"/>
          <c:tx>
            <c:strRef>
              <c:f>'05B - Token Trends '!$F$2</c:f>
              <c:strCache>
                <c:ptCount val="1"/>
                <c:pt idx="0">
                  <c:v>dimensional</c:v>
                </c:pt>
              </c:strCache>
            </c:strRef>
          </c:tx>
          <c:spPr>
            <a:ln w="19050" cap="rnd">
              <a:solidFill>
                <a:schemeClr val="accent2"/>
              </a:solidFill>
              <a:prstDash val="lgDash"/>
              <a:round/>
            </a:ln>
            <a:effectLst/>
          </c:spPr>
          <c:marker>
            <c:symbol val="circle"/>
            <c:size val="5"/>
            <c:spPr>
              <a:solidFill>
                <a:schemeClr val="accent2"/>
              </a:solidFill>
              <a:ln w="38100">
                <a:solidFill>
                  <a:schemeClr val="accent2"/>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'!$F$3:$F$8</c:f>
              <c:numCache>
                <c:formatCode>0.00E+00</c:formatCode>
                <c:ptCount val="6"/>
                <c:pt idx="0">
                  <c:v>6.9227999999999998E-3</c:v>
                </c:pt>
                <c:pt idx="1">
                  <c:v>2.2634E-3</c:v>
                </c:pt>
                <c:pt idx="2">
                  <c:v>2.4604000000000002E-3</c:v>
                </c:pt>
                <c:pt idx="3">
                  <c:v>2.2179000000000001E-3</c:v>
                </c:pt>
                <c:pt idx="4">
                  <c:v>1.7676E-3</c:v>
                </c:pt>
                <c:pt idx="5">
                  <c:v>4.313E-3</c:v>
                </c:pt>
              </c:numCache>
            </c:numRef>
          </c:val>
          <c:smooth val="0"/>
          <c:extLst>
            <c:ext xmlns:c16="http://schemas.microsoft.com/office/drawing/2014/chart" uri="{C3380CC4-5D6E-409C-BE32-E72D297353CC}">
              <c16:uniqueId val="{00000001-1273-49CD-82C2-6092B90AB820}"/>
            </c:ext>
          </c:extLst>
        </c:ser>
        <c:ser>
          <c:idx val="2"/>
          <c:order val="2"/>
          <c:tx>
            <c:strRef>
              <c:f>'05B - Token Trends '!$G$2</c:f>
              <c:strCache>
                <c:ptCount val="1"/>
                <c:pt idx="0">
                  <c:v>machine*</c:v>
                </c:pt>
              </c:strCache>
            </c:strRef>
          </c:tx>
          <c:spPr>
            <a:ln w="19050" cap="rnd">
              <a:solidFill>
                <a:schemeClr val="accent3">
                  <a:lumMod val="75000"/>
                </a:schemeClr>
              </a:solidFill>
              <a:prstDash val="lgDash"/>
              <a:round/>
            </a:ln>
            <a:effectLst/>
          </c:spPr>
          <c:marker>
            <c:symbol val="circle"/>
            <c:size val="5"/>
            <c:spPr>
              <a:solidFill>
                <a:schemeClr val="accent3"/>
              </a:solidFill>
              <a:ln w="38100">
                <a:solidFill>
                  <a:schemeClr val="accent3"/>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'!$G$3:$G$8</c:f>
              <c:numCache>
                <c:formatCode>0.00E+00</c:formatCode>
                <c:ptCount val="6"/>
                <c:pt idx="0">
                  <c:v>1.0384000000000001E-3</c:v>
                </c:pt>
                <c:pt idx="1">
                  <c:v>3.1302999999999999E-3</c:v>
                </c:pt>
                <c:pt idx="2">
                  <c:v>8.1300999999999995E-3</c:v>
                </c:pt>
                <c:pt idx="3">
                  <c:v>9.7395999999999993E-3</c:v>
                </c:pt>
                <c:pt idx="4">
                  <c:v>7.5122000000000001E-3</c:v>
                </c:pt>
                <c:pt idx="5">
                  <c:v>7.0856000000000001E-3</c:v>
                </c:pt>
              </c:numCache>
            </c:numRef>
          </c:val>
          <c:smooth val="0"/>
          <c:extLst>
            <c:ext xmlns:c16="http://schemas.microsoft.com/office/drawing/2014/chart" uri="{C3380CC4-5D6E-409C-BE32-E72D297353CC}">
              <c16:uniqueId val="{00000002-1273-49CD-82C2-6092B90AB820}"/>
            </c:ext>
          </c:extLst>
        </c:ser>
        <c:ser>
          <c:idx val="3"/>
          <c:order val="3"/>
          <c:tx>
            <c:strRef>
              <c:f>'05B - Token Trends '!$H$2</c:f>
              <c:strCache>
                <c:ptCount val="1"/>
                <c:pt idx="0">
                  <c:v>efficiency</c:v>
                </c:pt>
              </c:strCache>
            </c:strRef>
          </c:tx>
          <c:spPr>
            <a:ln w="19050" cap="rnd">
              <a:solidFill>
                <a:schemeClr val="accent4"/>
              </a:solidFill>
              <a:prstDash val="lgDash"/>
              <a:round/>
            </a:ln>
            <a:effectLst/>
          </c:spPr>
          <c:marker>
            <c:symbol val="circle"/>
            <c:size val="5"/>
            <c:spPr>
              <a:solidFill>
                <a:schemeClr val="accent4"/>
              </a:solidFill>
              <a:ln w="38100">
                <a:solidFill>
                  <a:schemeClr val="accent4"/>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'!$H$3:$H$8</c:f>
              <c:numCache>
                <c:formatCode>0.00E+00</c:formatCode>
                <c:ptCount val="6"/>
                <c:pt idx="0">
                  <c:v>0</c:v>
                </c:pt>
                <c:pt idx="1">
                  <c:v>1.6854999999999999E-3</c:v>
                </c:pt>
                <c:pt idx="2">
                  <c:v>5.0277999999999998E-3</c:v>
                </c:pt>
                <c:pt idx="3">
                  <c:v>8.6790000000000001E-4</c:v>
                </c:pt>
                <c:pt idx="4">
                  <c:v>4.7134999999999998E-3</c:v>
                </c:pt>
                <c:pt idx="5">
                  <c:v>6.7775999999999999E-3</c:v>
                </c:pt>
              </c:numCache>
            </c:numRef>
          </c:val>
          <c:smooth val="0"/>
          <c:extLst>
            <c:ext xmlns:c16="http://schemas.microsoft.com/office/drawing/2014/chart" uri="{C3380CC4-5D6E-409C-BE32-E72D297353CC}">
              <c16:uniqueId val="{00000003-1273-49CD-82C2-6092B90AB820}"/>
            </c:ext>
          </c:extLst>
        </c:ser>
        <c:ser>
          <c:idx val="4"/>
          <c:order val="4"/>
          <c:tx>
            <c:strRef>
              <c:f>'05B - Token Trends '!$I$2</c:f>
              <c:strCache>
                <c:ptCount val="1"/>
                <c:pt idx="0">
                  <c:v>parameters</c:v>
                </c:pt>
              </c:strCache>
            </c:strRef>
          </c:tx>
          <c:spPr>
            <a:ln w="19050" cap="rnd">
              <a:solidFill>
                <a:schemeClr val="accent5"/>
              </a:solidFill>
              <a:prstDash val="lgDash"/>
              <a:round/>
            </a:ln>
            <a:effectLst/>
          </c:spPr>
          <c:marker>
            <c:symbol val="circle"/>
            <c:size val="5"/>
            <c:spPr>
              <a:solidFill>
                <a:schemeClr val="accent5"/>
              </a:solidFill>
              <a:ln w="38100">
                <a:solidFill>
                  <a:schemeClr val="accent5"/>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'!$I$3:$I$8</c:f>
              <c:numCache>
                <c:formatCode>0.00E+00</c:formatCode>
                <c:ptCount val="6"/>
                <c:pt idx="0">
                  <c:v>5.1920000000000004E-4</c:v>
                </c:pt>
                <c:pt idx="1">
                  <c:v>2.2634E-3</c:v>
                </c:pt>
                <c:pt idx="2">
                  <c:v>2.5674000000000001E-3</c:v>
                </c:pt>
                <c:pt idx="3">
                  <c:v>3.9537000000000001E-3</c:v>
                </c:pt>
                <c:pt idx="4">
                  <c:v>2.3568E-3</c:v>
                </c:pt>
                <c:pt idx="5">
                  <c:v>3.3888E-3</c:v>
                </c:pt>
              </c:numCache>
            </c:numRef>
          </c:val>
          <c:smooth val="0"/>
          <c:extLst>
            <c:ext xmlns:c16="http://schemas.microsoft.com/office/drawing/2014/chart" uri="{C3380CC4-5D6E-409C-BE32-E72D297353CC}">
              <c16:uniqueId val="{00000004-1273-49CD-82C2-6092B90AB820}"/>
            </c:ext>
          </c:extLst>
        </c:ser>
        <c:dLbls>
          <c:showLegendKey val="0"/>
          <c:showVal val="0"/>
          <c:showCatName val="0"/>
          <c:showSerName val="0"/>
          <c:showPercent val="0"/>
          <c:showBubbleSize val="0"/>
        </c:dLbls>
        <c:marker val="1"/>
        <c:smooth val="0"/>
        <c:axId val="808308624"/>
        <c:axId val="162871984"/>
      </c:lineChart>
      <c:catAx>
        <c:axId val="8083086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871984"/>
        <c:crosses val="autoZero"/>
        <c:auto val="1"/>
        <c:lblAlgn val="ctr"/>
        <c:lblOffset val="100"/>
        <c:noMultiLvlLbl val="0"/>
      </c:catAx>
      <c:valAx>
        <c:axId val="162871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TF-IDF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08308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69062510532149"/>
          <c:y val="2.3659783568026588E-2"/>
          <c:w val="0.83085586386252552"/>
          <c:h val="0.64211915685354659"/>
        </c:manualLayout>
      </c:layout>
      <c:lineChart>
        <c:grouping val="standard"/>
        <c:varyColors val="0"/>
        <c:ser>
          <c:idx val="0"/>
          <c:order val="0"/>
          <c:tx>
            <c:strRef>
              <c:f>'05B - Token Trends '!$E$13</c:f>
              <c:strCache>
                <c:ptCount val="1"/>
                <c:pt idx="0">
                  <c:v>dimension*</c:v>
                </c:pt>
              </c:strCache>
            </c:strRef>
          </c:tx>
          <c:spPr>
            <a:ln w="19050" cap="rnd">
              <a:solidFill>
                <a:schemeClr val="accent1"/>
              </a:solidFill>
              <a:prstDash val="lgDash"/>
              <a:round/>
            </a:ln>
            <a:effectLst/>
          </c:spPr>
          <c:marker>
            <c:symbol val="circle"/>
            <c:size val="5"/>
            <c:spPr>
              <a:solidFill>
                <a:schemeClr val="accent1"/>
              </a:solidFill>
              <a:ln w="38100">
                <a:solidFill>
                  <a:schemeClr val="accent1"/>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'!$E$14:$E$19</c:f>
              <c:numCache>
                <c:formatCode>0.00E+00</c:formatCode>
                <c:ptCount val="6"/>
                <c:pt idx="0">
                  <c:v>1.12E-2</c:v>
                </c:pt>
                <c:pt idx="1">
                  <c:v>5.7000000000000002E-3</c:v>
                </c:pt>
                <c:pt idx="2">
                  <c:v>5.8999999999999999E-3</c:v>
                </c:pt>
                <c:pt idx="3">
                  <c:v>3.8E-3</c:v>
                </c:pt>
                <c:pt idx="4">
                  <c:v>6.7999999999999996E-3</c:v>
                </c:pt>
                <c:pt idx="5">
                  <c:v>4.8999999999999998E-3</c:v>
                </c:pt>
              </c:numCache>
            </c:numRef>
          </c:val>
          <c:smooth val="0"/>
          <c:extLst>
            <c:ext xmlns:c16="http://schemas.microsoft.com/office/drawing/2014/chart" uri="{C3380CC4-5D6E-409C-BE32-E72D297353CC}">
              <c16:uniqueId val="{00000000-A366-4D8F-8069-37C0FDE8F37B}"/>
            </c:ext>
          </c:extLst>
        </c:ser>
        <c:ser>
          <c:idx val="1"/>
          <c:order val="1"/>
          <c:tx>
            <c:strRef>
              <c:f>'05B - Token Trends '!$F$13</c:f>
              <c:strCache>
                <c:ptCount val="1"/>
                <c:pt idx="0">
                  <c:v>machine*</c:v>
                </c:pt>
              </c:strCache>
            </c:strRef>
          </c:tx>
          <c:spPr>
            <a:ln w="19050" cap="rnd">
              <a:solidFill>
                <a:schemeClr val="accent2"/>
              </a:solidFill>
              <a:prstDash val="lgDash"/>
              <a:round/>
            </a:ln>
            <a:effectLst/>
          </c:spPr>
          <c:marker>
            <c:symbol val="circle"/>
            <c:size val="5"/>
            <c:spPr>
              <a:solidFill>
                <a:schemeClr val="accent2"/>
              </a:solidFill>
              <a:ln w="38100">
                <a:solidFill>
                  <a:schemeClr val="accent2"/>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'!$F$14:$F$19</c:f>
              <c:numCache>
                <c:formatCode>0.00E+00</c:formatCode>
                <c:ptCount val="6"/>
                <c:pt idx="0">
                  <c:v>1E-3</c:v>
                </c:pt>
                <c:pt idx="1">
                  <c:v>3.0999999999999999E-3</c:v>
                </c:pt>
                <c:pt idx="2">
                  <c:v>8.0999999999999996E-3</c:v>
                </c:pt>
                <c:pt idx="3">
                  <c:v>9.7000000000000003E-3</c:v>
                </c:pt>
                <c:pt idx="4">
                  <c:v>7.1000000000000004E-3</c:v>
                </c:pt>
                <c:pt idx="5">
                  <c:v>7.4999999999999997E-3</c:v>
                </c:pt>
              </c:numCache>
            </c:numRef>
          </c:val>
          <c:smooth val="0"/>
          <c:extLst>
            <c:ext xmlns:c16="http://schemas.microsoft.com/office/drawing/2014/chart" uri="{C3380CC4-5D6E-409C-BE32-E72D297353CC}">
              <c16:uniqueId val="{00000001-A366-4D8F-8069-37C0FDE8F37B}"/>
            </c:ext>
          </c:extLst>
        </c:ser>
        <c:ser>
          <c:idx val="2"/>
          <c:order val="2"/>
          <c:tx>
            <c:strRef>
              <c:f>'05B - Token Trends '!$G$13</c:f>
              <c:strCache>
                <c:ptCount val="1"/>
                <c:pt idx="0">
                  <c:v>analysis*</c:v>
                </c:pt>
              </c:strCache>
            </c:strRef>
          </c:tx>
          <c:spPr>
            <a:ln w="19050" cap="rnd">
              <a:solidFill>
                <a:schemeClr val="accent3">
                  <a:lumMod val="75000"/>
                </a:schemeClr>
              </a:solidFill>
              <a:prstDash val="lgDash"/>
              <a:round/>
            </a:ln>
            <a:effectLst/>
          </c:spPr>
          <c:marker>
            <c:symbol val="circle"/>
            <c:size val="5"/>
            <c:spPr>
              <a:solidFill>
                <a:schemeClr val="accent3"/>
              </a:solidFill>
              <a:ln w="38100">
                <a:solidFill>
                  <a:schemeClr val="accent3">
                    <a:lumMod val="75000"/>
                  </a:schemeClr>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'!$G$14:$G$19</c:f>
              <c:numCache>
                <c:formatCode>0.00E+00</c:formatCode>
                <c:ptCount val="6"/>
                <c:pt idx="0">
                  <c:v>3.3E-3</c:v>
                </c:pt>
                <c:pt idx="1">
                  <c:v>4.5999999999999999E-3</c:v>
                </c:pt>
                <c:pt idx="2">
                  <c:v>4.3E-3</c:v>
                </c:pt>
                <c:pt idx="3">
                  <c:v>3.5999999999999999E-3</c:v>
                </c:pt>
                <c:pt idx="4">
                  <c:v>6.7999999999999996E-3</c:v>
                </c:pt>
                <c:pt idx="5">
                  <c:v>3.2000000000000002E-3</c:v>
                </c:pt>
              </c:numCache>
            </c:numRef>
          </c:val>
          <c:smooth val="0"/>
          <c:extLst>
            <c:ext xmlns:c16="http://schemas.microsoft.com/office/drawing/2014/chart" uri="{C3380CC4-5D6E-409C-BE32-E72D297353CC}">
              <c16:uniqueId val="{00000002-A366-4D8F-8069-37C0FDE8F37B}"/>
            </c:ext>
          </c:extLst>
        </c:ser>
        <c:ser>
          <c:idx val="3"/>
          <c:order val="3"/>
          <c:tx>
            <c:strRef>
              <c:f>'05B - Token Trends '!$H$13</c:f>
              <c:strCache>
                <c:ptCount val="1"/>
                <c:pt idx="0">
                  <c:v>parameter*</c:v>
                </c:pt>
              </c:strCache>
            </c:strRef>
          </c:tx>
          <c:spPr>
            <a:ln w="19050" cap="rnd">
              <a:solidFill>
                <a:schemeClr val="accent4"/>
              </a:solidFill>
              <a:prstDash val="lgDash"/>
              <a:round/>
            </a:ln>
            <a:effectLst/>
          </c:spPr>
          <c:marker>
            <c:symbol val="circle"/>
            <c:size val="5"/>
            <c:spPr>
              <a:solidFill>
                <a:schemeClr val="accent4"/>
              </a:solidFill>
              <a:ln w="38100">
                <a:solidFill>
                  <a:schemeClr val="accent4"/>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'!$H$14:$H$19</c:f>
              <c:numCache>
                <c:formatCode>0.00E+00</c:formatCode>
                <c:ptCount val="6"/>
                <c:pt idx="0">
                  <c:v>1E-3</c:v>
                </c:pt>
                <c:pt idx="1">
                  <c:v>3.2000000000000002E-3</c:v>
                </c:pt>
                <c:pt idx="2">
                  <c:v>4.5999999999999999E-3</c:v>
                </c:pt>
                <c:pt idx="3">
                  <c:v>5.0000000000000001E-3</c:v>
                </c:pt>
                <c:pt idx="4">
                  <c:v>3.7000000000000002E-3</c:v>
                </c:pt>
                <c:pt idx="5">
                  <c:v>3.2000000000000002E-3</c:v>
                </c:pt>
              </c:numCache>
            </c:numRef>
          </c:val>
          <c:smooth val="0"/>
          <c:extLst>
            <c:ext xmlns:c16="http://schemas.microsoft.com/office/drawing/2014/chart" uri="{C3380CC4-5D6E-409C-BE32-E72D297353CC}">
              <c16:uniqueId val="{00000003-A366-4D8F-8069-37C0FDE8F37B}"/>
            </c:ext>
          </c:extLst>
        </c:ser>
        <c:ser>
          <c:idx val="4"/>
          <c:order val="4"/>
          <c:tx>
            <c:strRef>
              <c:f>'05B - Token Trends '!$I$13</c:f>
              <c:strCache>
                <c:ptCount val="1"/>
                <c:pt idx="0">
                  <c:v>function*</c:v>
                </c:pt>
              </c:strCache>
            </c:strRef>
          </c:tx>
          <c:spPr>
            <a:ln w="19050" cap="rnd">
              <a:solidFill>
                <a:schemeClr val="accent5"/>
              </a:solidFill>
              <a:prstDash val="lgDash"/>
              <a:round/>
            </a:ln>
            <a:effectLst/>
          </c:spPr>
          <c:marker>
            <c:symbol val="circle"/>
            <c:size val="5"/>
            <c:spPr>
              <a:solidFill>
                <a:schemeClr val="accent5"/>
              </a:solidFill>
              <a:ln w="38100">
                <a:solidFill>
                  <a:schemeClr val="accent5"/>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'!$I$14:$I$19</c:f>
              <c:numCache>
                <c:formatCode>0.00E+00</c:formatCode>
                <c:ptCount val="6"/>
                <c:pt idx="0">
                  <c:v>5.4000000000000003E-3</c:v>
                </c:pt>
                <c:pt idx="1">
                  <c:v>2.5999999999999999E-3</c:v>
                </c:pt>
                <c:pt idx="2">
                  <c:v>4.7999999999999996E-3</c:v>
                </c:pt>
                <c:pt idx="3">
                  <c:v>3.8999999999999998E-3</c:v>
                </c:pt>
                <c:pt idx="4">
                  <c:v>1.8E-3</c:v>
                </c:pt>
                <c:pt idx="5">
                  <c:v>1.8E-3</c:v>
                </c:pt>
              </c:numCache>
            </c:numRef>
          </c:val>
          <c:smooth val="0"/>
          <c:extLst>
            <c:ext xmlns:c16="http://schemas.microsoft.com/office/drawing/2014/chart" uri="{C3380CC4-5D6E-409C-BE32-E72D297353CC}">
              <c16:uniqueId val="{00000004-A366-4D8F-8069-37C0FDE8F37B}"/>
            </c:ext>
          </c:extLst>
        </c:ser>
        <c:ser>
          <c:idx val="5"/>
          <c:order val="5"/>
          <c:tx>
            <c:strRef>
              <c:f>'05B - Token Trends '!$J$13</c:f>
              <c:strCache>
                <c:ptCount val="1"/>
                <c:pt idx="0">
                  <c:v>efficiency</c:v>
                </c:pt>
              </c:strCache>
            </c:strRef>
          </c:tx>
          <c:spPr>
            <a:ln w="19050" cap="rnd">
              <a:solidFill>
                <a:schemeClr val="accent6"/>
              </a:solidFill>
              <a:prstDash val="lgDash"/>
              <a:round/>
            </a:ln>
            <a:effectLst/>
          </c:spPr>
          <c:marker>
            <c:symbol val="circle"/>
            <c:size val="5"/>
            <c:spPr>
              <a:solidFill>
                <a:schemeClr val="accent6"/>
              </a:solidFill>
              <a:ln w="38100">
                <a:solidFill>
                  <a:schemeClr val="accent6"/>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'!$J$14:$J$19</c:f>
              <c:numCache>
                <c:formatCode>0.00E+00</c:formatCode>
                <c:ptCount val="6"/>
                <c:pt idx="0">
                  <c:v>0</c:v>
                </c:pt>
                <c:pt idx="1">
                  <c:v>1.6999999999999999E-3</c:v>
                </c:pt>
                <c:pt idx="2">
                  <c:v>5.0000000000000001E-3</c:v>
                </c:pt>
                <c:pt idx="3">
                  <c:v>8.9999999999999998E-4</c:v>
                </c:pt>
                <c:pt idx="4">
                  <c:v>6.7999999999999996E-3</c:v>
                </c:pt>
                <c:pt idx="5">
                  <c:v>4.7000000000000002E-3</c:v>
                </c:pt>
              </c:numCache>
            </c:numRef>
          </c:val>
          <c:smooth val="0"/>
          <c:extLst>
            <c:ext xmlns:c16="http://schemas.microsoft.com/office/drawing/2014/chart" uri="{C3380CC4-5D6E-409C-BE32-E72D297353CC}">
              <c16:uniqueId val="{00000005-A366-4D8F-8069-37C0FDE8F37B}"/>
            </c:ext>
          </c:extLst>
        </c:ser>
        <c:ser>
          <c:idx val="6"/>
          <c:order val="6"/>
          <c:tx>
            <c:strRef>
              <c:f>'05B - Token Trends '!$K$13</c:f>
              <c:strCache>
                <c:ptCount val="1"/>
                <c:pt idx="0">
                  <c:v>surface*</c:v>
                </c:pt>
              </c:strCache>
            </c:strRef>
          </c:tx>
          <c:spPr>
            <a:ln w="19050" cap="rnd">
              <a:solidFill>
                <a:schemeClr val="accent1">
                  <a:lumMod val="60000"/>
                </a:schemeClr>
              </a:solidFill>
              <a:prstDash val="lgDash"/>
              <a:round/>
            </a:ln>
            <a:effectLst/>
          </c:spPr>
          <c:marker>
            <c:symbol val="circle"/>
            <c:size val="5"/>
            <c:spPr>
              <a:solidFill>
                <a:schemeClr val="accent1">
                  <a:lumMod val="60000"/>
                </a:schemeClr>
              </a:solidFill>
              <a:ln w="38100">
                <a:solidFill>
                  <a:schemeClr val="accent1">
                    <a:lumMod val="60000"/>
                  </a:schemeClr>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'!$K$14:$K$19</c:f>
              <c:numCache>
                <c:formatCode>0.00E+00</c:formatCode>
                <c:ptCount val="6"/>
                <c:pt idx="0">
                  <c:v>2.9999999999999997E-4</c:v>
                </c:pt>
                <c:pt idx="1">
                  <c:v>1.2999999999999999E-3</c:v>
                </c:pt>
                <c:pt idx="2">
                  <c:v>3.8999999999999998E-3</c:v>
                </c:pt>
                <c:pt idx="3">
                  <c:v>8.0000000000000004E-4</c:v>
                </c:pt>
                <c:pt idx="4">
                  <c:v>6.1999999999999998E-3</c:v>
                </c:pt>
                <c:pt idx="5">
                  <c:v>5.3E-3</c:v>
                </c:pt>
              </c:numCache>
            </c:numRef>
          </c:val>
          <c:smooth val="0"/>
          <c:extLst>
            <c:ext xmlns:c16="http://schemas.microsoft.com/office/drawing/2014/chart" uri="{C3380CC4-5D6E-409C-BE32-E72D297353CC}">
              <c16:uniqueId val="{00000006-A366-4D8F-8069-37C0FDE8F37B}"/>
            </c:ext>
          </c:extLst>
        </c:ser>
        <c:dLbls>
          <c:showLegendKey val="0"/>
          <c:showVal val="0"/>
          <c:showCatName val="0"/>
          <c:showSerName val="0"/>
          <c:showPercent val="0"/>
          <c:showBubbleSize val="0"/>
        </c:dLbls>
        <c:marker val="1"/>
        <c:smooth val="0"/>
        <c:axId val="204713344"/>
        <c:axId val="204713824"/>
      </c:lineChart>
      <c:catAx>
        <c:axId val="20471334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713824"/>
        <c:crosses val="autoZero"/>
        <c:auto val="1"/>
        <c:lblAlgn val="ctr"/>
        <c:lblOffset val="100"/>
        <c:noMultiLvlLbl val="0"/>
      </c:catAx>
      <c:valAx>
        <c:axId val="204713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TF-IDF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4713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0"/>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'05C - PS Topics'!$E$2</c:f>
              <c:strCache>
                <c:ptCount val="1"/>
                <c:pt idx="0">
                  <c:v>DIMTHEO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Topics'!$E$3:$E$8</c:f>
              <c:numCache>
                <c:formatCode>0.00%</c:formatCode>
                <c:ptCount val="6"/>
                <c:pt idx="0">
                  <c:v>0.74950000000000006</c:v>
                </c:pt>
                <c:pt idx="1">
                  <c:v>6.7599999999999993E-2</c:v>
                </c:pt>
                <c:pt idx="2">
                  <c:v>0.3286</c:v>
                </c:pt>
                <c:pt idx="3">
                  <c:v>1.8100000000000002E-2</c:v>
                </c:pt>
                <c:pt idx="4">
                  <c:v>3.9E-2</c:v>
                </c:pt>
                <c:pt idx="5">
                  <c:v>2.9500000000000002E-2</c:v>
                </c:pt>
              </c:numCache>
            </c:numRef>
          </c:val>
          <c:extLst>
            <c:ext xmlns:c16="http://schemas.microsoft.com/office/drawing/2014/chart" uri="{C3380CC4-5D6E-409C-BE32-E72D297353CC}">
              <c16:uniqueId val="{00000000-C70C-4DEA-8C22-BC29C194A5A5}"/>
            </c:ext>
          </c:extLst>
        </c:ser>
        <c:ser>
          <c:idx val="1"/>
          <c:order val="1"/>
          <c:tx>
            <c:strRef>
              <c:f>'05C - PS Topics'!$F$2</c:f>
              <c:strCache>
                <c:ptCount val="1"/>
                <c:pt idx="0">
                  <c:v>FORQUAN</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Topics'!$F$3:$F$8</c:f>
              <c:numCache>
                <c:formatCode>0.00%</c:formatCode>
                <c:ptCount val="6"/>
                <c:pt idx="0">
                  <c:v>6.8600000000000008E-2</c:v>
                </c:pt>
                <c:pt idx="1">
                  <c:v>0.1</c:v>
                </c:pt>
                <c:pt idx="2">
                  <c:v>0.11710000000000001</c:v>
                </c:pt>
                <c:pt idx="3">
                  <c:v>0.23519999999999999</c:v>
                </c:pt>
                <c:pt idx="4">
                  <c:v>0.32189999999999996</c:v>
                </c:pt>
                <c:pt idx="5">
                  <c:v>0.26950000000000002</c:v>
                </c:pt>
              </c:numCache>
            </c:numRef>
          </c:val>
          <c:extLst>
            <c:ext xmlns:c16="http://schemas.microsoft.com/office/drawing/2014/chart" uri="{C3380CC4-5D6E-409C-BE32-E72D297353CC}">
              <c16:uniqueId val="{00000001-C70C-4DEA-8C22-BC29C194A5A5}"/>
            </c:ext>
          </c:extLst>
        </c:ser>
        <c:ser>
          <c:idx val="2"/>
          <c:order val="2"/>
          <c:tx>
            <c:strRef>
              <c:f>'05C - PS Topics'!$G$2</c:f>
              <c:strCache>
                <c:ptCount val="1"/>
                <c:pt idx="0">
                  <c:v>HWARCH</c:v>
                </c:pt>
              </c:strCache>
            </c:strRef>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Topics'!$G$3:$G$8</c:f>
              <c:numCache>
                <c:formatCode>0.00%</c:formatCode>
                <c:ptCount val="6"/>
                <c:pt idx="0">
                  <c:v>8.7599999999999997E-2</c:v>
                </c:pt>
                <c:pt idx="1">
                  <c:v>0.1057</c:v>
                </c:pt>
                <c:pt idx="2">
                  <c:v>0.19140000000000001</c:v>
                </c:pt>
                <c:pt idx="3">
                  <c:v>8.48E-2</c:v>
                </c:pt>
                <c:pt idx="4">
                  <c:v>0.24379999999999999</c:v>
                </c:pt>
                <c:pt idx="5">
                  <c:v>0.42859999999999998</c:v>
                </c:pt>
              </c:numCache>
            </c:numRef>
          </c:val>
          <c:extLst>
            <c:ext xmlns:c16="http://schemas.microsoft.com/office/drawing/2014/chart" uri="{C3380CC4-5D6E-409C-BE32-E72D297353CC}">
              <c16:uniqueId val="{00000002-C70C-4DEA-8C22-BC29C194A5A5}"/>
            </c:ext>
          </c:extLst>
        </c:ser>
        <c:ser>
          <c:idx val="3"/>
          <c:order val="3"/>
          <c:tx>
            <c:strRef>
              <c:f>'05C - PS Topics'!$H$2</c:f>
              <c:strCache>
                <c:ptCount val="1"/>
                <c:pt idx="0">
                  <c:v>COMPEFF</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Topics'!$H$3:$H$8</c:f>
              <c:numCache>
                <c:formatCode>0.00%</c:formatCode>
                <c:ptCount val="6"/>
                <c:pt idx="0">
                  <c:v>4.5700000000000005E-2</c:v>
                </c:pt>
                <c:pt idx="1">
                  <c:v>0.36380000000000001</c:v>
                </c:pt>
                <c:pt idx="2">
                  <c:v>0.28949999999999998</c:v>
                </c:pt>
                <c:pt idx="3">
                  <c:v>0.23620000000000002</c:v>
                </c:pt>
                <c:pt idx="4">
                  <c:v>0.37709999999999999</c:v>
                </c:pt>
                <c:pt idx="5">
                  <c:v>0.1857</c:v>
                </c:pt>
              </c:numCache>
            </c:numRef>
          </c:val>
          <c:extLst>
            <c:ext xmlns:c16="http://schemas.microsoft.com/office/drawing/2014/chart" uri="{C3380CC4-5D6E-409C-BE32-E72D297353CC}">
              <c16:uniqueId val="{00000003-C70C-4DEA-8C22-BC29C194A5A5}"/>
            </c:ext>
          </c:extLst>
        </c:ser>
        <c:ser>
          <c:idx val="4"/>
          <c:order val="4"/>
          <c:tx>
            <c:strRef>
              <c:f>'05C - PS Topics'!$I$2</c:f>
              <c:strCache>
                <c:ptCount val="1"/>
                <c:pt idx="0">
                  <c:v>PROCMOD</c:v>
                </c:pt>
              </c:strCache>
            </c:strRef>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Topics'!$I$3:$I$8</c:f>
              <c:numCache>
                <c:formatCode>0.00%</c:formatCode>
                <c:ptCount val="6"/>
                <c:pt idx="0">
                  <c:v>4.8600000000000004E-2</c:v>
                </c:pt>
                <c:pt idx="1">
                  <c:v>0.3629</c:v>
                </c:pt>
                <c:pt idx="2">
                  <c:v>7.3300000000000004E-2</c:v>
                </c:pt>
                <c:pt idx="3">
                  <c:v>0.42570000000000002</c:v>
                </c:pt>
                <c:pt idx="4">
                  <c:v>1.8100000000000002E-2</c:v>
                </c:pt>
                <c:pt idx="5">
                  <c:v>8.6699999999999999E-2</c:v>
                </c:pt>
              </c:numCache>
            </c:numRef>
          </c:val>
          <c:extLst>
            <c:ext xmlns:c16="http://schemas.microsoft.com/office/drawing/2014/chart" uri="{C3380CC4-5D6E-409C-BE32-E72D297353CC}">
              <c16:uniqueId val="{00000004-C70C-4DEA-8C22-BC29C194A5A5}"/>
            </c:ext>
          </c:extLst>
        </c:ser>
        <c:dLbls>
          <c:showLegendKey val="0"/>
          <c:showVal val="0"/>
          <c:showCatName val="0"/>
          <c:showSerName val="0"/>
          <c:showPercent val="0"/>
          <c:showBubbleSize val="0"/>
        </c:dLbls>
        <c:gapWidth val="150"/>
        <c:overlap val="100"/>
        <c:axId val="897312720"/>
        <c:axId val="897318000"/>
      </c:barChart>
      <c:catAx>
        <c:axId val="897312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318000"/>
        <c:crosses val="autoZero"/>
        <c:auto val="1"/>
        <c:lblAlgn val="ctr"/>
        <c:lblOffset val="100"/>
        <c:noMultiLvlLbl val="0"/>
      </c:catAx>
      <c:valAx>
        <c:axId val="897318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Topic Percentage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31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 SLR DA in ArchiSoft Summary - 2010-2024 (2020) - FINAL.xlsx]05E - PS Cats Map!PivotTable1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'05E - PS Cats Map'!$I$3:$I$4</c:f>
              <c:strCache>
                <c:ptCount val="1"/>
                <c:pt idx="0">
                  <c:v>PS-01</c:v>
                </c:pt>
              </c:strCache>
            </c:strRef>
          </c:tx>
          <c:spPr>
            <a:solidFill>
              <a:schemeClr val="accent1"/>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Map'!$I$5:$I$9</c:f>
              <c:numCache>
                <c:formatCode>General</c:formatCode>
                <c:ptCount val="4"/>
                <c:pt idx="0">
                  <c:v>1</c:v>
                </c:pt>
                <c:pt idx="2">
                  <c:v>1</c:v>
                </c:pt>
                <c:pt idx="3">
                  <c:v>1</c:v>
                </c:pt>
              </c:numCache>
            </c:numRef>
          </c:val>
          <c:extLst>
            <c:ext xmlns:c16="http://schemas.microsoft.com/office/drawing/2014/chart" uri="{C3380CC4-5D6E-409C-BE32-E72D297353CC}">
              <c16:uniqueId val="{00000000-FFD3-47B5-8691-D140F21E8C39}"/>
            </c:ext>
          </c:extLst>
        </c:ser>
        <c:ser>
          <c:idx val="1"/>
          <c:order val="1"/>
          <c:tx>
            <c:strRef>
              <c:f>'05E - PS Cats Map'!$J$3:$J$4</c:f>
              <c:strCache>
                <c:ptCount val="1"/>
                <c:pt idx="0">
                  <c:v>PS-02</c:v>
                </c:pt>
              </c:strCache>
            </c:strRef>
          </c:tx>
          <c:spPr>
            <a:solidFill>
              <a:schemeClr val="accent2"/>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Map'!$J$5:$J$9</c:f>
              <c:numCache>
                <c:formatCode>General</c:formatCode>
                <c:ptCount val="4"/>
                <c:pt idx="1">
                  <c:v>1</c:v>
                </c:pt>
                <c:pt idx="3">
                  <c:v>1</c:v>
                </c:pt>
              </c:numCache>
            </c:numRef>
          </c:val>
          <c:extLst>
            <c:ext xmlns:c16="http://schemas.microsoft.com/office/drawing/2014/chart" uri="{C3380CC4-5D6E-409C-BE32-E72D297353CC}">
              <c16:uniqueId val="{00000001-FFD3-47B5-8691-D140F21E8C39}"/>
            </c:ext>
          </c:extLst>
        </c:ser>
        <c:ser>
          <c:idx val="2"/>
          <c:order val="2"/>
          <c:tx>
            <c:strRef>
              <c:f>'05E - PS Cats Map'!$K$3:$K$4</c:f>
              <c:strCache>
                <c:ptCount val="1"/>
                <c:pt idx="0">
                  <c:v>PS-03</c:v>
                </c:pt>
              </c:strCache>
            </c:strRef>
          </c:tx>
          <c:spPr>
            <a:solidFill>
              <a:schemeClr val="accent3"/>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Map'!$K$5:$K$9</c:f>
              <c:numCache>
                <c:formatCode>General</c:formatCode>
                <c:ptCount val="4"/>
                <c:pt idx="0">
                  <c:v>1</c:v>
                </c:pt>
                <c:pt idx="1">
                  <c:v>1</c:v>
                </c:pt>
                <c:pt idx="3">
                  <c:v>1</c:v>
                </c:pt>
              </c:numCache>
            </c:numRef>
          </c:val>
          <c:extLst>
            <c:ext xmlns:c16="http://schemas.microsoft.com/office/drawing/2014/chart" uri="{C3380CC4-5D6E-409C-BE32-E72D297353CC}">
              <c16:uniqueId val="{00000002-FFD3-47B5-8691-D140F21E8C39}"/>
            </c:ext>
          </c:extLst>
        </c:ser>
        <c:ser>
          <c:idx val="3"/>
          <c:order val="3"/>
          <c:tx>
            <c:strRef>
              <c:f>'05E - PS Cats Map'!$L$3:$L$4</c:f>
              <c:strCache>
                <c:ptCount val="1"/>
                <c:pt idx="0">
                  <c:v>PS-04</c:v>
                </c:pt>
              </c:strCache>
            </c:strRef>
          </c:tx>
          <c:spPr>
            <a:solidFill>
              <a:schemeClr val="accent4"/>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Map'!$L$5:$L$9</c:f>
              <c:numCache>
                <c:formatCode>General</c:formatCode>
                <c:ptCount val="4"/>
                <c:pt idx="0">
                  <c:v>1</c:v>
                </c:pt>
                <c:pt idx="1">
                  <c:v>1</c:v>
                </c:pt>
                <c:pt idx="2">
                  <c:v>1</c:v>
                </c:pt>
              </c:numCache>
            </c:numRef>
          </c:val>
          <c:extLst>
            <c:ext xmlns:c16="http://schemas.microsoft.com/office/drawing/2014/chart" uri="{C3380CC4-5D6E-409C-BE32-E72D297353CC}">
              <c16:uniqueId val="{00000003-FFD3-47B5-8691-D140F21E8C39}"/>
            </c:ext>
          </c:extLst>
        </c:ser>
        <c:ser>
          <c:idx val="4"/>
          <c:order val="4"/>
          <c:tx>
            <c:strRef>
              <c:f>'05E - PS Cats Map'!$M$3:$M$4</c:f>
              <c:strCache>
                <c:ptCount val="1"/>
                <c:pt idx="0">
                  <c:v>PS-05</c:v>
                </c:pt>
              </c:strCache>
            </c:strRef>
          </c:tx>
          <c:spPr>
            <a:solidFill>
              <a:schemeClr val="accent5"/>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Map'!$M$5:$M$9</c:f>
              <c:numCache>
                <c:formatCode>General</c:formatCode>
                <c:ptCount val="4"/>
                <c:pt idx="0">
                  <c:v>1</c:v>
                </c:pt>
                <c:pt idx="1">
                  <c:v>1</c:v>
                </c:pt>
                <c:pt idx="2">
                  <c:v>1</c:v>
                </c:pt>
              </c:numCache>
            </c:numRef>
          </c:val>
          <c:extLst>
            <c:ext xmlns:c16="http://schemas.microsoft.com/office/drawing/2014/chart" uri="{C3380CC4-5D6E-409C-BE32-E72D297353CC}">
              <c16:uniqueId val="{00000004-FFD3-47B5-8691-D140F21E8C39}"/>
            </c:ext>
          </c:extLst>
        </c:ser>
        <c:ser>
          <c:idx val="5"/>
          <c:order val="5"/>
          <c:tx>
            <c:strRef>
              <c:f>'05E - PS Cats Map'!$N$3:$N$4</c:f>
              <c:strCache>
                <c:ptCount val="1"/>
                <c:pt idx="0">
                  <c:v>PS-06</c:v>
                </c:pt>
              </c:strCache>
            </c:strRef>
          </c:tx>
          <c:spPr>
            <a:solidFill>
              <a:schemeClr val="accent6"/>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Map'!$N$5:$N$9</c:f>
              <c:numCache>
                <c:formatCode>General</c:formatCode>
                <c:ptCount val="4"/>
                <c:pt idx="0">
                  <c:v>1</c:v>
                </c:pt>
                <c:pt idx="2">
                  <c:v>1</c:v>
                </c:pt>
                <c:pt idx="3">
                  <c:v>1</c:v>
                </c:pt>
              </c:numCache>
            </c:numRef>
          </c:val>
          <c:extLst>
            <c:ext xmlns:c16="http://schemas.microsoft.com/office/drawing/2014/chart" uri="{C3380CC4-5D6E-409C-BE32-E72D297353CC}">
              <c16:uniqueId val="{00000005-FFD3-47B5-8691-D140F21E8C39}"/>
            </c:ext>
          </c:extLst>
        </c:ser>
        <c:dLbls>
          <c:showLegendKey val="0"/>
          <c:showVal val="0"/>
          <c:showCatName val="0"/>
          <c:showSerName val="0"/>
          <c:showPercent val="0"/>
          <c:showBubbleSize val="0"/>
        </c:dLbls>
        <c:gapWidth val="150"/>
        <c:overlap val="100"/>
        <c:axId val="1978101919"/>
        <c:axId val="1978103839"/>
      </c:barChart>
      <c:catAx>
        <c:axId val="1978101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Categories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crossAx val="1978103839"/>
        <c:crosses val="autoZero"/>
        <c:auto val="1"/>
        <c:lblAlgn val="ctr"/>
        <c:lblOffset val="100"/>
        <c:noMultiLvlLbl val="0"/>
      </c:catAx>
      <c:valAx>
        <c:axId val="197810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Document Count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crossAx val="197810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0397FD6-C72A-4EFB-B8DC-4933F7ABBDBB}">
  <sheetPr codeName="Chart9"/>
  <sheetViews>
    <sheetView zoomScale="112"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1A867A7-F4F2-4205-B89D-DF0A15C73218}">
  <sheetPr/>
  <sheetViews>
    <sheetView zoomScale="112"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483DD36-218C-4A52-8D4A-1C0DD41404C1}">
  <sheetPr/>
  <sheetViews>
    <sheetView zoomScale="112"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9A228D4-284E-45CF-877A-383AFED2E5BC}">
  <sheetPr/>
  <sheetViews>
    <sheetView zoomScale="112"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4CD5DB-6AD0-4A0D-8481-6C0455FC7F9F}">
  <sheetPr/>
  <sheetViews>
    <sheetView zoomScale="11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2051" cy="6284872"/>
    <xdr:graphicFrame macro="">
      <xdr:nvGraphicFramePr>
        <xdr:cNvPr id="2" name="Chart 1">
          <a:extLst>
            <a:ext uri="{FF2B5EF4-FFF2-40B4-BE49-F238E27FC236}">
              <a16:creationId xmlns:a16="http://schemas.microsoft.com/office/drawing/2014/main" id="{F5FC1E0E-2D47-409A-AA1A-09EE8C071FD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051" cy="6284872"/>
    <xdr:graphicFrame macro="">
      <xdr:nvGraphicFramePr>
        <xdr:cNvPr id="3" name="Chart 1">
          <a:extLst>
            <a:ext uri="{FF2B5EF4-FFF2-40B4-BE49-F238E27FC236}">
              <a16:creationId xmlns:a16="http://schemas.microsoft.com/office/drawing/2014/main" id="{357ED597-1430-BE7F-5369-B8AC9E3C72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2051" cy="6284872"/>
    <xdr:graphicFrame macro="">
      <xdr:nvGraphicFramePr>
        <xdr:cNvPr id="5" name="Chart 1">
          <a:extLst>
            <a:ext uri="{FF2B5EF4-FFF2-40B4-BE49-F238E27FC236}">
              <a16:creationId xmlns:a16="http://schemas.microsoft.com/office/drawing/2014/main" id="{D0472E13-EEDE-C15F-0F9F-D0C7AF45E9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2051" cy="6284872"/>
    <xdr:graphicFrame macro="">
      <xdr:nvGraphicFramePr>
        <xdr:cNvPr id="14" name="Chart 1">
          <a:extLst>
            <a:ext uri="{FF2B5EF4-FFF2-40B4-BE49-F238E27FC236}">
              <a16:creationId xmlns:a16="http://schemas.microsoft.com/office/drawing/2014/main" id="{BFF8A829-993C-C90F-7F89-ABFE02BA24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2051" cy="6284872"/>
    <xdr:graphicFrame macro="">
      <xdr:nvGraphicFramePr>
        <xdr:cNvPr id="2" name="Chart 1">
          <a:extLst>
            <a:ext uri="{FF2B5EF4-FFF2-40B4-BE49-F238E27FC236}">
              <a16:creationId xmlns:a16="http://schemas.microsoft.com/office/drawing/2014/main" id="{9407DF68-0099-017F-6120-3F5059E7F3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Santiago Felipe Arteaga Martin" id="{BAA6C521-146E-492C-A523-2A9EA1BE10F5}" userId="S::sa-artea@uniandes.edu.co::fe5ae3a7-ca5b-4410-8a64-8ee3665295b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elipe Arteaga Martin" refreshedDate="45857.709345833333" createdVersion="8" refreshedVersion="8" minRefreshableVersion="3" recordCount="17" xr:uid="{9B46FA45-BE36-4359-B77C-15304AD2DDC8}">
  <cacheSource type="worksheet">
    <worksheetSource name="Table21"/>
  </cacheSource>
  <cacheFields count="4">
    <cacheField name="ID" numFmtId="0">
      <sharedItems containsSemiMixedTypes="0" containsString="0" containsNumber="1" containsInteger="1" minValue="1" maxValue="17"/>
    </cacheField>
    <cacheField name="Document" numFmtId="0">
      <sharedItems count="6">
        <s v="PS-01"/>
        <s v="PS-02"/>
        <s v="PS-03"/>
        <s v="PS-04"/>
        <s v="PS-05"/>
        <s v="PS-06"/>
      </sharedItems>
    </cacheField>
    <cacheField name="Category ID" numFmtId="0">
      <sharedItems/>
    </cacheField>
    <cacheField name="Category Name" numFmtId="0">
      <sharedItems count="4">
        <s v="Topics"/>
        <s v="Methods"/>
        <s v="Tools"/>
        <s v="Outcom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s v="CAT-01"/>
    <x v="0"/>
  </r>
  <r>
    <n v="2"/>
    <x v="0"/>
    <s v="CAT-02"/>
    <x v="1"/>
  </r>
  <r>
    <n v="3"/>
    <x v="0"/>
    <s v="CAT-03"/>
    <x v="2"/>
  </r>
  <r>
    <n v="4"/>
    <x v="1"/>
    <s v="CAT-01"/>
    <x v="0"/>
  </r>
  <r>
    <n v="5"/>
    <x v="1"/>
    <s v="CAT-04"/>
    <x v="3"/>
  </r>
  <r>
    <n v="6"/>
    <x v="2"/>
    <s v="CAT-01"/>
    <x v="0"/>
  </r>
  <r>
    <n v="7"/>
    <x v="2"/>
    <s v="CAT-02"/>
    <x v="1"/>
  </r>
  <r>
    <n v="8"/>
    <x v="2"/>
    <s v="CAT-04"/>
    <x v="3"/>
  </r>
  <r>
    <n v="9"/>
    <x v="3"/>
    <s v="CAT-02"/>
    <x v="1"/>
  </r>
  <r>
    <n v="10"/>
    <x v="3"/>
    <s v="CAT-03"/>
    <x v="2"/>
  </r>
  <r>
    <n v="11"/>
    <x v="3"/>
    <s v="CAT-04"/>
    <x v="3"/>
  </r>
  <r>
    <n v="12"/>
    <x v="4"/>
    <s v="CAT-02"/>
    <x v="1"/>
  </r>
  <r>
    <n v="13"/>
    <x v="4"/>
    <s v="CAT-03"/>
    <x v="2"/>
  </r>
  <r>
    <n v="14"/>
    <x v="4"/>
    <s v="CAT-04"/>
    <x v="3"/>
  </r>
  <r>
    <n v="15"/>
    <x v="5"/>
    <s v="CAT-01"/>
    <x v="0"/>
  </r>
  <r>
    <n v="16"/>
    <x v="5"/>
    <s v="CAT-02"/>
    <x v="1"/>
  </r>
  <r>
    <n v="17"/>
    <x v="5"/>
    <s v="CAT-0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8B0FF-7D07-4468-910B-C6C559408D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O9" firstHeaderRow="1" firstDataRow="2" firstDataCol="1"/>
  <pivotFields count="4">
    <pivotField showAll="0"/>
    <pivotField axis="axisCol" showAll="0">
      <items count="7">
        <item x="0"/>
        <item x="1"/>
        <item x="2"/>
        <item x="3"/>
        <item x="4"/>
        <item x="5"/>
        <item t="default"/>
      </items>
    </pivotField>
    <pivotField dataField="1" showAll="0"/>
    <pivotField axis="axisRow" showAll="0" sortType="ascending">
      <items count="5">
        <item x="1"/>
        <item x="3"/>
        <item x="2"/>
        <item x="0"/>
        <item t="default"/>
      </items>
    </pivotField>
  </pivotFields>
  <rowFields count="1">
    <field x="3"/>
  </rowFields>
  <rowItems count="5">
    <i>
      <x/>
    </i>
    <i>
      <x v="1"/>
    </i>
    <i>
      <x v="2"/>
    </i>
    <i>
      <x v="3"/>
    </i>
    <i t="grand">
      <x/>
    </i>
  </rowItems>
  <colFields count="1">
    <field x="1"/>
  </colFields>
  <colItems count="7">
    <i>
      <x/>
    </i>
    <i>
      <x v="1"/>
    </i>
    <i>
      <x v="2"/>
    </i>
    <i>
      <x v="3"/>
    </i>
    <i>
      <x v="4"/>
    </i>
    <i>
      <x v="5"/>
    </i>
    <i t="grand">
      <x/>
    </i>
  </colItems>
  <dataFields count="1">
    <dataField name="Count of Category ID" fld="2" subtotal="count" baseField="0" baseItem="0"/>
  </dataFields>
  <chartFormats count="6">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2">
          <reference field="4294967294" count="1" selected="0">
            <x v="0"/>
          </reference>
          <reference field="1" count="1" selected="0">
            <x v="4"/>
          </reference>
        </references>
      </pivotArea>
    </chartFormat>
    <chartFormat chart="3" format="11" series="1">
      <pivotArea type="data" outline="0" fieldPosition="0">
        <references count="2">
          <reference field="4294967294" count="1" selected="0">
            <x v="0"/>
          </reference>
          <reference field="1" count="1" selected="0">
            <x v="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618ABF-180F-42E0-9678-9FA05CBE05E5}" name="Table16" displayName="Table16" ref="B1:E27" totalsRowShown="0" headerRowDxfId="409" dataDxfId="408">
  <autoFilter ref="B1:E27" xr:uid="{E3618ABF-180F-42E0-9678-9FA05CBE05E5}"/>
  <tableColumns count="4">
    <tableColumn id="1" xr3:uid="{68D303E0-F0A7-4F0A-ACC4-32317588538A}" name="ID" dataDxfId="407"/>
    <tableColumn id="2" xr3:uid="{33660350-C554-433D-9ABD-1249639E4202}" name="Sheet Name" dataDxfId="406"/>
    <tableColumn id="4" xr3:uid="{D32C4ACC-95DE-4C2F-AD98-00C04109BA33}" name="Type" dataDxfId="405"/>
    <tableColumn id="3" xr3:uid="{3674C865-5DF0-49F5-84F8-A360B904FB48}" name="Description" dataDxfId="40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B7F66F-6C3C-44AB-A104-ACCAE11B2A6F}" name="Table13" displayName="Table13" ref="L4:O27" totalsRowShown="0" headerRowDxfId="403" dataDxfId="402">
  <autoFilter ref="L4:O27" xr:uid="{EBA014F2-41A4-4787-A2D1-E7D80E0C7433}"/>
  <sortState xmlns:xlrd2="http://schemas.microsoft.com/office/spreadsheetml/2017/richdata2" ref="L5:O27">
    <sortCondition ref="M4:M27"/>
  </sortState>
  <tableColumns count="4">
    <tableColumn id="1" xr3:uid="{879C8509-A10B-4DCE-BBD5-39467EBA3BF2}" name="Column name" dataDxfId="401"/>
    <tableColumn id="2" xr3:uid="{B269D1DE-82C4-4E3D-A9BC-8207BFAA58A2}" name="Src Index" dataDxfId="400"/>
    <tableColumn id="4" xr3:uid="{A48C5BF2-52BC-4D2B-A3E4-FD47F76A700C}" name="Tgt Index" dataDxfId="399"/>
    <tableColumn id="3" xr3:uid="{AEEC05A4-B22D-434D-8FE9-8960C22C2C99}" name="Important" dataDxfId="398">
      <calculatedColumnFormula>IF(ISNUMBER(Table13[[#This Row],[Tgt Index]]),TRUE,FALSE)</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7FD815-D9E3-4213-A1D7-B79147B72AA0}" name="Table14" displayName="Table14" ref="V4:Y35" totalsRowShown="0" headerRowDxfId="397" dataDxfId="395" headerRowBorderDxfId="396" tableBorderDxfId="394">
  <autoFilter ref="V4:Y35" xr:uid="{B27FD815-D9E3-4213-A1D7-B79147B72AA0}"/>
  <sortState xmlns:xlrd2="http://schemas.microsoft.com/office/spreadsheetml/2017/richdata2" ref="V5:Y35">
    <sortCondition ref="X4:X35"/>
  </sortState>
  <tableColumns count="4">
    <tableColumn id="1" xr3:uid="{4F123463-81A0-455C-8675-CC4A3D99DB62}" name="Column name" dataDxfId="393"/>
    <tableColumn id="2" xr3:uid="{DE70E18D-22B6-451B-98CE-4036E59FE47D}" name="Src Index" dataDxfId="392"/>
    <tableColumn id="4" xr3:uid="{9B6E8363-9966-46D8-A597-4693642964B0}" name="Tgt Index" dataDxfId="391"/>
    <tableColumn id="3" xr3:uid="{7757F869-C90B-4E17-8AC2-5D9C730BEFDC}" name="Important" dataDxfId="390">
      <calculatedColumnFormula>IF(ISNUMBER(Table14[[#This Row],[Tgt Index]]),TRUE,FALSE)</calculatedColumnFormula>
    </tableColumn>
  </tableColumns>
  <tableStyleInfo name="TableStyleLight6"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968DDD-2708-4B1A-8C6F-14AFCFF27378}" name="Table1416" displayName="Table1416" ref="B4:E32" totalsRowShown="0" headerRowDxfId="389" dataDxfId="388">
  <autoFilter ref="B4:E32" xr:uid="{ABCB3405-0E8F-4D28-A5B1-0DB3A69AF168}"/>
  <sortState xmlns:xlrd2="http://schemas.microsoft.com/office/spreadsheetml/2017/richdata2" ref="B5:E32">
    <sortCondition ref="C4:C32"/>
  </sortState>
  <tableColumns count="4">
    <tableColumn id="1" xr3:uid="{A3DB8CC0-6399-44B8-AF53-135280F880EA}" name="Column name" dataDxfId="387"/>
    <tableColumn id="4" xr3:uid="{A7884258-9483-4CD9-9CEF-8EA69F9C9009}" name="Src Index" dataDxfId="386"/>
    <tableColumn id="2" xr3:uid="{CB862440-8008-482A-BAA3-5740CE5119B8}" name="Tgt Index" dataDxfId="385"/>
    <tableColumn id="3" xr3:uid="{B52EEDE8-71E9-475D-87F6-5858F1F8D94A}" name="Important" dataDxfId="384">
      <calculatedColumnFormula>IF(ISNUMBER(Table1416[[#This Row],[Tgt Index]]),TRUE,FALSE)</calculatedColumnFormula>
    </tableColumn>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90C302-7838-4149-A577-7CB94995D394}" name="Table14168" displayName="Table14168" ref="Q4:T28" totalsRowShown="0" headerRowDxfId="383" dataDxfId="382">
  <autoFilter ref="Q4:T28" xr:uid="{3D90C302-7838-4149-A577-7CB94995D394}"/>
  <sortState xmlns:xlrd2="http://schemas.microsoft.com/office/spreadsheetml/2017/richdata2" ref="Q5:T28">
    <sortCondition ref="R4:R28"/>
  </sortState>
  <tableColumns count="4">
    <tableColumn id="1" xr3:uid="{4164972F-D161-45CF-B54B-5359B1DC0C4C}" name="Column name" dataDxfId="381"/>
    <tableColumn id="4" xr3:uid="{54F05BD6-FC92-4B2A-B40E-32F2830F520D}" name="Src Index" dataDxfId="380"/>
    <tableColumn id="2" xr3:uid="{21C1EA86-1F8B-4928-B232-4023903F6FD0}" name="Tgt Index" dataDxfId="379"/>
    <tableColumn id="3" xr3:uid="{53D4B454-7F66-4691-A1F6-2923916DCCE2}" name="Important" dataDxfId="378">
      <calculatedColumnFormula>IF(ISNUMBER(Table14168[[#This Row],[Tgt Index]]),TRUE,FALSE)</calculatedColumnFormula>
    </tableColumn>
  </tableColumns>
  <tableStyleInfo name="TableStyleLight5"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99C2A64-B6A2-42CA-A610-0506D24BA34F}" name="Table26" displayName="Table26" ref="G4:J26" totalsRowShown="0" headerRowDxfId="377" dataDxfId="376">
  <autoFilter ref="G4:J26" xr:uid="{499C2A64-B6A2-42CA-A610-0506D24BA34F}"/>
  <sortState xmlns:xlrd2="http://schemas.microsoft.com/office/spreadsheetml/2017/richdata2" ref="G5:J25">
    <sortCondition ref="H4:H25"/>
  </sortState>
  <tableColumns count="4">
    <tableColumn id="1" xr3:uid="{8CFFAEC2-AD1B-4A64-ABEB-9F513901DEFC}" name="Column name" dataDxfId="375"/>
    <tableColumn id="2" xr3:uid="{4A8B3FA4-069B-43FE-8B3F-0F468FFC9B99}" name="Src Index" dataDxfId="374"/>
    <tableColumn id="3" xr3:uid="{2E904AAC-F64B-4145-A3DD-6072D751CCE4}" name="Tgt Index" dataDxfId="373"/>
    <tableColumn id="4" xr3:uid="{9780FFF1-8232-41B9-A06A-87A07B8F0F18}" name="Important" dataDxfId="372">
      <calculatedColumnFormula>IF(ISNUMBER(Table26[[#This Row],[Tgt Index]]),TRUE,FALSE)</calculatedColumnFormula>
    </tableColumn>
  </tableColumns>
  <tableStyleInfo name="TableStyleLight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C8EA50-4739-4A44-8C59-DA65AB8A6AA0}" name="Table1019" displayName="Table1019" ref="B3:E8" totalsRowShown="0" dataDxfId="371">
  <autoFilter ref="B3:E8" xr:uid="{B7C8EA50-4739-4A44-8C59-DA65AB8A6AA0}"/>
  <sortState xmlns:xlrd2="http://schemas.microsoft.com/office/spreadsheetml/2017/richdata2" ref="B4:E8">
    <sortCondition ref="B3:B8"/>
  </sortState>
  <tableColumns count="4">
    <tableColumn id="1" xr3:uid="{5D67AA56-FCDE-469C-AB69-D2FEF26B1938}" name="Source" dataDxfId="370"/>
    <tableColumn id="2" xr3:uid="{AF33C226-ED7B-4DE8-9853-61F54C78E3AF}" name="Search String" dataDxfId="369"/>
    <tableColumn id="3" xr3:uid="{D4E1AED2-21D6-42EC-B67B-D0041DCF7D77}" name="Period" dataDxfId="368"/>
    <tableColumn id="4" xr3:uid="{8602D3A1-95FE-4AC4-AC7F-D44A2C354C4A}" name="Sort By" dataDxfId="367"/>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A81424-782A-42DE-B679-B20BB42AAEDA}" name="Table12" displayName="Table12" ref="B2:D6" totalsRowShown="0" headerRowDxfId="366" dataDxfId="365">
  <autoFilter ref="B2:D6" xr:uid="{F1A81424-782A-42DE-B679-B20BB42AAEDA}"/>
  <tableColumns count="3">
    <tableColumn id="1" xr3:uid="{08DC7750-8C76-4C72-8A84-16351EDDA187}" name="ID" dataDxfId="364"/>
    <tableColumn id="2" xr3:uid="{843BEDF6-33AA-4353-AA9E-8A96EF0F402C}" name="Category" dataDxfId="363"/>
    <tableColumn id="3" xr3:uid="{C03D38C9-B558-4FE2-8BD8-15DF5DBA0779}" name="Description" dataDxfId="36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09BF2D-FB31-40BD-A0A8-658F400FE75E}" name="Table1" displayName="Table1" ref="A1:L131" totalsRowShown="0" headerRowDxfId="361" dataDxfId="360">
  <autoFilter ref="A1:L131" xr:uid="{D509BF2D-FB31-40BD-A0A8-658F400FE75E}"/>
  <tableColumns count="12">
    <tableColumn id="2" xr3:uid="{2E586C6F-D941-4D45-9EFE-123F06CB0414}" name="Key" dataDxfId="359"/>
    <tableColumn id="3" xr3:uid="{7F293119-D110-41DF-BA2C-629586CDAAE4}" name="Title" dataDxfId="358"/>
    <tableColumn id="4" xr3:uid="{1804BEBF-5F87-4DF2-B011-307F40E8F48B}" name="Author" dataDxfId="357"/>
    <tableColumn id="5" xr3:uid="{C96E2BFA-9A14-459D-B4F8-7ACC84B53490}" name="Abstract" dataDxfId="356"/>
    <tableColumn id="1" xr3:uid="{2E466331-EC52-4A1A-935B-5DAB1A9B2183}" name="Publication Title" dataDxfId="355"/>
    <tableColumn id="6" xr3:uid="{C48C49A3-071F-4E5E-97AB-03C04DECFE3B}" name="Date" dataDxfId="354"/>
    <tableColumn id="7" xr3:uid="{E750E77E-D856-43AA-B9F3-EB5BB7BEBEA5}" name="Publication Year" dataDxfId="353"/>
    <tableColumn id="8" xr3:uid="{9EDE1DB7-2A8C-4B5B-A1F7-41BB136099BE}" name="Document Type" dataDxfId="352"/>
    <tableColumn id="9" xr3:uid="{359B45E3-69BD-4639-908B-10C44B59FEF3}" name="Keywords" dataDxfId="351"/>
    <tableColumn id="10" xr3:uid="{E908096D-3806-4D2C-80DA-6D93EE534774}" name="Language" dataDxfId="350"/>
    <tableColumn id="11" xr3:uid="{586DC368-1126-411C-AEA5-F8D3EBB07D6C}" name="DOI" dataDxfId="349"/>
    <tableColumn id="12" xr3:uid="{C359316C-31CB-451F-A5C8-A2343DF65B1A}" name="Accesible" dataDxfId="34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56BBD7-E7B9-4F74-9E0D-21944C332126}" name="Table128" displayName="Table128" ref="A1:L40" totalsRowShown="0" headerRowDxfId="347" dataDxfId="346">
  <autoFilter ref="A1:L40" xr:uid="{0D856F5B-CC5E-40B7-A80B-5A9F1740BB0A}"/>
  <tableColumns count="12">
    <tableColumn id="2" xr3:uid="{F660B0DF-C355-4565-9CDC-B96E402BDBD6}" name="Key" dataDxfId="345"/>
    <tableColumn id="3" xr3:uid="{E1A284D3-B74F-4182-B0B7-AB93C205EA99}" name="Title" dataDxfId="344"/>
    <tableColumn id="4" xr3:uid="{AC0E7C55-1478-4D06-A5F7-0C36AED9CEEC}" name="Author" dataDxfId="343"/>
    <tableColumn id="5" xr3:uid="{BB22579F-555E-4ADF-B269-43B6D128F51B}" name="Abstract" dataDxfId="342"/>
    <tableColumn id="6" xr3:uid="{093F15C9-8E0A-4F55-89B6-DD431F1012E5}" name="Publication Title" dataDxfId="341"/>
    <tableColumn id="7" xr3:uid="{1A4FE948-FCF0-45F9-A9E5-C2D185156D46}" name="Date" dataDxfId="340"/>
    <tableColumn id="8" xr3:uid="{EC428B5F-97BE-4AB9-A744-A9CA806C67F7}" name="Publication Year" dataDxfId="339"/>
    <tableColumn id="9" xr3:uid="{ED2C2334-77CE-434D-9C0F-782A4902CD7D}" name="Document Type" dataDxfId="338"/>
    <tableColumn id="10" xr3:uid="{5590CFC7-7805-4CAE-85A6-D14FB40D1F59}" name="Keywords" dataDxfId="337"/>
    <tableColumn id="11" xr3:uid="{3C528DBC-7F22-4913-8010-322E22BA5B8E}" name="Language" dataDxfId="336"/>
    <tableColumn id="12" xr3:uid="{B335FBCD-F897-4429-AF90-EEE5DB126F0E}" name="DOI" dataDxfId="335"/>
    <tableColumn id="18" xr3:uid="{D898537A-ED96-4E81-9F1D-2FA673F830D0}" name="Accesible" dataDxfId="334"/>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C5B85E7-D6E8-44C3-BE85-1FE27961695D}" name="Table133237" displayName="Table133237" ref="A1:L30" totalsRowShown="0" headerRowDxfId="333" dataDxfId="332">
  <autoFilter ref="A1:L30" xr:uid="{A76A092C-3880-468E-9440-135D583EFE8A}"/>
  <tableColumns count="12">
    <tableColumn id="2" xr3:uid="{F3852C42-19A8-4956-8615-E14346B96F04}" name="Key" dataDxfId="331"/>
    <tableColumn id="3" xr3:uid="{09D34403-1FC7-4F4A-AE59-5B21CE21135E}" name="Title" dataDxfId="330"/>
    <tableColumn id="4" xr3:uid="{3C063F3D-BB7D-4183-8D2C-779BF711EF9B}" name="Author" dataDxfId="329"/>
    <tableColumn id="5" xr3:uid="{4F841046-27F8-437B-99CF-B31B06AE1D37}" name="Abstract" dataDxfId="328"/>
    <tableColumn id="6" xr3:uid="{360EB8FD-89E1-44FA-86A3-7C20C3605202}" name="Publication Title" dataDxfId="327"/>
    <tableColumn id="7" xr3:uid="{ADC4708B-6918-41B9-8A08-8F3F3C0BA248}" name="Date" dataDxfId="326"/>
    <tableColumn id="8" xr3:uid="{87FB3B1C-39AF-46A5-B2F2-16C6AD9E0D77}" name="Publication Year" dataDxfId="325"/>
    <tableColumn id="9" xr3:uid="{2C6C23FD-4741-4830-9F1D-BD371B80C1DC}" name="Document Type" dataDxfId="324"/>
    <tableColumn id="10" xr3:uid="{CB7602AF-397B-4AD3-87A0-2B1E203D7C49}" name="Keywords" dataDxfId="323"/>
    <tableColumn id="11" xr3:uid="{36F03DA3-F852-4498-94FC-AB6F0DAA6620}" name="Language" dataDxfId="322"/>
    <tableColumn id="12" xr3:uid="{D1985133-0334-4510-A0BD-91E9480950E1}" name="DOI" dataDxfId="321"/>
    <tableColumn id="16" xr3:uid="{9D97EBFE-A1D9-43B5-B51A-FD3AE16CCCD7}" name="Accesible" dataDxfId="320"/>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75A0182-68F9-484B-99F6-5356D0465B69}" name="Table1332" displayName="Table1332" ref="A1:L358" totalsRowShown="0" headerRowDxfId="319" dataDxfId="318">
  <autoFilter ref="A1:L358" xr:uid="{A76A092C-3880-468E-9440-135D583EFE8A}"/>
  <tableColumns count="12">
    <tableColumn id="2" xr3:uid="{8C08860A-09D5-4E4C-B870-1F62CE16E259}" name="Key" dataDxfId="317"/>
    <tableColumn id="3" xr3:uid="{C1244690-2A70-4131-8E1F-C14B0694C373}" name="Title" dataDxfId="316"/>
    <tableColumn id="4" xr3:uid="{0E9CD5E4-9E51-4A26-B68B-B42781AA71AE}" name="Author" dataDxfId="315"/>
    <tableColumn id="5" xr3:uid="{E48E5DC9-86AE-4641-AA93-666EFA7B75FA}" name="Abstract" dataDxfId="314"/>
    <tableColumn id="6" xr3:uid="{91E9B3D1-B735-4960-8E2B-51D2FF9C9C56}" name="Publication Title" dataDxfId="313"/>
    <tableColumn id="7" xr3:uid="{4F25A8F1-AFBC-4B19-B296-28943B532D33}" name="Date" dataDxfId="312"/>
    <tableColumn id="8" xr3:uid="{CE95B0A6-140D-4EC2-AB7E-54B3F8700906}" name="Publication Year" dataDxfId="311"/>
    <tableColumn id="9" xr3:uid="{C9D85064-9BCB-47EC-B606-7EEC4AF1C594}" name="Document Type" dataDxfId="310"/>
    <tableColumn id="10" xr3:uid="{9F3277F4-83A2-4D89-BFC9-2731D2794E8F}" name="Keywords" dataDxfId="309"/>
    <tableColumn id="11" xr3:uid="{33DFA5F8-1A27-4BF8-BAAC-35C4BCCBE08B}" name="Language" dataDxfId="308"/>
    <tableColumn id="12" xr3:uid="{93FC5B7E-629C-4500-AFA4-237BC362D2C4}" name="DOI" dataDxfId="307"/>
    <tableColumn id="16" xr3:uid="{F9762A33-5187-4235-9F42-839AF6E82780}" name="Accesible" dataDxfId="306"/>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49FBBBF-5E40-4F02-A65C-FFCA00553833}" name="Table133235" displayName="Table133235" ref="A1:L126" totalsRowShown="0" headerRowDxfId="305" dataDxfId="304">
  <autoFilter ref="A1:L126" xr:uid="{A76A092C-3880-468E-9440-135D583EFE8A}"/>
  <tableColumns count="12">
    <tableColumn id="2" xr3:uid="{AA95D2AE-0F7C-451F-A5F6-A94612307437}" name="Key" dataDxfId="303"/>
    <tableColumn id="3" xr3:uid="{E3480165-B189-4861-9ABC-432B1D6050D2}" name="Title" dataDxfId="302"/>
    <tableColumn id="4" xr3:uid="{30153F41-41B8-497C-B782-B3D2EBC4582F}" name="Author" dataDxfId="301"/>
    <tableColumn id="5" xr3:uid="{2F1BBFC8-8BB1-4927-8746-69156687A7AE}" name="Abstract" dataDxfId="300"/>
    <tableColumn id="6" xr3:uid="{34812A55-D2BB-4388-B0BE-006EE6D63AC8}" name="Publication Title" dataDxfId="299"/>
    <tableColumn id="7" xr3:uid="{01A7FC58-9EA9-42E9-8FE0-C8E4CB22A21F}" name="Date" dataDxfId="298"/>
    <tableColumn id="8" xr3:uid="{839F9550-0AEE-435E-B909-992178F1DA4A}" name="Publication Year" dataDxfId="297"/>
    <tableColumn id="9" xr3:uid="{36B0B5C3-E023-465E-B667-2336685B20DF}" name="Document Type" dataDxfId="296"/>
    <tableColumn id="10" xr3:uid="{1F7A8E9A-5CD8-40F2-83DC-0E3E6807BCDE}" name="Keywords" dataDxfId="295"/>
    <tableColumn id="11" xr3:uid="{FEA71B13-4915-4727-901B-B67C202C746C}" name="Language" dataDxfId="294"/>
    <tableColumn id="12" xr3:uid="{03CDBE0B-CA83-481D-97C5-16748F4160FD}" name="DOI" dataDxfId="293"/>
    <tableColumn id="16" xr3:uid="{F6CFD0AA-685E-4F03-B9D8-090D1376A3E5}" name="Accesible" dataDxfId="292"/>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D098D3A-5EE5-48E2-99EC-6A9631D05F7F}" name="Table10192636" displayName="Table10192636" ref="B4:J10" totalsRowCount="1" headerRowDxfId="291" dataDxfId="289" totalsRowDxfId="288" headerRowBorderDxfId="290">
  <autoFilter ref="B4:J9" xr:uid="{8D098D3A-5EE5-48E2-99EC-6A9631D05F7F}"/>
  <sortState xmlns:xlrd2="http://schemas.microsoft.com/office/spreadsheetml/2017/richdata2" ref="B5:H9">
    <sortCondition ref="B4:B9"/>
  </sortState>
  <tableColumns count="9">
    <tableColumn id="1" xr3:uid="{FA6C80C9-2CE3-4816-AB60-FC0AA76758BB}" name="Source" totalsRowLabel="TOTAL" dataDxfId="287" totalsRowDxfId="286"/>
    <tableColumn id="2" xr3:uid="{D86E1F0F-1358-40E2-99D3-98E4F07164FA}" name="Total @2024" totalsRowFunction="sum" dataDxfId="285" totalsRowDxfId="284"/>
    <tableColumn id="6" xr3:uid="{12FEF684-27A7-4EFD-A122-855F0017E420}" name="Available @2024" totalsRowFunction="sum" dataDxfId="283" totalsRowDxfId="282"/>
    <tableColumn id="13" xr3:uid="{3BF5F2C6-191C-4CFE-8F3C-E9AD5A5D32A4}" name="Total @2020" totalsRowFunction="sum" dataDxfId="281" totalsRowDxfId="280"/>
    <tableColumn id="12" xr3:uid="{DCA78DB5-2E8F-4122-91C6-661443449DFA}" name="Available @2020" totalsRowFunction="sum" dataDxfId="279" totalsRowDxfId="278"/>
    <tableColumn id="3" xr3:uid="{42C3544C-456F-48B3-BF61-8C6C23236C12}" name="Tally Difference" totalsRowFunction="sum" dataDxfId="277" totalsRowDxfId="276">
      <calculatedColumnFormula>Table10192636[[#This Row],[Total @2024]]-Table10192636[[#This Row],[Total @2020]]</calculatedColumnFormula>
    </tableColumn>
    <tableColumn id="4" xr3:uid="{51E6EC57-4939-4776-8BAA-F8DCD6F357E5}" name="Available Diff" totalsRowFunction="sum" dataDxfId="275" totalsRowDxfId="274">
      <calculatedColumnFormula>Table10192636[[#This Row],[Available @2024]]-Table10192636[[#This Row],[Available @2020]]</calculatedColumnFormula>
    </tableColumn>
    <tableColumn id="5" xr3:uid="{E903A903-CB34-494E-8A7C-16BEF22199BF}" name="Tally Pct Change [%]" totalsRowFunction="average" dataDxfId="273" totalsRowDxfId="272">
      <calculatedColumnFormula>Table10192636[[#This Row],[Tally Difference]]/Table10192636[[#This Row],[Total @2024]]</calculatedColumnFormula>
    </tableColumn>
    <tableColumn id="7" xr3:uid="{D3E9F9B1-4CEB-43FD-A752-BFAADF8387AF}" name="Avail Pct Change [%]" totalsRowFunction="average" dataDxfId="271" totalsRowDxfId="270">
      <calculatedColumnFormula>Table10192636[[#This Row],[Available Diff]]/Table10192636[[#This Row],[Available @2024]]</calculatedColumn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E8A97BB-5619-48FE-A940-F93BE1E3EC07}" name="Table1019263623" displayName="Table1019263623" ref="B20:J26" totalsRowCount="1" headerRowDxfId="31" dataDxfId="30" totalsRowDxfId="29" headerRowBorderDxfId="28">
  <autoFilter ref="B20:J25" xr:uid="{1E8A97BB-5619-48FE-A940-F93BE1E3EC07}"/>
  <sortState xmlns:xlrd2="http://schemas.microsoft.com/office/spreadsheetml/2017/richdata2" ref="B21:H25">
    <sortCondition ref="B4:B9"/>
  </sortState>
  <tableColumns count="9">
    <tableColumn id="1" xr3:uid="{8E9C0390-8CF9-4B6C-BD60-D5BAEE755C89}" name="Source" totalsRowLabel="TOTAL" dataDxfId="12" totalsRowDxfId="8"/>
    <tableColumn id="2" xr3:uid="{EBFD6971-B509-494C-93FB-0AF815A70F74}" name="Total @2024" totalsRowFunction="sum" dataDxfId="11" totalsRowDxfId="7"/>
    <tableColumn id="6" xr3:uid="{B81E26AC-FE93-467D-B744-A7230146FFDA}" name="Available @2024" totalsRowFunction="sum" dataDxfId="9" totalsRowDxfId="6"/>
    <tableColumn id="13" xr3:uid="{7B0AFA0C-2FD9-46B0-8FC9-39F1FABACB1D}" name="Total @2020" totalsRowFunction="sum" dataDxfId="10" totalsRowDxfId="5"/>
    <tableColumn id="12" xr3:uid="{3261B2A4-2AD8-406B-9F91-AC0AEE5D85C6}" name="Available @2020" totalsRowFunction="sum" dataDxfId="17" totalsRowDxfId="4"/>
    <tableColumn id="3" xr3:uid="{A29C4D84-066D-4FCB-945E-C19A8C2F3FA9}" name="Tally Difference" totalsRowFunction="sum" dataDxfId="16" totalsRowDxfId="3">
      <calculatedColumnFormula>Table1019263623[[#This Row],[Total @2024]]-Table1019263623[[#This Row],[Total @2020]]</calculatedColumnFormula>
    </tableColumn>
    <tableColumn id="4" xr3:uid="{D260C74B-4CB9-4E10-AFEF-F5E8D45E5F6A}" name="Available Diff" totalsRowFunction="sum" dataDxfId="15" totalsRowDxfId="2">
      <calculatedColumnFormula>Table1019263623[[#This Row],[Available @2024]]-Table1019263623[[#This Row],[Available @2020]]</calculatedColumnFormula>
    </tableColumn>
    <tableColumn id="5" xr3:uid="{23F3A2AC-5286-4A75-BCC6-73EE337E5E73}" name="Tally Pct Change [%]" totalsRowFunction="average" dataDxfId="14" totalsRowDxfId="1">
      <calculatedColumnFormula>Table1019263623[[#This Row],[Tally Difference]]/Table1019263623[[#This Row],[Total @2024]]</calculatedColumnFormula>
    </tableColumn>
    <tableColumn id="7" xr3:uid="{98A3FBE6-0B39-4E79-9D7F-E7CB1C9B37DB}" name="Avail Pct Change [%]" totalsRowFunction="average" dataDxfId="13" totalsRowDxfId="0">
      <calculatedColumnFormula>Table1019263623[[#This Row],[Available Diff]]/Table1019263623[[#This Row],[Available @2024]]</calculatedColumnFormula>
    </tableColum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204A01A-A1A8-4427-A5B0-AF08505FE3AB}" name="Table101926" displayName="Table101926" ref="B4:G10" totalsRowCount="1" headerRowDxfId="269" dataDxfId="267" totalsRowDxfId="266" headerRowBorderDxfId="268">
  <autoFilter ref="B4:G9" xr:uid="{2204A01A-A1A8-4427-A5B0-AF08505FE3AB}"/>
  <sortState xmlns:xlrd2="http://schemas.microsoft.com/office/spreadsheetml/2017/richdata2" ref="B5:K9">
    <sortCondition ref="B4:B9"/>
  </sortState>
  <tableColumns count="6">
    <tableColumn id="1" xr3:uid="{66540C8F-FF6D-4861-AEC5-BA43B032E48E}" name="Source" totalsRowLabel="SUM" dataDxfId="265" totalsRowDxfId="264"/>
    <tableColumn id="2" xr3:uid="{945B3E1C-6EFB-40FC-AFB1-749ED21E71D3}" name="Tally" totalsRowFunction="sum" dataDxfId="263" totalsRowDxfId="262"/>
    <tableColumn id="3" xr3:uid="{7E69A040-5DD4-4D51-A14E-A3B33164B644}" name="Available" totalsRowFunction="sum" dataDxfId="261" totalsRowDxfId="260"/>
    <tableColumn id="6" xr3:uid="{E25DDA81-C69D-4872-BE46-11AD545133B3}" name="Publication/Yr." dataDxfId="259" totalsRowDxfId="258"/>
    <tableColumn id="13" xr3:uid="{47DF25F9-1CA6-4ACB-8C6A-EDF3D0BBC8F5}" name="Manuscript Type" dataDxfId="257" totalsRowDxfId="256"/>
    <tableColumn id="12" xr3:uid="{75320DFB-63CC-4508-B131-F68F5BBC01C8}" name="Publication Topics" dataDxfId="255" totalsRowDxfId="254"/>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7D1DD8-DEDD-40CF-A3FB-D13505CC19E1}" name="Table10192616" displayName="Table10192616" ref="B13:G19" totalsRowCount="1" headerRowDxfId="253" dataDxfId="251" totalsRowDxfId="250" headerRowBorderDxfId="252">
  <autoFilter ref="B13:G18" xr:uid="{0D7D1DD8-DEDD-40CF-A3FB-D13505CC19E1}"/>
  <sortState xmlns:xlrd2="http://schemas.microsoft.com/office/spreadsheetml/2017/richdata2" ref="B14:K18">
    <sortCondition ref="B4:B9"/>
  </sortState>
  <tableColumns count="6">
    <tableColumn id="1" xr3:uid="{209568F3-3CA6-4025-8782-1A6152D7D2B4}" name="Source" totalsRowLabel="SUM" dataDxfId="249" totalsRowDxfId="248"/>
    <tableColumn id="2" xr3:uid="{5BC9DBDD-5C26-4F48-9F72-3AE51DFC976F}" name="Tally" totalsRowFunction="sum" dataDxfId="247" totalsRowDxfId="246"/>
    <tableColumn id="3" xr3:uid="{A68E5AF6-B139-4DA4-8E9D-8A001580DEC9}" name="Available" totalsRowFunction="sum" dataDxfId="245" totalsRowDxfId="244"/>
    <tableColumn id="6" xr3:uid="{E3DCA7A6-2B1C-4919-97B7-672F08014F4E}" name="Publication/Yr." dataDxfId="243" totalsRowDxfId="242"/>
    <tableColumn id="13" xr3:uid="{816F6064-AD1D-449A-B65F-E6CD33754FC9}" name="Manuscript Type" dataDxfId="241" totalsRowDxfId="240"/>
    <tableColumn id="12" xr3:uid="{CF6D9EE1-C0B1-4126-9C58-DAF3FA35030E}" name="Publication Topics" dataDxfId="239" totalsRowDxfId="238"/>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FCCB334-05C7-4C4C-8E90-F3FCA929EF4A}" name="Table1938" displayName="Table1938" ref="A1:AI681" totalsRowShown="0" headerRowDxfId="237" dataDxfId="236">
  <autoFilter ref="A1:AI681" xr:uid="{DFCCB334-05C7-4C4C-8E90-F3FCA929EF4A}"/>
  <sortState xmlns:xlrd2="http://schemas.microsoft.com/office/spreadsheetml/2017/richdata2" ref="A2:AI681">
    <sortCondition ref="A1:A681"/>
  </sortState>
  <tableColumns count="35">
    <tableColumn id="1" xr3:uid="{047F8942-AF5D-4EF1-8FB5-B2381EF0F33C}" name="ID" dataDxfId="235"/>
    <tableColumn id="43" xr3:uid="{9E2FABFE-6278-4FFD-BB00-4C88F08E311C}" name="Source" dataDxfId="234"/>
    <tableColumn id="2" xr3:uid="{35BAE888-9113-4428-8DC9-D3E1A4660D3C}" name="Key" dataDxfId="233">
      <calculatedColumnFormula>Table1[[#This Row],[Key]]</calculatedColumnFormula>
    </tableColumn>
    <tableColumn id="3" xr3:uid="{B0EED473-2AFD-4830-8A57-98326F3DC924}" name="Title" dataDxfId="232">
      <calculatedColumnFormula>Table1[[#This Row],[Title]]</calculatedColumnFormula>
    </tableColumn>
    <tableColumn id="4" xr3:uid="{3863DCCD-6DE4-462C-AA23-6A52173BA31D}" name="Author" dataDxfId="231">
      <calculatedColumnFormula>Table1[[#This Row],[Author]]</calculatedColumnFormula>
    </tableColumn>
    <tableColumn id="5" xr3:uid="{D031792E-6458-4DF1-9989-0487CDB01686}" name="Abstract" dataDxfId="230">
      <calculatedColumnFormula>Table1[[#This Row],[Abstract]]</calculatedColumnFormula>
    </tableColumn>
    <tableColumn id="6" xr3:uid="{01B886FC-BAC2-4D98-A80F-B530ADE942CD}" name="Publication Title" dataDxfId="229">
      <calculatedColumnFormula>Table1[[#This Row],[Publication Title]]</calculatedColumnFormula>
    </tableColumn>
    <tableColumn id="7" xr3:uid="{B453FD11-3D51-4E96-B304-FA4E87578A3C}" name="Date" dataDxfId="228">
      <calculatedColumnFormula>Table1[[#This Row],[Date]]</calculatedColumnFormula>
    </tableColumn>
    <tableColumn id="38" xr3:uid="{0A752692-241E-432C-9686-D976931CED0A}" name="Publication Year" dataDxfId="227">
      <calculatedColumnFormula>Table1[[#This Row],[Publication Year]]</calculatedColumnFormula>
    </tableColumn>
    <tableColumn id="39" xr3:uid="{4F5F9ED7-9155-47A1-A5B3-72F8B1B7FC93}" name="Document Type" dataDxfId="226">
      <calculatedColumnFormula>Table1[[#This Row],[Document Type]]</calculatedColumnFormula>
    </tableColumn>
    <tableColumn id="40" xr3:uid="{718BC72A-812C-4A74-81BA-D2B0C5E3FD53}" name="Keywords" dataDxfId="225">
      <calculatedColumnFormula>Table1[[#This Row],[Keywords]]</calculatedColumnFormula>
    </tableColumn>
    <tableColumn id="41" xr3:uid="{69541A2F-440B-45B1-89C3-0DD1DECA8C7C}" name="Language" dataDxfId="224">
      <calculatedColumnFormula>Table1[[#This Row],[Language]]</calculatedColumnFormula>
    </tableColumn>
    <tableColumn id="42" xr3:uid="{5E52F370-AC42-4F4F-AEA2-50A717C7C6B6}" name="DOI" dataDxfId="223">
      <calculatedColumnFormula>Table1[[#This Row],[DOI]]</calculatedColumnFormula>
    </tableColumn>
    <tableColumn id="21" xr3:uid="{A54B491C-D23D-4CD6-A022-01DF8AC71981}" name="Accesible" dataDxfId="222">
      <calculatedColumnFormula>Table1[[#This Row],[Accesible]]</calculatedColumnFormula>
    </tableColumn>
    <tableColumn id="12" xr3:uid="{B2A422D8-76E6-4B41-AA62-517DE5A3AB63}" name="EC-01" dataDxfId="221">
      <calculatedColumnFormula>IF(Table1938[[#This Row],[Title]]="",TRUE,FALSE)</calculatedColumnFormula>
    </tableColumn>
    <tableColumn id="25" xr3:uid="{6E1858DF-9867-4057-B5B2-98C0B6589F34}" name="EC-02" dataDxfId="220">
      <calculatedColumnFormula>IF(Table1938[[#This Row],[Author]]="",TRUE,FALSE)</calculatedColumnFormula>
    </tableColumn>
    <tableColumn id="13" xr3:uid="{E2BAD854-7100-4913-ABB2-F2C2BD7A74F5}" name="EC-03" dataDxfId="219">
      <calculatedColumnFormula>IF(Table1938[[#This Row],[DOI]]&lt;&gt;"", FALSE,TRUE)</calculatedColumnFormula>
    </tableColumn>
    <tableColumn id="32" xr3:uid="{4378368D-33F8-4F85-B8F1-DF0CEFE9E027}" name="EC-04" dataDxfId="218">
      <calculatedColumnFormula>IF(Table1938[[#This Row],[Abstract]]="",TRUE,FALSE)</calculatedColumnFormula>
    </tableColumn>
    <tableColumn id="15" xr3:uid="{67870D0E-53DA-413F-9E26-76D22AAFBD40}" name="EC-05" dataDxfId="217">
      <calculatedColumnFormula>IF(OR(Table1938[[#This Row],[Document Type]]="book",Table1938[[#This Row],[Document Type]]="bookSection"),TRUE,FALSE)</calculatedColumnFormula>
    </tableColumn>
    <tableColumn id="16" xr3:uid="{7B08E54B-94CA-494B-89C6-08A134EF7BB2}" name="EC-06" dataDxfId="216">
      <calculatedColumnFormula>NOT(IF(OR(Table1938[[#This Row],[Language]]&lt;&gt;"en",Table1938[[#This Row],[Language]]&lt;&gt;"EN",Table1938[[#This Row],[Language]]&lt;&gt;"spa",Table1938[[#This Row],[Language]]&lt;&gt;"SPA"),TRUE,FALSE))</calculatedColumnFormula>
    </tableColumn>
    <tableColumn id="8" xr3:uid="{907B4781-4056-42B9-B03A-746799969B7A}" name="Pass-EC" dataDxfId="215">
      <calculatedColumnFormula>IF(AND(Table1938[[#This Row],[EC-01]]=FALSE,Table1938[[#This Row],[EC-02]]=FALSE,Table1938[[#This Row],[EC-03]]=FALSE,Table1938[[#This Row],[EC-04]]=FALSE,Table1938[[#This Row],[EC-05]]=FALSE,Table1938[[#This Row],[EC-06]]=FALSE),TRUE,FALSE)</calculatedColumnFormula>
    </tableColumn>
    <tableColumn id="17" xr3:uid="{EF19BAFB-2E8C-4F7C-8026-5727F72597AF}" name="IC-01 @2024" dataDxfId="214">
      <calculatedColumnFormula>IF(Table1938[[#This Row],[Date]]&lt;&gt;"",AND(YEAR(Table1938[[#This Row],[Date]])&gt;=2010, YEAR(Table1938[[#This Row],[Date]])&lt;=2024),FALSE)</calculatedColumnFormula>
    </tableColumn>
    <tableColumn id="33" xr3:uid="{B0C014C5-BBEB-449B-9503-1C597525F4F2}" name="IC-01 @2020" dataDxfId="213">
      <calculatedColumnFormula>IF(Table1938[[#This Row],[Date]]&lt;&gt;"",AND(YEAR(Table1938[[#This Row],[Date]])&gt;=2010, YEAR(Table1938[[#This Row],[Date]])&lt;=2020),FALSE)</calculatedColumnFormula>
    </tableColumn>
    <tableColumn id="18" xr3:uid="{305DB243-7356-4CAD-8136-80E5E8B9D201}" name="IC-02" dataDxfId="212">
      <calculatedColumnFormula>IF(AND(Table1938[[#This Row],[Accesible]]=TRUE,Table1938[[#This Row],[DOI]]&lt;&gt;""),TRUE,FALSE)</calculatedColumnFormula>
    </tableColumn>
    <tableColumn id="19" xr3:uid="{ACEC48EA-847F-4FB6-90E5-72053D5D5AFB}" name="IC-03" dataDxfId="211">
      <calculatedColumnFormula>OR(Table1938[[#This Row],[Document Type]]="journalArticle",Table1938[[#This Row],[Document Type]]="conferencePaper",Table1938[[#This Row],[Document Type]]="review")</calculatedColumnFormula>
    </tableColumn>
    <tableColumn id="20" xr3:uid="{EAC23568-0220-42FC-B0E9-AA020B79622C}" name="IC-04" dataDxfId="210">
      <calculatedColumnFormula array="1">SUMPRODUCT(--ISNUMBER(SEARCH({"dimensional analysis","dimensionless coefficients","Π","Pi","theorem","software","design","tools","development","architecture","similar"}, LOWER(Table1938[[#This Row],[Title]]))))&gt;0</calculatedColumnFormula>
    </tableColumn>
    <tableColumn id="29" xr3:uid="{0C8F6AB4-B77B-4A6D-A4B4-57E5E93092F5}" name="IC-05" dataDxfId="209">
      <calculatedColumnFormula array="1">SUMPRODUCT(--ISNUMBER(SEARCH({"dimensional analysis","dimensionless coefficients","Π","Pi","theorem","software","design","tools","development","architecture","similar"}, LOWER(Table1938[[#This Row],[Abstract]]))))&gt;0</calculatedColumnFormula>
    </tableColumn>
    <tableColumn id="23" xr3:uid="{F85BA45C-79B8-446E-9AF4-D02029B2F3DB}" name="Pass-IC" dataDxfId="208">
      <calculatedColumnFormula>AND(OR(Table1938[[#This Row],[IC-01 @2024]:[IC-01 @2020]])=TRUE,Table1938[[#This Row],[IC-02]]=TRUE,Table1938[[#This Row],[IC-03]]=TRUE,Table1938[[#This Row],[IC-04]]=TRUE,Table1938[[#This Row],[IC-05]]=TRUE)</calculatedColumnFormula>
    </tableColumn>
    <tableColumn id="24" xr3:uid="{F41832F4-6372-42C1-8B9A-E890E8149330}" name="IC + EC" dataDxfId="207">
      <calculatedColumnFormula>AND(Table1938[[#This Row],[Pass-IC]]=TRUE,Table1938[[#This Row],[Pass-EC]]=TRUE)</calculatedColumnFormula>
    </tableColumn>
    <tableColumn id="26" xr3:uid="{51158938-CF4C-47C0-BAF0-496CDFD72E15}" name="Unique" dataDxfId="206">
      <calculatedColumnFormula>COUNTIF($D2:D$25, Table1938[[#This Row],[Title]]) = 1</calculatedColumnFormula>
    </tableColumn>
    <tableColumn id="27" xr3:uid="{CE34BCF8-9D6E-4DFC-9A17-6D5E92E5B06A}" name="Interesting" dataDxfId="205">
      <calculatedColumnFormula>AND(Table1938[[#This Row],[IC + EC]:[Unique]])</calculatedColumnFormula>
    </tableColumn>
    <tableColumn id="9" xr3:uid="{22CD8E18-68E3-4146-9FED-B2A45A72BA43}" name="Double Check" dataDxfId="204"/>
    <tableColumn id="34" xr3:uid="{A38FAD05-D467-41E6-ACD3-F88E044DFBD5}" name="Inspected" dataDxfId="203"/>
    <tableColumn id="35" xr3:uid="{DFE97FFF-F1C7-413E-88FE-2C27D8261B3B}" name="Relevant" dataDxfId="202"/>
    <tableColumn id="28" xr3:uid="{420856A8-7AC4-47AF-9751-DA128A394EAF}" name="SELECTED" dataDxfId="201">
      <calculatedColumnFormula>IF(AND(Table1938[[#This Row],[Double Check]]=TRUE,Table1938[[#This Row],[Inspected]]=TRUE,Table1938[[#This Row],[Relevant]]=TRUE),TRUE,FALSE)</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28DBB6B-324A-425F-8DC5-3ED0D4FAE5A5}" name="Table2529" displayName="Table2529" ref="B1:M9" totalsRowShown="0" headerRowDxfId="200" dataDxfId="198" headerRowBorderDxfId="199" tableBorderDxfId="197">
  <autoFilter ref="B1:M9" xr:uid="{12FCEAC0-DF9D-4353-80B4-DE66E522438C}"/>
  <tableColumns count="12">
    <tableColumn id="1" xr3:uid="{8FFB9C58-D041-4D9D-AFB4-688F6C110467}" name="ID" dataDxfId="196"/>
    <tableColumn id="3" xr3:uid="{8E9A2F46-08EA-4EDD-905E-62365E387A20}" name="Document Title" dataDxfId="195"/>
    <tableColumn id="2" xr3:uid="{B11ACC88-BB5F-4FB4-8288-D9EEF719949D}" name="Key" dataDxfId="194"/>
    <tableColumn id="4" xr3:uid="{6DDF3375-307B-4EFA-AE79-7AB84529C37C}" name="Publication Year" dataDxfId="193"/>
    <tableColumn id="5" xr3:uid="{81E9C81E-D28E-42FF-AD77-D1F9EEE00D5D}" name="QF-01" dataDxfId="192"/>
    <tableColumn id="7" xr3:uid="{393998E8-2DDE-4AF7-9DFA-33C18144084B}" name="QF-02" dataDxfId="191"/>
    <tableColumn id="8" xr3:uid="{86B6F7F4-839F-47E4-9AC5-0C288B763C35}" name="QF-03" dataDxfId="190"/>
    <tableColumn id="9" xr3:uid="{AE517E4B-E06A-40C8-9F1D-2D767C2C7578}" name="QF-04" dataDxfId="189"/>
    <tableColumn id="20" xr3:uid="{E8C139D4-7A96-4BDE-BBC8-E38615FADE1A}" name="QF-05" dataDxfId="188"/>
    <tableColumn id="10" xr3:uid="{C1286042-DA41-4832-BA9D-6648E87378EE}" name="QF-06" dataDxfId="187"/>
    <tableColumn id="12" xr3:uid="{4BD73922-0036-4552-998C-3F79F16509AF}" name=" Score" dataDxfId="186">
      <calculatedColumnFormula>SUM(COUNTIF(Table2529[[#This Row],[QF-01]:[QF-06]],"YES"),COUNTIF(Table2529[[#This Row],[QF-01]:[QF-06]],"PARTIALLY")/2,COUNTIF(Table2529[[#This Row],[QF-01]:[QF-06]],"YES/NO"))/COUNTA(Table2529[[#This Row],[QF-01]:[QF-06]])</calculatedColumnFormula>
    </tableColumn>
    <tableColumn id="15" xr3:uid="{CF6F06D9-666B-4C6C-B026-027D03EC6400}" name="Selected?" dataDxfId="185" dataCellStyle="Normal">
      <calculatedColumnFormula>IF(Table2529[[#This Row],[ Score]]&gt;0.7, "YES", "NO")</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8F345B-1342-4B7D-8501-69B914E07903}" name="Table19" displayName="Table19" ref="Q1:Z9" totalsRowShown="0" headerRowDxfId="184" dataDxfId="183">
  <autoFilter ref="Q1:Z9" xr:uid="{C88F345B-1342-4B7D-8501-69B914E07903}"/>
  <tableColumns count="10">
    <tableColumn id="1" xr3:uid="{59A0A547-3B1E-4D32-87E7-D77C64D8150E}" name="ID" dataDxfId="182"/>
    <tableColumn id="2" xr3:uid="{54E0B9D9-4C7A-4D0C-A315-359CF9C8B27B}" name="Document Title" dataDxfId="181"/>
    <tableColumn id="3" xr3:uid="{537B1BF3-49D1-4D6B-9DD5-320E6AB15680}" name="Key" dataDxfId="180"/>
    <tableColumn id="4" xr3:uid="{9945CA88-6133-4BB9-B97F-1F143BBADD16}" name="Publication Year" dataDxfId="179"/>
    <tableColumn id="5" xr3:uid="{1BEF25E6-A052-443D-857A-1B55252259D1}" name="QF-01" dataDxfId="178"/>
    <tableColumn id="6" xr3:uid="{E3002D4A-84FC-4940-9CF1-AC92BDB1CA25}" name="QF-02" dataDxfId="177"/>
    <tableColumn id="7" xr3:uid="{B949DCA5-A064-433F-96CE-249BA5CA8F21}" name="QF-03" dataDxfId="176"/>
    <tableColumn id="8" xr3:uid="{C87D5784-85DA-450A-8D6C-15ED566DAD88}" name="QF-04" dataDxfId="175"/>
    <tableColumn id="9" xr3:uid="{0182B308-7289-48C7-B0DD-87F2839F549F}" name="QF-05" dataDxfId="174"/>
    <tableColumn id="10" xr3:uid="{4FAAD620-B364-4374-A49A-E8280BD65C4D}" name="QF-06" dataDxfId="173"/>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1CD15-74A7-444A-906B-E77B7335A90B}" name="Table15" displayName="Table15" ref="A2:F19" totalsRowShown="0" headerRowDxfId="172" dataDxfId="171">
  <autoFilter ref="A2:F19" xr:uid="{D071CD15-74A7-444A-906B-E77B7335A90B}"/>
  <tableColumns count="6">
    <tableColumn id="1" xr3:uid="{40E737F8-E4F8-457B-B1C5-6D10BD5CF685}" name="Filter" dataDxfId="170"/>
    <tableColumn id="2" xr3:uid="{D8414918-E370-4F1F-AD88-A466B31F39C4}" name="Relevant Feature" dataDxfId="169"/>
    <tableColumn id="3" xr3:uid="{42B48EA1-04D0-4CCE-ADDB-23CF20D30B4B}" name="Operation" dataDxfId="168"/>
    <tableColumn id="4" xr3:uid="{775017CB-0EE7-455B-BE2C-E6F7B96185DA}" name="Reason" dataDxfId="167"/>
    <tableColumn id="5" xr3:uid="{9C19098A-EDB9-42B6-A442-670ECDF64FF4}" name="Count @2024" dataDxfId="166">
      <calculatedColumnFormula>SUM(Table10192636[Total @2024])</calculatedColumnFormula>
    </tableColumn>
    <tableColumn id="6" xr3:uid="{9268B411-8751-4D8D-A367-3870EE6E8A86}" name="Count @2020" dataDxfId="165">
      <calculatedColumnFormula>SUM(Table10192636[Total @2020])</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A0168-083B-4E55-AC34-3943D7FBDA9B}" name="Table2" displayName="Table2" ref="B2:X10" totalsRowShown="0" headerRowDxfId="164" dataDxfId="162" headerRowBorderDxfId="163" tableBorderDxfId="161">
  <autoFilter ref="B2:X10" xr:uid="{ABDA0168-083B-4E55-AC34-3943D7FBDA9B}">
    <filterColumn colId="0">
      <colorFilter dxfId="160" cellColor="0"/>
    </filterColumn>
  </autoFilter>
  <sortState xmlns:xlrd2="http://schemas.microsoft.com/office/spreadsheetml/2017/richdata2" ref="B3:X9">
    <sortCondition ref="B2:B9"/>
  </sortState>
  <tableColumns count="23">
    <tableColumn id="1" xr3:uid="{CC032B63-E461-4529-9597-41C47A62F2C7}" name="ID" dataDxfId="159"/>
    <tableColumn id="2" xr3:uid="{0C33C401-15CE-4EE6-B5E1-2F45283190FC}" name="Source" dataDxfId="158"/>
    <tableColumn id="8" xr3:uid="{DA2815E0-BF7B-4866-A389-559A84067622}" name="Key" dataDxfId="157"/>
    <tableColumn id="3" xr3:uid="{205C2541-CBD9-4952-AEEF-AA5D347BAA09}" name="Title" dataDxfId="156"/>
    <tableColumn id="4" xr3:uid="{F59973D8-64A9-4724-AE0E-20B9D5D1D88F}" name="Author" dataDxfId="155"/>
    <tableColumn id="13" xr3:uid="{E62D1305-118E-4956-9428-F38A65BD5A24}" name="Publication Year" dataDxfId="154"/>
    <tableColumn id="14" xr3:uid="{B96C756A-30EF-4866-A30C-D8AC771466B9}" name="Abstract" dataDxfId="153"/>
    <tableColumn id="23" xr3:uid="{28DA1E4B-23D0-4BB9-909B-A655011BEA05}" name="Venue" dataDxfId="152"/>
    <tableColumn id="5" xr3:uid="{598668C0-ECF6-4BE4-8A57-FB77D67C348E}" name="Available Date" dataDxfId="151"/>
    <tableColumn id="6" xr3:uid="{903B8CD0-9A09-45F6-AC54-F264E6D79FCF}" name="Type" dataDxfId="150"/>
    <tableColumn id="36" xr3:uid="{37834813-E77A-43D6-8BE0-841F874BBDA9}" name="Short Title" dataDxfId="149"/>
    <tableColumn id="15" xr3:uid="{D7E9E1A1-6467-4DE6-BD1C-FF5167247366}" name="Keywords" dataDxfId="148"/>
    <tableColumn id="10" xr3:uid="{480C637D-F773-4E19-B4C9-5FC6DABFF848}" name="DOI" dataDxfId="147"/>
    <tableColumn id="12" xr3:uid="{9F207C8D-913B-476C-B909-029DE3ECB23A}" name="URL" dataDxfId="146"/>
    <tableColumn id="37" xr3:uid="{DF5032A0-47F8-42AA-8DA8-107D8F3D3971}" name="One-Sentence Summary" dataDxfId="145"/>
    <tableColumn id="16" xr3:uid="{53E87D40-D79C-43EE-ADAC-F5D9EE22743A}" name="Methodology" dataDxfId="144"/>
    <tableColumn id="17" xr3:uid="{984FDD50-A81D-46F1-B6BA-C26F9661FFE8}" name="Tools" dataDxfId="143"/>
    <tableColumn id="18" xr3:uid="{EA30047C-3791-4B88-95C8-51219D99423A}" name="Results" dataDxfId="142"/>
    <tableColumn id="19" xr3:uid="{87AA90CD-EB34-408D-AA99-C2D46048ECAC}" name="Limitations" dataDxfId="141"/>
    <tableColumn id="20" xr3:uid="{7C44B6B5-E216-4C15-B62A-BC6E1EC78F9D}" name="Future Directions" dataDxfId="140"/>
    <tableColumn id="40" xr3:uid="{A707AB7A-397C-436A-8F99-D5C2400C407F}" name="Benchmark / Use Case" dataDxfId="139"/>
    <tableColumn id="39" xr3:uid="{D63F9576-DD4C-48FD-B110-D7CA27D77B72}" name="Key Concepts" dataDxfId="138"/>
    <tableColumn id="22" xr3:uid="{E7CDEE8B-D996-45A5-A14C-56B5746A5AF0}" name="Reference Count" dataDxfId="137"/>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DCB30A-C684-49A1-88FA-264CA2047AEB}" name="Table22" displayName="Table22" ref="A1:P9" totalsRowShown="0" headerRowDxfId="136" dataDxfId="134" headerRowBorderDxfId="135" tableBorderDxfId="133">
  <autoFilter ref="A1:P9" xr:uid="{ABDA0168-083B-4E55-AC34-3943D7FBDA9B}">
    <filterColumn colId="0">
      <colorFilter dxfId="132" cellColor="0"/>
    </filterColumn>
  </autoFilter>
  <sortState xmlns:xlrd2="http://schemas.microsoft.com/office/spreadsheetml/2017/richdata2" ref="A2:P9">
    <sortCondition ref="A1:A9"/>
  </sortState>
  <tableColumns count="16">
    <tableColumn id="1" xr3:uid="{E0B17D00-806F-4DFF-AFA4-36AA124331FC}" name="ID" dataDxfId="131"/>
    <tableColumn id="2" xr3:uid="{7647A7D5-CB49-4C16-92D5-C5F94CC61A6F}" name="Source" dataDxfId="130"/>
    <tableColumn id="8" xr3:uid="{AE67EA22-6489-42E0-85E4-E64CB0845512}" name="Key" dataDxfId="129"/>
    <tableColumn id="3" xr3:uid="{AD4A1B4C-669D-47B3-AFE9-262D693E1B4F}" name="Title" dataDxfId="128"/>
    <tableColumn id="4" xr3:uid="{A3B90DB0-FA0C-492A-8853-04E43EC46E6B}" name="Author" dataDxfId="127"/>
    <tableColumn id="13" xr3:uid="{2F0EB0BC-7B2D-4388-928B-0FC08728D6BC}" name="Publication Year" dataDxfId="126"/>
    <tableColumn id="23" xr3:uid="{02705463-CC24-46A0-BE7E-FBBC3205E959}" name="Venue" dataDxfId="125"/>
    <tableColumn id="37" xr3:uid="{85352FB5-0DA8-4E35-88E0-B46805C0BBA0}" name="One-Sentence Summary" dataDxfId="124"/>
    <tableColumn id="16" xr3:uid="{DD3C16F3-BD2C-4A99-BA00-7236A853BAAC}" name="Methodology 🟡" dataDxfId="123"/>
    <tableColumn id="17" xr3:uid="{C23EC7BB-5CF0-40DD-8D43-98B11EAF708E}" name="Tools 🟡" dataDxfId="122"/>
    <tableColumn id="18" xr3:uid="{441461DF-36CE-44CA-8C4D-8A9F3380B085}" name="Results 🟡" dataDxfId="121"/>
    <tableColumn id="19" xr3:uid="{AE888A91-FFB5-435C-A49D-98E32831BE24}" name="Limitations 🟡" dataDxfId="120"/>
    <tableColumn id="20" xr3:uid="{C0501D2E-1F89-4FF7-A1EE-7D3640DB91DE}" name="Future Directions 🟡" dataDxfId="119"/>
    <tableColumn id="40" xr3:uid="{922C0422-0DF5-4261-B5A5-BA310F8ED2E4}" name="Benchmark / Use Case 🟡" dataDxfId="118"/>
    <tableColumn id="39" xr3:uid="{AAB8308B-BEF1-4BD1-A9B0-BBAA9C47E000}" name="Key Concepts 🟡" dataDxfId="117"/>
    <tableColumn id="22" xr3:uid="{8B02DB23-B8F6-488B-9B91-07ECCDB1DA9F}" name="Reference Count" dataDxfId="116"/>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94F0AE-08C1-4061-B7D5-F43F34C4BC99}" name="Table101626" displayName="Table101626" ref="B2:J9" totalsRowCount="1" headerRowDxfId="115" dataDxfId="114">
  <autoFilter ref="B2:J8" xr:uid="{5CEC1F03-9F12-4087-9B6F-B76937857AA4}"/>
  <sortState xmlns:xlrd2="http://schemas.microsoft.com/office/spreadsheetml/2017/richdata2" ref="B3:H5">
    <sortCondition ref="D2:D5"/>
  </sortState>
  <tableColumns count="9">
    <tableColumn id="1" xr3:uid="{28F12042-5EF3-4F39-9D8F-B8674230D933}" name="Voyant Title" dataDxfId="113" totalsRowDxfId="112"/>
    <tableColumn id="8" xr3:uid="{2A67281D-1862-42E0-BC63-3609318E2A32}" name="Document Title" dataDxfId="111" totalsRowDxfId="110"/>
    <tableColumn id="7" xr3:uid="{C2133547-2D12-4C7F-A099-E91760F6B783}" name="ID" totalsRowLabel="Average" dataDxfId="109" totalsRowDxfId="108"/>
    <tableColumn id="2" xr3:uid="{0F209C1B-FA82-427C-8039-585732AA2F86}" name="Words" totalsRowFunction="average" dataDxfId="107" totalsRowDxfId="106"/>
    <tableColumn id="3" xr3:uid="{2EDD4427-9F3C-46DE-B96F-7593FE43CE30}" name="Types" totalsRowFunction="average" dataDxfId="105" totalsRowDxfId="104"/>
    <tableColumn id="4" xr3:uid="{326D307A-DB9E-41E9-A90D-99CDF7457414}" name="Ratio" totalsRowFunction="average" dataDxfId="103" totalsRowDxfId="102">
      <calculatedColumnFormula>Table101626[[#This Row],[Types]]/Table101626[[#This Row],[Words]]</calculatedColumnFormula>
    </tableColumn>
    <tableColumn id="5" xr3:uid="{D157AA1B-4C85-4731-8F97-5ABBBD087F2A}" name="Words/Sentence" totalsRowFunction="average" dataDxfId="101" totalsRowDxfId="100"/>
    <tableColumn id="6" xr3:uid="{38F7DCBB-F825-4F66-AA13-3B615F962B51}" name="Readability Index" totalsRowFunction="average" dataDxfId="99" totalsRowDxfId="98"/>
    <tableColumn id="9" xr3:uid="{54DE2CE8-F3EB-4926-A388-E8BE5FB98784}" name="Comment" dataDxfId="97" totalsRowDxfId="96"/>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C1DA189-C18B-4F93-902B-D1D6FED264A5}" name="Table10" displayName="Table10" ref="B2:I8" totalsRowShown="0" headerRowDxfId="95" dataDxfId="94">
  <autoFilter ref="B2:I8" xr:uid="{FC1DA189-C18B-4F93-902B-D1D6FED264A5}"/>
  <tableColumns count="8">
    <tableColumn id="1" xr3:uid="{3E1C3869-8153-4042-8C0F-D97D3F797C5F}" name="Voyant Name" dataDxfId="93"/>
    <tableColumn id="8" xr3:uid="{57E2187E-1DE8-41BD-9119-0CAD59EC85C7}" name="Title" dataDxfId="92"/>
    <tableColumn id="2" xr3:uid="{789F0709-3BAE-480D-9F08-7C0D2BA75FA7}" name="ID" dataDxfId="91"/>
    <tableColumn id="3" xr3:uid="{9912881F-50BF-42E2-A18C-0DABBF1F7746}" name="analysis" dataDxfId="90"/>
    <tableColumn id="4" xr3:uid="{EC725982-D6E6-4A72-A346-CD86B4CDFC31}" name="dimensional" dataDxfId="89"/>
    <tableColumn id="5" xr3:uid="{67B37175-9734-4531-B03D-AB2F26FDB4CA}" name="machine*" dataDxfId="88"/>
    <tableColumn id="6" xr3:uid="{8DE11219-E564-444D-8E4C-A92331E4A264}" name="efficiency" dataDxfId="87"/>
    <tableColumn id="7" xr3:uid="{F99E4FC8-032C-4288-ABB6-E01A83718026}" name="parameters" dataDxfId="86"/>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B268150-0269-4350-9D54-E94A61E4A19F}" name="Table11" displayName="Table11" ref="B13:K19" totalsRowShown="0" headerRowDxfId="85" dataDxfId="84">
  <autoFilter ref="B13:K19" xr:uid="{BB268150-0269-4350-9D54-E94A61E4A19F}"/>
  <tableColumns count="10">
    <tableColumn id="1" xr3:uid="{C18D1D7A-D8ED-4438-A83E-FC5FB21E5274}" name="Voyant Name" dataDxfId="83"/>
    <tableColumn id="2" xr3:uid="{9B815CED-F0D8-49F4-9C67-539E91CF3AF0}" name="Title" dataDxfId="82"/>
    <tableColumn id="3" xr3:uid="{501B3D54-F8F7-4546-B8E6-6D3E59206FC5}" name="ID" dataDxfId="81"/>
    <tableColumn id="4" xr3:uid="{D6093D0C-DD91-4EFE-9804-5CBF32CDC9BB}" name="dimension*" dataDxfId="80"/>
    <tableColumn id="5" xr3:uid="{F7CB18F5-7B9C-41D4-83BB-AAADEA9F6B74}" name="machine*" dataDxfId="79"/>
    <tableColumn id="6" xr3:uid="{2B6CDE79-3C91-4DCA-8670-5A87BBA933D8}" name="analysis*" dataDxfId="78"/>
    <tableColumn id="7" xr3:uid="{9AA7ACC3-E1A2-4507-91FA-2A2E345E5EDF}" name="parameter*" dataDxfId="77"/>
    <tableColumn id="8" xr3:uid="{6C5603F2-52E8-41E1-A40B-CF34E44CB245}" name="function*" dataDxfId="76"/>
    <tableColumn id="9" xr3:uid="{B1F08358-C328-475B-B508-A48F9CE7B658}" name="efficiency" dataDxfId="75"/>
    <tableColumn id="10" xr3:uid="{98746DA1-8CC1-4E00-9A3D-D21C46786985}" name="surface*" dataDxfId="74"/>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BBD689-3039-4891-A887-DF0057D5D53F}" name="Table8" displayName="Table8" ref="L2:P7" totalsRowShown="0" headerRowDxfId="73" dataDxfId="72">
  <autoFilter ref="L2:P7" xr:uid="{48BBD689-3039-4891-A887-DF0057D5D53F}"/>
  <tableColumns count="5">
    <tableColumn id="1" xr3:uid="{A53841C2-A69A-4DD6-A579-A11A3A77CF56}" name="Topic" dataDxfId="71"/>
    <tableColumn id="2" xr3:uid="{A3DE2D46-745F-4DAE-93BA-9EB3EE34FFA7}" name="Key Terms" dataDxfId="70"/>
    <tableColumn id="3" xr3:uid="{4941C282-E94F-4ACE-AA23-D57532D7AB6D}" name="Focus Area" dataDxfId="69"/>
    <tableColumn id="4" xr3:uid="{82BEC874-9BD4-4882-BFDD-D3CBE3C596A2}" name="Suggested Label" dataDxfId="68"/>
    <tableColumn id="7" xr3:uid="{C7599D66-257F-4C89-BAD8-776FA98DB67D}" name="Label" dataDxfId="67"/>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102FCCD-896D-474C-9E1C-66BCB0D9BC1A}" name="Table17" displayName="Table17" ref="B2:J8" totalsRowShown="0" headerRowDxfId="66" dataDxfId="65">
  <autoFilter ref="B2:J8" xr:uid="{E102FCCD-896D-474C-9E1C-66BCB0D9BC1A}"/>
  <sortState xmlns:xlrd2="http://schemas.microsoft.com/office/spreadsheetml/2017/richdata2" ref="B3:J8">
    <sortCondition ref="D2:D8"/>
  </sortState>
  <tableColumns count="9">
    <tableColumn id="1" xr3:uid="{558FE68F-9F47-4E75-8E84-C631F73780FF}" name="Voyant Name" dataDxfId="64" totalsRowDxfId="63"/>
    <tableColumn id="3" xr3:uid="{B7DE17DF-4611-4358-BDD9-DBA365751032}" name="Title" dataDxfId="62" totalsRowDxfId="61"/>
    <tableColumn id="11" xr3:uid="{AEEEAEAB-84EB-4C5D-B067-A3F37A3DE17B}" name="ID" dataDxfId="60" totalsRowDxfId="59"/>
    <tableColumn id="4" xr3:uid="{A1EB0FFA-E2C5-4C02-BC86-220521545549}" name="DIMTHEO" dataDxfId="58" totalsRowDxfId="57"/>
    <tableColumn id="5" xr3:uid="{5517F53E-1139-4ABA-8285-015C73A5D92F}" name="FORQUAN" dataDxfId="56" totalsRowDxfId="55"/>
    <tableColumn id="6" xr3:uid="{6759D891-E44F-4B6E-9F49-AD72BECCDFAE}" name="HWARCH" dataDxfId="54" totalsRowDxfId="53"/>
    <tableColumn id="7" xr3:uid="{097454D6-222E-49FE-A722-C713CE8C45A6}" name="COMPEFF" dataDxfId="52" totalsRowDxfId="51"/>
    <tableColumn id="8" xr3:uid="{13B5A683-6F3A-4B98-B6C8-5AE3E43D2B6B}" name="PROCMOD" dataDxfId="50" totalsRowDxfId="49"/>
    <tableColumn id="9" xr3:uid="{12CC5DBC-3944-4B22-8ABA-E287169C5CB4}" name="Primary Focus" dataDxfId="48" totalsRowDxfId="47"/>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3D5D20-9A5B-49AA-ADCF-3B85CB8F4979}" name="Table20" displayName="Table20" ref="B3:E9" totalsRowShown="0" headerRowDxfId="46" dataDxfId="45">
  <autoFilter ref="B3:E9" xr:uid="{AB3D5D20-9A5B-49AA-ADCF-3B85CB8F4979}"/>
  <tableColumns count="4">
    <tableColumn id="1" xr3:uid="{162034C7-70FA-4627-9518-8523886FE87A}" name="ID" dataDxfId="44"/>
    <tableColumn id="2" xr3:uid="{64110480-1494-41C8-96B5-2C44CB1F117A}" name="Title" dataDxfId="43"/>
    <tableColumn id="3" xr3:uid="{274ACFB2-584F-4930-B9E0-0C5EB800010A}" name="Primary Categories" dataDxfId="42"/>
    <tableColumn id="4" xr3:uid="{93E6770A-F768-4CC0-BDDC-888AE0708C16}" name="Justification" dataDxfId="41"/>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B22342-51F9-44DB-B935-1F51F4CC5089}" name="Table21" displayName="Table21" ref="B3:E20" totalsRowShown="0" headerRowDxfId="40" dataDxfId="39">
  <autoFilter ref="B3:E20" xr:uid="{70B22342-51F9-44DB-B935-1F51F4CC5089}"/>
  <tableColumns count="4">
    <tableColumn id="1" xr3:uid="{23174F5E-075E-493E-99DD-E863F31C132C}" name="ID" dataDxfId="38"/>
    <tableColumn id="2" xr3:uid="{2650C06E-2D33-459A-9FD1-91863B8A8247}" name="Doc ID" dataDxfId="37"/>
    <tableColumn id="3" xr3:uid="{CA596E6D-6E6D-4A07-9C4B-2E9EE1D7A2A0}" name="Category ID" dataDxfId="36"/>
    <tableColumn id="4" xr3:uid="{6FDDBCE3-24C9-49C3-A7AF-595D72AFB1F7}" name="Category Name" dataDxfId="35"/>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51E6550-E344-4E9B-9EE7-B4B5C64CC3F3}" name="Table18" displayName="Table18" ref="B3:B8" totalsRowShown="0" headerRowDxfId="34" dataDxfId="33">
  <autoFilter ref="B3:B8" xr:uid="{651E6550-E344-4E9B-9EE7-B4B5C64CC3F3}"/>
  <sortState xmlns:xlrd2="http://schemas.microsoft.com/office/spreadsheetml/2017/richdata2" ref="B4:B8">
    <sortCondition ref="B3:B8"/>
  </sortState>
  <tableColumns count="1">
    <tableColumn id="1" xr3:uid="{7DC7ED2A-1303-4551-B273-43E554A6A53C}" name="Sources" dataDxfId="3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Slidehelper - 040">
      <a:dk1>
        <a:sysClr val="windowText" lastClr="000000"/>
      </a:dk1>
      <a:lt1>
        <a:sysClr val="window" lastClr="FFFFFF"/>
      </a:lt1>
      <a:dk2>
        <a:srgbClr val="323232"/>
      </a:dk2>
      <a:lt2>
        <a:srgbClr val="E3DED1"/>
      </a:lt2>
      <a:accent1>
        <a:srgbClr val="540D6E"/>
      </a:accent1>
      <a:accent2>
        <a:srgbClr val="EE4266"/>
      </a:accent2>
      <a:accent3>
        <a:srgbClr val="FFD23F"/>
      </a:accent3>
      <a:accent4>
        <a:srgbClr val="3BCEAC"/>
      </a:accent4>
      <a:accent5>
        <a:srgbClr val="0EAD69"/>
      </a:accent5>
      <a:accent6>
        <a:srgbClr val="BFBFBF"/>
      </a:accent6>
      <a:hlink>
        <a:srgbClr val="540D6E"/>
      </a:hlink>
      <a:folHlink>
        <a:srgbClr val="EE426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5-07-10T22:01:49.31" personId="{BAA6C521-146E-492C-A523-2A9EA1BE10F5}" id="{07DEF8EB-B78A-4C79-BDBA-B0C99BFE3CAE}">
    <text xml:space="preserve">EC-01: No Title; document does NOT have a title. </text>
  </threadedComment>
  <threadedComment ref="P1" dT="2025-07-10T23:27:35.19" personId="{BAA6C521-146E-492C-A523-2A9EA1BE10F5}" id="{8023840B-4AD5-4E86-80FD-E80715DF8841}">
    <text>EC-02: No Authors; authors NOT listed in the document.</text>
  </threadedComment>
  <threadedComment ref="Q1" dT="2025-07-10T22:02:34.55" personId="{BAA6C521-146E-492C-A523-2A9EA1BE10F5}" id="{C1569779-44B6-443C-AED1-16EEAB5284CC}">
    <text>EC-03: No DOI; document does NOT have a Digital Object Identifier (DOI ).</text>
  </threadedComment>
  <threadedComment ref="R1" dT="2025-07-11T06:03:17.70" personId="{BAA6C521-146E-492C-A523-2A9EA1BE10F5}" id="{4ED6F0C1-23CA-4904-AE6F-6CEA4C2C6473}">
    <text>EC-04: No Abstract; document does NOT have a summary or abstract.</text>
  </threadedComment>
  <threadedComment ref="S1" dT="2025-07-10T22:03:09.34" personId="{BAA6C521-146E-492C-A523-2A9EA1BE10F5}" id="{17E5BB9B-2266-4A05-8B2C-1D58BF69DFA2}">
    <text>EC-05: Is Book; document labelled as a book or a book part (e.g.: chapter or section).</text>
  </threadedComment>
  <threadedComment ref="T1" dT="2025-07-10T22:03:19.19" personId="{BAA6C521-146E-492C-A523-2A9EA1BE10F5}" id="{3A94DDF0-4C19-4B91-B998-0D7FBEB0FF1B}">
    <text xml:space="preserve">EC-06: Not Readable; document written in a language other than English or Spanish. </text>
  </threadedComment>
  <threadedComment ref="U1" dT="2025-07-10T22:12:56.79" personId="{BAA6C521-146E-492C-A523-2A9EA1BE10F5}" id="{EC8532E5-5045-4DEB-A65C-C461F9C23954}">
    <text>All exclusion criteria (EC-*) must be false to pass</text>
  </threadedComment>
  <threadedComment ref="V1" dT="2025-07-10T22:19:13.89" personId="{BAA6C521-146E-492C-A523-2A9EA1BE10F5}" id="{E4243E44-BE56-4C2D-8D25-8DFA42A69414}">
    <text xml:space="preserve">IC-01: Date Relevance; Published between 2010–2020 (or 2010–2024 for the update). </text>
  </threadedComment>
  <threadedComment ref="X1" dT="2025-07-10T22:19:34.03" personId="{BAA6C521-146E-492C-A523-2A9EA1BE10F5}" id="{8B406C55-2003-4143-B7FB-AFA79A499322}">
    <text xml:space="preserve">IC-02: Source Availability; Fully available in one of the academic sources (Section 2.2.2). </text>
  </threadedComment>
  <threadedComment ref="Y1" dT="2025-07-11T05:29:29.24" personId="{BAA6C521-146E-492C-A523-2A9EA1BE10F5}" id="{6A67F432-DA8C-43ED-9A38-FDC496B5355D}">
    <text xml:space="preserve">IC-03: Document Type; document labelled as article, conference paper, journal, or proceedings. </text>
  </threadedComment>
  <threadedComment ref="Z1" dT="2025-07-10T22:19:57.46" personId="{BAA6C521-146E-492C-A523-2A9EA1BE10F5}" id="{7CF9F111-B30F-4A16-A6F9-99C80034A61C}">
    <text xml:space="preserve">IC-04: Title Keywords; Title include words like:“Dimensional Analysis”,“Dimensionless Coefficients”,“Π-Theorem”, “Software”, “Design”, “Tools”, “Development”, or “Architecture”. </text>
  </threadedComment>
  <threadedComment ref="AA1" dT="2025-07-10T22:21:12.04" personId="{BAA6C521-146E-492C-A523-2A9EA1BE10F5}" id="{4343D155-A454-4FA4-B797-6A08B3C58D51}">
    <text xml:space="preserve">IC-05: Abstract Keywords; Summary include words like: “Dimensional Analysis”, “Dimensionless Coefficients”, “Π-Theorem”, “Software”, “Design”, “Tools”, “Development”, or “Architecture”. </text>
  </threadedComment>
  <threadedComment ref="AA1" dT="2025-07-11T01:08:17.27" personId="{BAA6C521-146E-492C-A523-2A9EA1BE10F5}" id="{D111B65F-2C0C-4940-8E50-39276FA12C01}" parentId="{4343D155-A454-4FA4-B797-6A08B3C58D51}">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 ref="AB1" dT="2025-07-10T23:14:12.68" personId="{BAA6C521-146E-492C-A523-2A9EA1BE10F5}" id="{C8C83D13-2B73-4602-9484-DC4D1D3B64DE}">
    <text>All inclussion criteria (IC) must be true to pass</text>
  </threadedComment>
  <threadedComment ref="AD1" dT="2025-07-11T01:10:21.22" personId="{BAA6C521-146E-492C-A523-2A9EA1BE10F5}" id="{60BA9A7C-2A3C-4F7C-AAF4-42A7D42AF23F}">
    <text xml:space="preserve">E.g.:
=COUNTIF($A$2:A2, A2) = 1
How it works:
COUNTIF($A$2:A2, A2) counts how many times the value in A2 has appeared from the first row to the current row.
The first time it appears, the result is 1, so the formula returns TRUE.
For subsequent appearances, it returns &gt;1, so the formula returns FALSE.
</text>
  </threadedComment>
  <threadedComment ref="AF1" dT="2025-07-14T03:28:08.54" personId="{BAA6C521-146E-492C-A523-2A9EA1BE10F5}" id="{43B0E088-4384-4518-96B9-36D5D06EB07D}">
    <text>Double check abstract and tittle</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3-04-17T03:53:44.77" personId="{BAA6C521-146E-492C-A523-2A9EA1BE10F5}" id="{7A1AA0A3-5D0A-4DFC-9E8F-A851BB469E8B}">
    <text>QF-01: References key or indexed sources on Dimensional Analysis? (Y /N ).</text>
  </threadedComment>
  <threadedComment ref="G1" dT="2023-04-17T03:53:59.90" personId="{BAA6C521-146E-492C-A523-2A9EA1BE10F5}" id="{4AA258D9-FF37-4D9B-8D0A-E61303FA334C}">
    <text>QF-02: Is Dimensional Analysis central to the document? (Y /N /P ).</text>
  </threadedComment>
  <threadedComment ref="H1" dT="2023-04-17T03:54:15.86" personId="{BAA6C521-146E-492C-A523-2A9EA1BE10F5}" id="{906B8140-4B1A-4808-90FD-110B93437772}">
    <text>QF-03: states an objective, research question, or modeling goal on Dimensional Analysis? (Y /N /P ).</text>
  </threadedComment>
  <threadedComment ref="I1" dT="2023-04-17T03:54:32.88" personId="{BAA6C521-146E-492C-A523-2A9EA1BE10F5}" id="{D3C3E5F8-AA78-48E2-8678-0F5F5E8B451B}">
    <text>QF-04: Describes or applies identifiable steps, rules, or computational procedures related to Dimensional Analysis? (Y /N /P ).</text>
  </threadedComment>
  <threadedComment ref="J1" dT="2023-05-05T08:44:53.33" personId="{BAA6C521-146E-492C-A523-2A9EA1BE10F5}" id="{47CDB37A-87CA-4DB9-BB80-810660BFA4EA}">
    <text>QF-05: Provides quantitative evidence, simulation results, or empirical validation to support the application of Dimensional Analysis? (Y /N /P ).</text>
  </threadedComment>
  <threadedComment ref="K1" dT="2023-04-17T03:55:06.03" personId="{BAA6C521-146E-492C-A523-2A9EA1BE10F5}" id="{93001C12-9EF3-41FD-A476-2A0B0D57E320}">
    <text>QF-06: Discusses limitations or challenges of applying Dimensional Analysis in the research context? (Y /N /P ).</text>
  </threadedComment>
  <threadedComment ref="C5" dT="2025-07-17T01:17:51.29" personId="{BAA6C521-146E-492C-A523-2A9EA1BE10F5}" id="{C29201B3-CCC6-4219-9051-D51573BC60A8}">
    <text>Although it introduces a novel analogy using energy and action, it doesn't include clear dimensional analysis procedures or empirical validation tied directly to dimensionless modeling.</text>
  </threadedComment>
  <threadedComment ref="C9" dT="2025-07-17T01:18:14.90" personId="{BAA6C521-146E-492C-A523-2A9EA1BE10F5}" id="{33A2877D-7F3A-4BC3-AD52-A33A5A0275E3}">
    <text>The paper is highly abstract and theoretical, using physics-inspired ideas, but it doesn't apply or validate standard dimensional analysis methods in a concrete or testable way.</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5-07-10T22:19:34.03" personId="{BAA6C521-146E-492C-A523-2A9EA1BE10F5}" id="{8350E28E-33E3-4D30-9E3C-DACC5D3F7AE6}">
    <text xml:space="preserve">IC-02: Source Availability; Fully available in one of the academic sources (Section 2.2.2). </text>
  </threadedComment>
  <threadedComment ref="B5" dT="2025-07-10T22:19:13.89" personId="{BAA6C521-146E-492C-A523-2A9EA1BE10F5}" id="{DBC7564B-B5A6-4A81-9783-BEF2C0A6F308}">
    <text xml:space="preserve">IC-01: Date Relevance; Published between 2010–2020 (or 2010–2024 for the update). </text>
  </threadedComment>
  <threadedComment ref="B6" dT="2025-07-10T22:03:19.19" personId="{BAA6C521-146E-492C-A523-2A9EA1BE10F5}" id="{F3DF5DCE-8B75-4D69-A7A0-FC66C0B17707}">
    <text xml:space="preserve">EC-06: Not Readable; document written in a language other than English or Spanish. </text>
  </threadedComment>
  <threadedComment ref="B7" dT="2025-07-10T22:03:09.34" personId="{BAA6C521-146E-492C-A523-2A9EA1BE10F5}" id="{50B93A7B-E754-4D59-9E68-3A4BAACB99F4}">
    <text>EC-05: Is Book; document labelled as a book or a book part (e.g.: chapter or section).</text>
  </threadedComment>
  <threadedComment ref="B8" dT="2025-07-11T05:29:29.24" personId="{BAA6C521-146E-492C-A523-2A9EA1BE10F5}" id="{80E80823-D57F-4FF6-99F0-2573969C0921}">
    <text xml:space="preserve">IC-03: Document Type; document labelled as article, conference paper, journal, or proceedings. </text>
  </threadedComment>
  <threadedComment ref="B9" dT="2025-07-10T22:01:49.31" personId="{BAA6C521-146E-492C-A523-2A9EA1BE10F5}" id="{023751BD-1DB0-4656-9423-CC804E8428FC}">
    <text xml:space="preserve">EC-01: No Title; document does NOT have a title. </text>
  </threadedComment>
  <threadedComment ref="B10" dT="2025-07-10T23:27:35.19" personId="{BAA6C521-146E-492C-A523-2A9EA1BE10F5}" id="{8D4E3008-1AAD-4714-9C8D-516FF3DACDFB}">
    <text>EC-02: No Authors; authors NOT listed in the document.</text>
  </threadedComment>
  <threadedComment ref="B11" dT="2025-07-10T22:02:34.55" personId="{BAA6C521-146E-492C-A523-2A9EA1BE10F5}" id="{32901EC6-A977-4D79-8762-3C735AC39123}">
    <text>EC-03: No DOI; document does NOT have a Digital Object Identifier (DOI ).</text>
  </threadedComment>
  <threadedComment ref="B12" dT="2025-07-11T06:03:17.70" personId="{BAA6C521-146E-492C-A523-2A9EA1BE10F5}" id="{7D9428EF-B99F-4256-A74C-9B20865395DE}">
    <text>EC-04: No Abstract; document does NOT have a summary or abstract.</text>
  </threadedComment>
  <threadedComment ref="B13" dT="2025-07-10T22:19:57.46" personId="{BAA6C521-146E-492C-A523-2A9EA1BE10F5}" id="{746A86D0-1CF7-4292-9F7C-58639261EFE2}">
    <text xml:space="preserve">IC-04: Title Keywords; Title include words like:“Dimensional Analysis”,“Dimensionless Coefficients”,“Π-Theorem”, “Software”, “Design”, “Tools”, “Development”, or “Architecture”. </text>
  </threadedComment>
  <threadedComment ref="B14" dT="2025-07-10T22:21:12.04" personId="{BAA6C521-146E-492C-A523-2A9EA1BE10F5}" id="{DC840D66-C882-442E-A2A9-4403F742DD96}">
    <text xml:space="preserve">IC-05: Abstract Keywords; Summary include words like: “Dimensional Analysis”, “Dimensionless Coefficients”, “Π-Theorem”, “Software”, “Design”, “Tools”, “Development”, or “Architecture”. </text>
  </threadedComment>
  <threadedComment ref="B14" dT="2025-07-11T01:08:17.27" personId="{BAA6C521-146E-492C-A523-2A9EA1BE10F5}" id="{585DA286-A8D7-40A6-A077-BCEE4CB8D9AD}" parentId="{DC840D66-C882-442E-A2A9-4403F742DD96}">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7-16T23:41:05.97" personId="{BAA6C521-146E-492C-A523-2A9EA1BE10F5}" id="{29355550-D669-4918-9E79-8F29E0E07119}">
    <text xml:space="preserve">Legend for this Table:
"–" means no inference was made (i.e., item was marked ✅ in original table).
Text in each cell explains why the item was inferred.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8.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07/s11227-007-0145-1" TargetMode="External"/><Relationship Id="rId3" Type="http://schemas.openxmlformats.org/officeDocument/2006/relationships/hyperlink" Target="https://www.sciencedirect.com/science/article/pii/S074373150800213X" TargetMode="External"/><Relationship Id="rId7" Type="http://schemas.openxmlformats.org/officeDocument/2006/relationships/hyperlink" Target="https://www.sciencedirect.com/science/article/pii/S0965997822001363" TargetMode="External"/><Relationship Id="rId2" Type="http://schemas.openxmlformats.org/officeDocument/2006/relationships/hyperlink" Target="https://www.sciencedirect.com/science/article/pii/S074373150800035X" TargetMode="External"/><Relationship Id="rId1" Type="http://schemas.openxmlformats.org/officeDocument/2006/relationships/hyperlink" Target="https://link.springer.com/chapter/10.1007/978-3-540-68111-3_16" TargetMode="External"/><Relationship Id="rId6" Type="http://schemas.openxmlformats.org/officeDocument/2006/relationships/hyperlink" Target="https://www.sciencedirect.com/science/article/pii/S0167819110001444" TargetMode="External"/><Relationship Id="rId5" Type="http://schemas.openxmlformats.org/officeDocument/2006/relationships/hyperlink" Target="https://doi.org/10.1007/s00450-010-0147-8" TargetMode="External"/><Relationship Id="rId4" Type="http://schemas.openxmlformats.org/officeDocument/2006/relationships/hyperlink" Target="https://doi.org/10.1007/s11227-009-0273-x" TargetMode="External"/><Relationship Id="rId9"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3.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ivotTable" Target="../pivotTables/pivotTable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E10A-9DC9-4BBE-AA53-DB80F1FB46C0}">
  <sheetPr codeName="Sheet6"/>
  <dimension ref="B1:E27"/>
  <sheetViews>
    <sheetView workbookViewId="0">
      <selection activeCell="E6" sqref="E6"/>
    </sheetView>
  </sheetViews>
  <sheetFormatPr defaultRowHeight="14.35" x14ac:dyDescent="0.5"/>
  <cols>
    <col min="2" max="2" width="6.87890625" style="1" bestFit="1" customWidth="1"/>
    <col min="3" max="3" width="26.05859375" style="1" bestFit="1" customWidth="1"/>
    <col min="4" max="4" width="9.05859375" style="1" bestFit="1" customWidth="1"/>
    <col min="5" max="5" width="51.9375" style="30" bestFit="1" customWidth="1"/>
  </cols>
  <sheetData>
    <row r="1" spans="2:5" x14ac:dyDescent="0.5">
      <c r="B1" s="71" t="s">
        <v>50</v>
      </c>
      <c r="C1" s="71" t="s">
        <v>4159</v>
      </c>
      <c r="D1" s="71" t="s">
        <v>3887</v>
      </c>
      <c r="E1" s="72" t="s">
        <v>101</v>
      </c>
    </row>
    <row r="2" spans="2:5" x14ac:dyDescent="0.5">
      <c r="B2" s="1">
        <v>1</v>
      </c>
      <c r="C2" s="1" t="s">
        <v>4160</v>
      </c>
      <c r="D2" s="1" t="s">
        <v>4198</v>
      </c>
      <c r="E2" s="30" t="s">
        <v>4161</v>
      </c>
    </row>
    <row r="3" spans="2:5" x14ac:dyDescent="0.5">
      <c r="B3" s="1">
        <v>2</v>
      </c>
      <c r="C3" s="1" t="s">
        <v>4162</v>
      </c>
      <c r="D3" s="1" t="s">
        <v>4198</v>
      </c>
      <c r="E3" s="30" t="s">
        <v>4163</v>
      </c>
    </row>
    <row r="4" spans="2:5" x14ac:dyDescent="0.5">
      <c r="B4" s="1">
        <v>3</v>
      </c>
      <c r="C4" s="1" t="s">
        <v>4164</v>
      </c>
      <c r="D4" s="1" t="s">
        <v>4198</v>
      </c>
      <c r="E4" s="30" t="s">
        <v>4165</v>
      </c>
    </row>
    <row r="5" spans="2:5" ht="28.7" x14ac:dyDescent="0.5">
      <c r="B5" s="1">
        <v>4</v>
      </c>
      <c r="C5" s="1" t="s">
        <v>4166</v>
      </c>
      <c r="D5" s="1" t="s">
        <v>4198</v>
      </c>
      <c r="E5" s="30" t="s">
        <v>4213</v>
      </c>
    </row>
    <row r="6" spans="2:5" x14ac:dyDescent="0.5">
      <c r="B6" s="1">
        <v>5</v>
      </c>
      <c r="C6" s="1" t="s">
        <v>4167</v>
      </c>
      <c r="D6" s="1" t="s">
        <v>4198</v>
      </c>
      <c r="E6" s="30" t="s">
        <v>4186</v>
      </c>
    </row>
    <row r="7" spans="2:5" x14ac:dyDescent="0.5">
      <c r="B7" s="1">
        <v>6</v>
      </c>
      <c r="C7" s="1" t="s">
        <v>4168</v>
      </c>
      <c r="D7" s="1" t="s">
        <v>4198</v>
      </c>
      <c r="E7" s="30" t="s">
        <v>4169</v>
      </c>
    </row>
    <row r="8" spans="2:5" x14ac:dyDescent="0.5">
      <c r="B8" s="1">
        <v>7</v>
      </c>
      <c r="C8" s="1" t="s">
        <v>4170</v>
      </c>
      <c r="D8" s="1" t="s">
        <v>4198</v>
      </c>
      <c r="E8" s="30" t="s">
        <v>4187</v>
      </c>
    </row>
    <row r="9" spans="2:5" x14ac:dyDescent="0.5">
      <c r="B9" s="1">
        <v>8</v>
      </c>
      <c r="C9" s="1" t="s">
        <v>4171</v>
      </c>
      <c r="D9" s="1" t="s">
        <v>4198</v>
      </c>
      <c r="E9" s="30" t="s">
        <v>4188</v>
      </c>
    </row>
    <row r="10" spans="2:5" x14ac:dyDescent="0.5">
      <c r="B10" s="1">
        <v>9</v>
      </c>
      <c r="C10" s="1" t="s">
        <v>4172</v>
      </c>
      <c r="D10" s="1" t="s">
        <v>4198</v>
      </c>
      <c r="E10" s="30" t="s">
        <v>4189</v>
      </c>
    </row>
    <row r="11" spans="2:5" x14ac:dyDescent="0.5">
      <c r="B11" s="1">
        <v>10</v>
      </c>
      <c r="C11" s="1" t="s">
        <v>4173</v>
      </c>
      <c r="D11" s="1" t="s">
        <v>4198</v>
      </c>
      <c r="E11" s="30" t="s">
        <v>4190</v>
      </c>
    </row>
    <row r="12" spans="2:5" x14ac:dyDescent="0.5">
      <c r="B12" s="1">
        <v>11</v>
      </c>
      <c r="C12" s="1" t="s">
        <v>4174</v>
      </c>
      <c r="D12" s="1" t="s">
        <v>4198</v>
      </c>
      <c r="E12" s="30" t="s">
        <v>4191</v>
      </c>
    </row>
    <row r="13" spans="2:5" x14ac:dyDescent="0.5">
      <c r="B13" s="1">
        <v>12</v>
      </c>
      <c r="C13" s="1" t="s">
        <v>4175</v>
      </c>
      <c r="D13" s="1" t="s">
        <v>4198</v>
      </c>
      <c r="E13" s="30" t="s">
        <v>4193</v>
      </c>
    </row>
    <row r="14" spans="2:5" ht="28.7" x14ac:dyDescent="0.5">
      <c r="B14" s="1">
        <v>13</v>
      </c>
      <c r="C14" s="1" t="s">
        <v>4176</v>
      </c>
      <c r="D14" s="1" t="s">
        <v>4198</v>
      </c>
      <c r="E14" s="30" t="s">
        <v>4192</v>
      </c>
    </row>
    <row r="15" spans="2:5" ht="28.7" x14ac:dyDescent="0.5">
      <c r="B15" s="1">
        <v>14</v>
      </c>
      <c r="C15" s="1" t="s">
        <v>4177</v>
      </c>
      <c r="D15" s="1" t="s">
        <v>4198</v>
      </c>
      <c r="E15" s="30" t="s">
        <v>4194</v>
      </c>
    </row>
    <row r="16" spans="2:5" ht="28.7" x14ac:dyDescent="0.5">
      <c r="B16" s="1">
        <v>15</v>
      </c>
      <c r="C16" s="1" t="s">
        <v>4178</v>
      </c>
      <c r="D16" s="1" t="s">
        <v>4198</v>
      </c>
      <c r="E16" s="30" t="s">
        <v>4195</v>
      </c>
    </row>
    <row r="17" spans="2:5" x14ac:dyDescent="0.5">
      <c r="B17" s="1">
        <v>16</v>
      </c>
      <c r="C17" s="1" t="s">
        <v>4179</v>
      </c>
      <c r="D17" s="1" t="s">
        <v>4198</v>
      </c>
      <c r="E17" s="30" t="s">
        <v>4196</v>
      </c>
    </row>
    <row r="18" spans="2:5" ht="28.7" x14ac:dyDescent="0.5">
      <c r="B18" s="1">
        <v>17</v>
      </c>
      <c r="C18" s="1" t="s">
        <v>4180</v>
      </c>
      <c r="D18" s="1" t="s">
        <v>4198</v>
      </c>
      <c r="E18" s="30" t="s">
        <v>4204</v>
      </c>
    </row>
    <row r="19" spans="2:5" x14ac:dyDescent="0.5">
      <c r="B19" s="1">
        <v>18</v>
      </c>
      <c r="C19" s="1" t="s">
        <v>4200</v>
      </c>
      <c r="D19" s="1" t="s">
        <v>4197</v>
      </c>
      <c r="E19" s="30" t="s">
        <v>4206</v>
      </c>
    </row>
    <row r="20" spans="2:5" ht="28.7" x14ac:dyDescent="0.5">
      <c r="B20" s="1">
        <v>19</v>
      </c>
      <c r="C20" s="1" t="s">
        <v>4181</v>
      </c>
      <c r="D20" s="1" t="s">
        <v>4198</v>
      </c>
      <c r="E20" s="30" t="s">
        <v>4205</v>
      </c>
    </row>
    <row r="21" spans="2:5" x14ac:dyDescent="0.5">
      <c r="B21" s="1">
        <v>20</v>
      </c>
      <c r="C21" s="1" t="s">
        <v>4201</v>
      </c>
      <c r="D21" s="1" t="s">
        <v>4197</v>
      </c>
      <c r="E21" s="30" t="s">
        <v>4208</v>
      </c>
    </row>
    <row r="22" spans="2:5" ht="28.7" x14ac:dyDescent="0.5">
      <c r="B22" s="1">
        <v>21</v>
      </c>
      <c r="C22" s="1" t="s">
        <v>4202</v>
      </c>
      <c r="D22" s="1" t="s">
        <v>4197</v>
      </c>
      <c r="E22" s="30" t="s">
        <v>4207</v>
      </c>
    </row>
    <row r="23" spans="2:5" x14ac:dyDescent="0.5">
      <c r="B23" s="1">
        <v>22</v>
      </c>
      <c r="C23" s="1" t="s">
        <v>4182</v>
      </c>
      <c r="D23" s="1" t="s">
        <v>4198</v>
      </c>
      <c r="E23" s="30" t="s">
        <v>4183</v>
      </c>
    </row>
    <row r="24" spans="2:5" ht="28.7" x14ac:dyDescent="0.5">
      <c r="B24" s="1">
        <v>23</v>
      </c>
      <c r="C24" s="1" t="s">
        <v>4211</v>
      </c>
      <c r="D24" s="1" t="s">
        <v>4198</v>
      </c>
      <c r="E24" s="30" t="s">
        <v>4212</v>
      </c>
    </row>
    <row r="25" spans="2:5" ht="28.7" x14ac:dyDescent="0.5">
      <c r="B25" s="1">
        <v>24</v>
      </c>
      <c r="C25" s="1" t="s">
        <v>4184</v>
      </c>
      <c r="D25" s="1" t="s">
        <v>4198</v>
      </c>
      <c r="E25" s="30" t="s">
        <v>4210</v>
      </c>
    </row>
    <row r="26" spans="2:5" x14ac:dyDescent="0.5">
      <c r="B26" s="1">
        <v>25</v>
      </c>
      <c r="C26" s="1" t="s">
        <v>4203</v>
      </c>
      <c r="D26" s="1" t="s">
        <v>4197</v>
      </c>
      <c r="E26" s="30" t="s">
        <v>4209</v>
      </c>
    </row>
    <row r="27" spans="2:5" x14ac:dyDescent="0.5">
      <c r="B27" s="1">
        <v>26</v>
      </c>
      <c r="C27" s="1" t="s">
        <v>4185</v>
      </c>
      <c r="D27" s="1" t="s">
        <v>4198</v>
      </c>
      <c r="E27" s="30" t="s">
        <v>4199</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77ED-175C-4F47-BFFD-938DDCAA3ECA}">
  <sheetPr codeName="Sheet2"/>
  <dimension ref="A3:Y35"/>
  <sheetViews>
    <sheetView topLeftCell="N1" zoomScale="120" zoomScaleNormal="85" workbookViewId="0">
      <selection activeCell="Z12" sqref="Z12"/>
    </sheetView>
  </sheetViews>
  <sheetFormatPr defaultRowHeight="14.35" x14ac:dyDescent="0.5"/>
  <cols>
    <col min="1" max="1" width="8.9375" style="25"/>
    <col min="2" max="2" width="17.8203125" style="25" bestFit="1" customWidth="1"/>
    <col min="3" max="3" width="12.52734375" style="25" bestFit="1" customWidth="1"/>
    <col min="4" max="4" width="12.5859375" style="25" bestFit="1" customWidth="1"/>
    <col min="5" max="5" width="13.3515625" style="25" bestFit="1" customWidth="1"/>
    <col min="6" max="6" width="8.9375" style="25"/>
    <col min="7" max="7" width="17.8203125" style="25" bestFit="1" customWidth="1"/>
    <col min="8" max="8" width="12.52734375" style="25" bestFit="1" customWidth="1"/>
    <col min="9" max="9" width="12.5859375" style="25" bestFit="1" customWidth="1"/>
    <col min="10" max="10" width="13.3515625" style="25" bestFit="1" customWidth="1"/>
    <col min="11" max="11" width="8.9375" style="25"/>
    <col min="12" max="12" width="17.8203125" style="25" bestFit="1" customWidth="1"/>
    <col min="13" max="13" width="12.52734375" style="25" bestFit="1" customWidth="1"/>
    <col min="14" max="14" width="12.5859375" style="25" bestFit="1" customWidth="1"/>
    <col min="15" max="15" width="13.3515625" style="25" bestFit="1" customWidth="1"/>
    <col min="16" max="16" width="8.9375" style="25"/>
    <col min="17" max="17" width="17.8203125" style="25" bestFit="1" customWidth="1"/>
    <col min="18" max="18" width="12.52734375" style="25" bestFit="1" customWidth="1"/>
    <col min="19" max="19" width="12.5859375" style="25" bestFit="1" customWidth="1"/>
    <col min="20" max="20" width="13.3515625" style="25" bestFit="1" customWidth="1"/>
    <col min="21" max="21" width="8.9375" style="25"/>
    <col min="22" max="22" width="17.8203125" style="25" bestFit="1" customWidth="1"/>
    <col min="23" max="23" width="12.52734375" style="2" bestFit="1" customWidth="1"/>
    <col min="24" max="24" width="12.5859375" style="2" bestFit="1" customWidth="1"/>
    <col min="25" max="25" width="13.3515625" style="2" bestFit="1" customWidth="1"/>
  </cols>
  <sheetData>
    <row r="3" spans="2:25" ht="20.7" x14ac:dyDescent="0.5">
      <c r="B3" s="75" t="s">
        <v>2</v>
      </c>
      <c r="C3" s="75"/>
      <c r="D3" s="75"/>
      <c r="E3" s="75"/>
      <c r="G3" s="75" t="s">
        <v>80</v>
      </c>
      <c r="H3" s="75"/>
      <c r="I3" s="75"/>
      <c r="J3" s="75"/>
      <c r="L3" s="75" t="s">
        <v>0</v>
      </c>
      <c r="M3" s="75"/>
      <c r="N3" s="75"/>
      <c r="O3" s="75"/>
      <c r="P3" s="34"/>
      <c r="Q3" s="75" t="s">
        <v>3</v>
      </c>
      <c r="R3" s="75"/>
      <c r="S3" s="75"/>
      <c r="T3" s="75"/>
      <c r="V3" s="75" t="s">
        <v>1</v>
      </c>
      <c r="W3" s="75"/>
      <c r="X3" s="75"/>
      <c r="Y3" s="75"/>
    </row>
    <row r="4" spans="2:25" x14ac:dyDescent="0.5">
      <c r="B4" s="24" t="s">
        <v>4</v>
      </c>
      <c r="C4" s="2" t="s">
        <v>5</v>
      </c>
      <c r="D4" s="2" t="s">
        <v>6</v>
      </c>
      <c r="E4" s="24" t="s">
        <v>7</v>
      </c>
      <c r="G4" s="24" t="s">
        <v>4</v>
      </c>
      <c r="H4" s="2" t="s">
        <v>5</v>
      </c>
      <c r="I4" s="2" t="s">
        <v>6</v>
      </c>
      <c r="J4" s="24" t="s">
        <v>7</v>
      </c>
      <c r="L4" s="2" t="s">
        <v>4</v>
      </c>
      <c r="M4" s="2" t="s">
        <v>5</v>
      </c>
      <c r="N4" s="2" t="s">
        <v>6</v>
      </c>
      <c r="O4" s="2" t="s">
        <v>7</v>
      </c>
      <c r="P4" s="2"/>
      <c r="Q4" s="24" t="s">
        <v>4</v>
      </c>
      <c r="R4" s="2" t="s">
        <v>5</v>
      </c>
      <c r="S4" s="2" t="s">
        <v>6</v>
      </c>
      <c r="T4" s="24" t="s">
        <v>7</v>
      </c>
      <c r="V4" s="24" t="s">
        <v>4</v>
      </c>
      <c r="W4" s="2" t="s">
        <v>5</v>
      </c>
      <c r="X4" s="2" t="s">
        <v>6</v>
      </c>
      <c r="Y4" s="24" t="s">
        <v>7</v>
      </c>
    </row>
    <row r="5" spans="2:25" x14ac:dyDescent="0.5">
      <c r="B5" s="2" t="s">
        <v>20</v>
      </c>
      <c r="C5" s="2">
        <v>0</v>
      </c>
      <c r="D5" s="2">
        <v>0</v>
      </c>
      <c r="E5" s="2" t="b">
        <f>IF(ISNUMBER(Table1416[[#This Row],[Tgt Index]]),TRUE,FALSE)</f>
        <v>1</v>
      </c>
      <c r="G5" s="2" t="s">
        <v>20</v>
      </c>
      <c r="H5" s="2">
        <v>0</v>
      </c>
      <c r="I5" s="2">
        <v>0</v>
      </c>
      <c r="J5" s="2" t="b">
        <f>IF(ISNUMBER(Table26[[#This Row],[Tgt Index]]),TRUE,FALSE)</f>
        <v>1</v>
      </c>
      <c r="L5" s="2" t="s">
        <v>20</v>
      </c>
      <c r="M5" s="2">
        <v>0</v>
      </c>
      <c r="N5" s="2">
        <v>0</v>
      </c>
      <c r="O5" s="2" t="b">
        <f>IF(ISNUMBER(Table13[[#This Row],[Tgt Index]]),TRUE,FALSE)</f>
        <v>1</v>
      </c>
      <c r="P5" s="2"/>
      <c r="Q5" s="2" t="s">
        <v>20</v>
      </c>
      <c r="R5" s="2">
        <v>0</v>
      </c>
      <c r="S5" s="2">
        <v>0</v>
      </c>
      <c r="T5" s="2" t="b">
        <f>IF(ISNUMBER(Table14168[[#This Row],[Tgt Index]]),TRUE,FALSE)</f>
        <v>1</v>
      </c>
      <c r="V5" s="2" t="s">
        <v>20</v>
      </c>
      <c r="W5" s="2">
        <v>0</v>
      </c>
      <c r="X5" s="2">
        <v>0</v>
      </c>
      <c r="Y5" s="2" t="b">
        <f>IF(ISNUMBER(Table14[[#This Row],[Tgt Index]]),TRUE,FALSE)</f>
        <v>1</v>
      </c>
    </row>
    <row r="6" spans="2:25" x14ac:dyDescent="0.5">
      <c r="B6" s="24" t="s">
        <v>18</v>
      </c>
      <c r="C6" s="2">
        <v>1</v>
      </c>
      <c r="D6" s="2">
        <v>7</v>
      </c>
      <c r="E6" s="2" t="b">
        <f>IF(ISNUMBER(Table1416[[#This Row],[Tgt Index]]),TRUE,FALSE)</f>
        <v>1</v>
      </c>
      <c r="G6" s="24" t="s">
        <v>18</v>
      </c>
      <c r="H6" s="2">
        <v>1</v>
      </c>
      <c r="I6" s="2">
        <v>7</v>
      </c>
      <c r="J6" s="2" t="b">
        <f>IF(ISNUMBER(Table26[[#This Row],[Tgt Index]]),TRUE,FALSE)</f>
        <v>1</v>
      </c>
      <c r="L6" s="24" t="s">
        <v>18</v>
      </c>
      <c r="M6" s="2">
        <v>1</v>
      </c>
      <c r="N6" s="2">
        <v>7</v>
      </c>
      <c r="O6" s="2" t="b">
        <f>IF(ISNUMBER(Table13[[#This Row],[Tgt Index]]),TRUE,FALSE)</f>
        <v>1</v>
      </c>
      <c r="P6" s="2"/>
      <c r="Q6" s="2" t="s">
        <v>18</v>
      </c>
      <c r="R6" s="2">
        <v>1</v>
      </c>
      <c r="S6" s="2">
        <v>7</v>
      </c>
      <c r="T6" s="2" t="b">
        <f>IF(ISNUMBER(Table14168[[#This Row],[Tgt Index]]),TRUE,FALSE)</f>
        <v>1</v>
      </c>
      <c r="V6" s="2" t="s">
        <v>9</v>
      </c>
      <c r="W6" s="2">
        <v>4</v>
      </c>
      <c r="X6" s="2">
        <v>1</v>
      </c>
      <c r="Y6" s="2" t="b">
        <f>IF(ISNUMBER(Table14[[#This Row],[Tgt Index]]),TRUE,FALSE)</f>
        <v>1</v>
      </c>
    </row>
    <row r="7" spans="2:25" x14ac:dyDescent="0.5">
      <c r="B7" s="24" t="s">
        <v>14</v>
      </c>
      <c r="C7" s="2">
        <v>2</v>
      </c>
      <c r="D7" s="2">
        <v>6</v>
      </c>
      <c r="E7" s="2" t="b">
        <f>IF(ISNUMBER(Table1416[[#This Row],[Tgt Index]]),TRUE,FALSE)</f>
        <v>1</v>
      </c>
      <c r="G7" s="24" t="s">
        <v>14</v>
      </c>
      <c r="H7" s="2">
        <v>2</v>
      </c>
      <c r="I7" s="2">
        <v>6</v>
      </c>
      <c r="J7" s="2" t="b">
        <f>IF(ISNUMBER(Table26[[#This Row],[Tgt Index]]),TRUE,FALSE)</f>
        <v>1</v>
      </c>
      <c r="L7" s="24" t="s">
        <v>14</v>
      </c>
      <c r="M7" s="2">
        <v>2</v>
      </c>
      <c r="N7" s="2">
        <v>6</v>
      </c>
      <c r="O7" s="2" t="b">
        <f>IF(ISNUMBER(Table13[[#This Row],[Tgt Index]]),TRUE,FALSE)</f>
        <v>1</v>
      </c>
      <c r="P7" s="2"/>
      <c r="Q7" s="2" t="s">
        <v>14</v>
      </c>
      <c r="R7" s="2">
        <v>2</v>
      </c>
      <c r="S7" s="2">
        <v>6</v>
      </c>
      <c r="T7" s="2" t="b">
        <f>IF(ISNUMBER(Table14168[[#This Row],[Tgt Index]]),TRUE,FALSE)</f>
        <v>1</v>
      </c>
      <c r="V7" s="2" t="s">
        <v>10</v>
      </c>
      <c r="W7" s="2">
        <v>3</v>
      </c>
      <c r="X7" s="2">
        <v>2</v>
      </c>
      <c r="Y7" s="2" t="b">
        <f>IF(ISNUMBER(Table14[[#This Row],[Tgt Index]]),TRUE,FALSE)</f>
        <v>1</v>
      </c>
    </row>
    <row r="8" spans="2:25" x14ac:dyDescent="0.5">
      <c r="B8" s="24" t="s">
        <v>10</v>
      </c>
      <c r="C8" s="2">
        <v>3</v>
      </c>
      <c r="D8" s="2">
        <v>2</v>
      </c>
      <c r="E8" s="2" t="b">
        <f>IF(ISNUMBER(Table1416[[#This Row],[Tgt Index]]),TRUE,FALSE)</f>
        <v>1</v>
      </c>
      <c r="G8" s="24" t="s">
        <v>10</v>
      </c>
      <c r="H8" s="2">
        <v>3</v>
      </c>
      <c r="I8" s="2">
        <v>2</v>
      </c>
      <c r="J8" s="2" t="b">
        <f>IF(ISNUMBER(Table26[[#This Row],[Tgt Index]]),TRUE,FALSE)</f>
        <v>1</v>
      </c>
      <c r="L8" s="24" t="s">
        <v>10</v>
      </c>
      <c r="M8" s="2">
        <v>3</v>
      </c>
      <c r="N8" s="2">
        <v>2</v>
      </c>
      <c r="O8" s="2" t="b">
        <f>IF(ISNUMBER(Table13[[#This Row],[Tgt Index]]),TRUE,FALSE)</f>
        <v>1</v>
      </c>
      <c r="P8" s="2"/>
      <c r="Q8" s="2" t="s">
        <v>10</v>
      </c>
      <c r="R8" s="2">
        <v>3</v>
      </c>
      <c r="S8" s="2">
        <v>2</v>
      </c>
      <c r="T8" s="2" t="b">
        <f>IF(ISNUMBER(Table14168[[#This Row],[Tgt Index]]),TRUE,FALSE)</f>
        <v>1</v>
      </c>
      <c r="V8" s="2" t="s">
        <v>13</v>
      </c>
      <c r="W8" s="2">
        <v>10</v>
      </c>
      <c r="X8" s="2">
        <v>4</v>
      </c>
      <c r="Y8" s="2" t="b">
        <f>IF(ISNUMBER(Table14[[#This Row],[Tgt Index]]),TRUE,FALSE)</f>
        <v>1</v>
      </c>
    </row>
    <row r="9" spans="2:25" x14ac:dyDescent="0.5">
      <c r="B9" s="24" t="s">
        <v>9</v>
      </c>
      <c r="C9" s="2">
        <v>4</v>
      </c>
      <c r="D9" s="2">
        <v>1</v>
      </c>
      <c r="E9" s="2" t="b">
        <f>IF(ISNUMBER(Table1416[[#This Row],[Tgt Index]]),TRUE,FALSE)</f>
        <v>1</v>
      </c>
      <c r="G9" s="24" t="s">
        <v>9</v>
      </c>
      <c r="H9" s="2">
        <v>4</v>
      </c>
      <c r="I9" s="2">
        <v>1</v>
      </c>
      <c r="J9" s="2" t="b">
        <f>IF(ISNUMBER(Table26[[#This Row],[Tgt Index]]),TRUE,FALSE)</f>
        <v>1</v>
      </c>
      <c r="L9" s="24" t="s">
        <v>9</v>
      </c>
      <c r="M9" s="2">
        <v>4</v>
      </c>
      <c r="N9" s="2">
        <v>1</v>
      </c>
      <c r="O9" s="2" t="b">
        <f>IF(ISNUMBER(Table13[[#This Row],[Tgt Index]]),TRUE,FALSE)</f>
        <v>1</v>
      </c>
      <c r="P9" s="2"/>
      <c r="Q9" s="2" t="s">
        <v>9</v>
      </c>
      <c r="R9" s="2">
        <v>4</v>
      </c>
      <c r="S9" s="2">
        <v>1</v>
      </c>
      <c r="T9" s="2" t="b">
        <f>IF(ISNUMBER(Table14168[[#This Row],[Tgt Index]]),TRUE,FALSE)</f>
        <v>1</v>
      </c>
      <c r="V9" s="2" t="s">
        <v>12</v>
      </c>
      <c r="W9" s="2">
        <v>5</v>
      </c>
      <c r="X9" s="2">
        <v>3</v>
      </c>
      <c r="Y9" s="2" t="b">
        <f>IF(ISNUMBER(Table14[[#This Row],[Tgt Index]]),TRUE,FALSE)</f>
        <v>1</v>
      </c>
    </row>
    <row r="10" spans="2:25" x14ac:dyDescent="0.5">
      <c r="B10" s="24" t="s">
        <v>12</v>
      </c>
      <c r="C10" s="2">
        <v>5</v>
      </c>
      <c r="D10" s="2">
        <v>4</v>
      </c>
      <c r="E10" s="2" t="b">
        <f>IF(ISNUMBER(Table1416[[#This Row],[Tgt Index]]),TRUE,FALSE)</f>
        <v>1</v>
      </c>
      <c r="G10" s="24" t="s">
        <v>12</v>
      </c>
      <c r="H10" s="2">
        <v>5</v>
      </c>
      <c r="I10" s="2">
        <v>4</v>
      </c>
      <c r="J10" s="2" t="b">
        <f>IF(ISNUMBER(Table26[[#This Row],[Tgt Index]]),TRUE,FALSE)</f>
        <v>1</v>
      </c>
      <c r="L10" s="24" t="s">
        <v>12</v>
      </c>
      <c r="M10" s="2">
        <v>5</v>
      </c>
      <c r="N10" s="2">
        <v>4</v>
      </c>
      <c r="O10" s="2" t="b">
        <f>IF(ISNUMBER(Table13[[#This Row],[Tgt Index]]),TRUE,FALSE)</f>
        <v>1</v>
      </c>
      <c r="P10" s="2"/>
      <c r="Q10" s="2" t="s">
        <v>12</v>
      </c>
      <c r="R10" s="2">
        <v>5</v>
      </c>
      <c r="S10" s="2">
        <v>4</v>
      </c>
      <c r="T10" s="2" t="b">
        <f>IF(ISNUMBER(Table14168[[#This Row],[Tgt Index]]),TRUE,FALSE)</f>
        <v>1</v>
      </c>
      <c r="V10" s="2" t="s">
        <v>15</v>
      </c>
      <c r="W10" s="2">
        <v>11</v>
      </c>
      <c r="X10" s="2">
        <v>5</v>
      </c>
      <c r="Y10" s="2" t="b">
        <f>IF(ISNUMBER(Table14[[#This Row],[Tgt Index]]),TRUE,FALSE)</f>
        <v>1</v>
      </c>
    </row>
    <row r="11" spans="2:25" x14ac:dyDescent="0.5">
      <c r="B11" s="24" t="s">
        <v>21</v>
      </c>
      <c r="C11" s="2">
        <v>6</v>
      </c>
      <c r="D11" s="2"/>
      <c r="E11" s="2" t="b">
        <f>IF(ISNUMBER(Table1416[[#This Row],[Tgt Index]]),TRUE,FALSE)</f>
        <v>0</v>
      </c>
      <c r="G11" s="24" t="s">
        <v>21</v>
      </c>
      <c r="H11" s="2">
        <v>6</v>
      </c>
      <c r="I11" s="2"/>
      <c r="J11" s="2" t="b">
        <f>IF(ISNUMBER(Table26[[#This Row],[Tgt Index]]),TRUE,FALSE)</f>
        <v>0</v>
      </c>
      <c r="L11" s="24" t="s">
        <v>21</v>
      </c>
      <c r="M11" s="2">
        <v>6</v>
      </c>
      <c r="N11" s="2"/>
      <c r="O11" s="2" t="b">
        <f>IF(ISNUMBER(Table13[[#This Row],[Tgt Index]]),TRUE,FALSE)</f>
        <v>0</v>
      </c>
      <c r="P11" s="2"/>
      <c r="Q11" s="2" t="s">
        <v>21</v>
      </c>
      <c r="R11" s="2">
        <v>6</v>
      </c>
      <c r="S11" s="2"/>
      <c r="T11" s="2" t="b">
        <f>IF(ISNUMBER(Table14168[[#This Row],[Tgt Index]]),TRUE,FALSE)</f>
        <v>0</v>
      </c>
      <c r="V11" s="2" t="s">
        <v>14</v>
      </c>
      <c r="W11" s="2">
        <v>2</v>
      </c>
      <c r="X11" s="2">
        <v>6</v>
      </c>
      <c r="Y11" s="2" t="b">
        <f>IF(ISNUMBER(Table14[[#This Row],[Tgt Index]]),TRUE,FALSE)</f>
        <v>1</v>
      </c>
    </row>
    <row r="12" spans="2:25" x14ac:dyDescent="0.5">
      <c r="B12" s="24" t="s">
        <v>22</v>
      </c>
      <c r="C12" s="2">
        <v>7</v>
      </c>
      <c r="D12" s="2"/>
      <c r="E12" s="2" t="b">
        <f>IF(ISNUMBER(Table1416[[#This Row],[Tgt Index]]),TRUE,FALSE)</f>
        <v>0</v>
      </c>
      <c r="G12" s="24" t="s">
        <v>22</v>
      </c>
      <c r="H12" s="2">
        <v>7</v>
      </c>
      <c r="I12" s="2"/>
      <c r="J12" s="2" t="b">
        <f>IF(ISNUMBER(Table26[[#This Row],[Tgt Index]]),TRUE,FALSE)</f>
        <v>0</v>
      </c>
      <c r="L12" s="24" t="s">
        <v>22</v>
      </c>
      <c r="M12" s="2">
        <v>7</v>
      </c>
      <c r="N12" s="2"/>
      <c r="O12" s="2" t="b">
        <f>IF(ISNUMBER(Table13[[#This Row],[Tgt Index]]),TRUE,FALSE)</f>
        <v>0</v>
      </c>
      <c r="P12" s="2"/>
      <c r="Q12" s="2" t="s">
        <v>22</v>
      </c>
      <c r="R12" s="2">
        <v>7</v>
      </c>
      <c r="S12" s="2"/>
      <c r="T12" s="2" t="b">
        <f>IF(ISNUMBER(Table14168[[#This Row],[Tgt Index]]),TRUE,FALSE)</f>
        <v>0</v>
      </c>
      <c r="V12" s="2" t="s">
        <v>18</v>
      </c>
      <c r="W12" s="2">
        <v>1</v>
      </c>
      <c r="X12" s="2">
        <v>7</v>
      </c>
      <c r="Y12" s="2" t="b">
        <f>IF(ISNUMBER(Table14[[#This Row],[Tgt Index]]),TRUE,FALSE)</f>
        <v>1</v>
      </c>
    </row>
    <row r="13" spans="2:25" x14ac:dyDescent="0.5">
      <c r="B13" s="24" t="s">
        <v>16</v>
      </c>
      <c r="C13" s="2">
        <v>8</v>
      </c>
      <c r="D13" s="2">
        <v>9</v>
      </c>
      <c r="E13" s="2" t="b">
        <f>IF(ISNUMBER(Table1416[[#This Row],[Tgt Index]]),TRUE,FALSE)</f>
        <v>1</v>
      </c>
      <c r="G13" s="24" t="s">
        <v>16</v>
      </c>
      <c r="H13" s="2">
        <v>8</v>
      </c>
      <c r="I13" s="2">
        <v>9</v>
      </c>
      <c r="J13" s="2" t="b">
        <f>IF(ISNUMBER(Table26[[#This Row],[Tgt Index]]),TRUE,FALSE)</f>
        <v>1</v>
      </c>
      <c r="L13" s="24" t="s">
        <v>16</v>
      </c>
      <c r="M13" s="2">
        <v>8</v>
      </c>
      <c r="N13" s="2">
        <v>9</v>
      </c>
      <c r="O13" s="2" t="b">
        <f>IF(ISNUMBER(Table13[[#This Row],[Tgt Index]]),TRUE,FALSE)</f>
        <v>1</v>
      </c>
      <c r="P13" s="2"/>
      <c r="Q13" s="2" t="s">
        <v>16</v>
      </c>
      <c r="R13" s="2">
        <v>8</v>
      </c>
      <c r="S13" s="2">
        <v>9</v>
      </c>
      <c r="T13" s="2" t="b">
        <f>IF(ISNUMBER(Table14168[[#This Row],[Tgt Index]]),TRUE,FALSE)</f>
        <v>1</v>
      </c>
      <c r="V13" s="2" t="s">
        <v>17</v>
      </c>
      <c r="W13" s="2">
        <v>26</v>
      </c>
      <c r="X13" s="35">
        <v>8</v>
      </c>
      <c r="Y13" s="2" t="b">
        <f>IF(ISNUMBER(Table14[[#This Row],[Tgt Index]]),TRUE,FALSE)</f>
        <v>1</v>
      </c>
    </row>
    <row r="14" spans="2:25" x14ac:dyDescent="0.5">
      <c r="B14" s="24" t="s">
        <v>23</v>
      </c>
      <c r="C14" s="2">
        <v>9</v>
      </c>
      <c r="D14" s="2"/>
      <c r="E14" s="2" t="b">
        <f>IF(ISNUMBER(Table1416[[#This Row],[Tgt Index]]),TRUE,FALSE)</f>
        <v>0</v>
      </c>
      <c r="G14" s="24" t="s">
        <v>23</v>
      </c>
      <c r="H14" s="2">
        <v>9</v>
      </c>
      <c r="I14" s="2"/>
      <c r="J14" s="2" t="b">
        <f>IF(ISNUMBER(Table26[[#This Row],[Tgt Index]]),TRUE,FALSE)</f>
        <v>0</v>
      </c>
      <c r="L14" s="24" t="s">
        <v>23</v>
      </c>
      <c r="M14" s="2">
        <v>9</v>
      </c>
      <c r="N14" s="2"/>
      <c r="O14" s="2" t="b">
        <f>IF(ISNUMBER(Table13[[#This Row],[Tgt Index]]),TRUE,FALSE)</f>
        <v>0</v>
      </c>
      <c r="P14" s="2"/>
      <c r="Q14" s="2" t="s">
        <v>23</v>
      </c>
      <c r="R14" s="2">
        <v>9</v>
      </c>
      <c r="S14" s="2"/>
      <c r="T14" s="2" t="b">
        <f>IF(ISNUMBER(Table14168[[#This Row],[Tgt Index]]),TRUE,FALSE)</f>
        <v>0</v>
      </c>
      <c r="V14" s="2" t="s">
        <v>38</v>
      </c>
      <c r="W14" s="2">
        <v>27</v>
      </c>
      <c r="X14" s="35">
        <v>8</v>
      </c>
      <c r="Y14" s="2" t="b">
        <f>IF(ISNUMBER(Table14[[#This Row],[Tgt Index]]),TRUE,FALSE)</f>
        <v>1</v>
      </c>
    </row>
    <row r="15" spans="2:25" x14ac:dyDescent="0.5">
      <c r="B15" s="24" t="s">
        <v>13</v>
      </c>
      <c r="C15" s="2">
        <v>10</v>
      </c>
      <c r="D15" s="2">
        <v>3</v>
      </c>
      <c r="E15" s="2" t="b">
        <f>IF(ISNUMBER(Table1416[[#This Row],[Tgt Index]]),TRUE,FALSE)</f>
        <v>1</v>
      </c>
      <c r="G15" s="24" t="s">
        <v>13</v>
      </c>
      <c r="H15" s="2">
        <v>10</v>
      </c>
      <c r="I15" s="2">
        <v>3</v>
      </c>
      <c r="J15" s="2" t="b">
        <f>IF(ISNUMBER(Table26[[#This Row],[Tgt Index]]),TRUE,FALSE)</f>
        <v>1</v>
      </c>
      <c r="L15" s="24" t="s">
        <v>13</v>
      </c>
      <c r="M15" s="2">
        <v>10</v>
      </c>
      <c r="N15" s="2">
        <v>3</v>
      </c>
      <c r="O15" s="2" t="b">
        <f>IF(ISNUMBER(Table13[[#This Row],[Tgt Index]]),TRUE,FALSE)</f>
        <v>1</v>
      </c>
      <c r="P15" s="2"/>
      <c r="Q15" s="2" t="s">
        <v>13</v>
      </c>
      <c r="R15" s="2">
        <v>10</v>
      </c>
      <c r="S15" s="2">
        <v>3</v>
      </c>
      <c r="T15" s="2" t="b">
        <f>IF(ISNUMBER(Table14168[[#This Row],[Tgt Index]]),TRUE,FALSE)</f>
        <v>1</v>
      </c>
      <c r="V15" s="2" t="s">
        <v>16</v>
      </c>
      <c r="W15" s="2">
        <v>8</v>
      </c>
      <c r="X15" s="2">
        <v>9</v>
      </c>
      <c r="Y15" s="2" t="b">
        <f>IF(ISNUMBER(Table14[[#This Row],[Tgt Index]]),TRUE,FALSE)</f>
        <v>1</v>
      </c>
    </row>
    <row r="16" spans="2:25" x14ac:dyDescent="0.5">
      <c r="B16" s="24" t="s">
        <v>15</v>
      </c>
      <c r="C16" s="2">
        <v>11</v>
      </c>
      <c r="D16" s="2">
        <v>5</v>
      </c>
      <c r="E16" s="2" t="b">
        <f>IF(ISNUMBER(Table1416[[#This Row],[Tgt Index]]),TRUE,FALSE)</f>
        <v>1</v>
      </c>
      <c r="G16" s="24" t="s">
        <v>15</v>
      </c>
      <c r="H16" s="2">
        <v>11</v>
      </c>
      <c r="I16" s="2">
        <v>5</v>
      </c>
      <c r="J16" s="2" t="b">
        <f>IF(ISNUMBER(Table26[[#This Row],[Tgt Index]]),TRUE,FALSE)</f>
        <v>1</v>
      </c>
      <c r="L16" s="24" t="s">
        <v>15</v>
      </c>
      <c r="M16" s="2">
        <v>11</v>
      </c>
      <c r="N16" s="2">
        <v>5</v>
      </c>
      <c r="O16" s="2" t="b">
        <f>IF(ISNUMBER(Table13[[#This Row],[Tgt Index]]),TRUE,FALSE)</f>
        <v>1</v>
      </c>
      <c r="P16" s="2"/>
      <c r="Q16" s="2" t="s">
        <v>15</v>
      </c>
      <c r="R16" s="2">
        <v>11</v>
      </c>
      <c r="S16" s="2">
        <v>5</v>
      </c>
      <c r="T16" s="2" t="b">
        <f>IF(ISNUMBER(Table14168[[#This Row],[Tgt Index]]),TRUE,FALSE)</f>
        <v>1</v>
      </c>
      <c r="V16" s="2" t="s">
        <v>21</v>
      </c>
      <c r="W16" s="2">
        <v>6</v>
      </c>
      <c r="Y16" s="2" t="b">
        <f>IF(ISNUMBER(Table14[[#This Row],[Tgt Index]]),TRUE,FALSE)</f>
        <v>0</v>
      </c>
    </row>
    <row r="17" spans="2:25" x14ac:dyDescent="0.5">
      <c r="B17" s="24" t="s">
        <v>25</v>
      </c>
      <c r="C17" s="2">
        <v>12</v>
      </c>
      <c r="D17" s="2"/>
      <c r="E17" s="2" t="b">
        <f>IF(ISNUMBER(Table1416[[#This Row],[Tgt Index]]),TRUE,FALSE)</f>
        <v>0</v>
      </c>
      <c r="G17" s="24" t="s">
        <v>26</v>
      </c>
      <c r="H17" s="2">
        <v>12</v>
      </c>
      <c r="I17" s="2"/>
      <c r="J17" s="2" t="b">
        <f>IF(ISNUMBER(Table26[[#This Row],[Tgt Index]]),TRUE,FALSE)</f>
        <v>0</v>
      </c>
      <c r="L17" s="24" t="s">
        <v>25</v>
      </c>
      <c r="M17" s="2">
        <v>12</v>
      </c>
      <c r="N17" s="2"/>
      <c r="O17" s="2" t="b">
        <f>IF(ISNUMBER(Table13[[#This Row],[Tgt Index]]),TRUE,FALSE)</f>
        <v>0</v>
      </c>
      <c r="P17" s="2"/>
      <c r="Q17" s="2" t="s">
        <v>25</v>
      </c>
      <c r="R17" s="2">
        <v>12</v>
      </c>
      <c r="S17" s="2"/>
      <c r="T17" s="2" t="b">
        <f>IF(ISNUMBER(Table14168[[#This Row],[Tgt Index]]),TRUE,FALSE)</f>
        <v>0</v>
      </c>
      <c r="V17" s="2" t="s">
        <v>22</v>
      </c>
      <c r="W17" s="2">
        <v>7</v>
      </c>
      <c r="Y17" s="2" t="b">
        <f>IF(ISNUMBER(Table14[[#This Row],[Tgt Index]]),TRUE,FALSE)</f>
        <v>0</v>
      </c>
    </row>
    <row r="18" spans="2:25" x14ac:dyDescent="0.5">
      <c r="B18" s="24" t="s">
        <v>26</v>
      </c>
      <c r="C18" s="2">
        <v>13</v>
      </c>
      <c r="D18" s="2"/>
      <c r="E18" s="2" t="b">
        <f>IF(ISNUMBER(Table1416[[#This Row],[Tgt Index]]),TRUE,FALSE)</f>
        <v>0</v>
      </c>
      <c r="G18" s="24" t="s">
        <v>24</v>
      </c>
      <c r="H18" s="2">
        <v>13</v>
      </c>
      <c r="I18" s="2"/>
      <c r="J18" s="2" t="b">
        <f>IF(ISNUMBER(Table26[[#This Row],[Tgt Index]]),TRUE,FALSE)</f>
        <v>0</v>
      </c>
      <c r="L18" s="24" t="s">
        <v>26</v>
      </c>
      <c r="M18" s="2">
        <v>13</v>
      </c>
      <c r="N18" s="2"/>
      <c r="O18" s="2" t="b">
        <f>IF(ISNUMBER(Table13[[#This Row],[Tgt Index]]),TRUE,FALSE)</f>
        <v>0</v>
      </c>
      <c r="P18" s="2"/>
      <c r="Q18" s="2" t="s">
        <v>26</v>
      </c>
      <c r="R18" s="2">
        <v>13</v>
      </c>
      <c r="S18" s="2"/>
      <c r="T18" s="2" t="b">
        <f>IF(ISNUMBER(Table14168[[#This Row],[Tgt Index]]),TRUE,FALSE)</f>
        <v>0</v>
      </c>
      <c r="V18" s="2" t="s">
        <v>23</v>
      </c>
      <c r="W18" s="2">
        <v>9</v>
      </c>
      <c r="Y18" s="2" t="b">
        <f>IF(ISNUMBER(Table14[[#This Row],[Tgt Index]]),TRUE,FALSE)</f>
        <v>0</v>
      </c>
    </row>
    <row r="19" spans="2:25" x14ac:dyDescent="0.5">
      <c r="B19" s="24" t="s">
        <v>24</v>
      </c>
      <c r="C19" s="2">
        <v>14</v>
      </c>
      <c r="D19" s="2"/>
      <c r="E19" s="2" t="b">
        <f>IF(ISNUMBER(Table1416[[#This Row],[Tgt Index]]),TRUE,FALSE)</f>
        <v>0</v>
      </c>
      <c r="G19" s="24" t="s">
        <v>29</v>
      </c>
      <c r="H19" s="2">
        <v>14</v>
      </c>
      <c r="I19" s="2"/>
      <c r="J19" s="2" t="b">
        <f>IF(ISNUMBER(Table26[[#This Row],[Tgt Index]]),TRUE,FALSE)</f>
        <v>0</v>
      </c>
      <c r="L19" s="24" t="s">
        <v>24</v>
      </c>
      <c r="M19" s="2">
        <v>14</v>
      </c>
      <c r="N19" s="2"/>
      <c r="O19" s="2" t="b">
        <f>IF(ISNUMBER(Table13[[#This Row],[Tgt Index]]),TRUE,FALSE)</f>
        <v>0</v>
      </c>
      <c r="P19" s="2"/>
      <c r="Q19" s="2" t="s">
        <v>24</v>
      </c>
      <c r="R19" s="2">
        <v>14</v>
      </c>
      <c r="S19" s="2"/>
      <c r="T19" s="2" t="b">
        <f>IF(ISNUMBER(Table14168[[#This Row],[Tgt Index]]),TRUE,FALSE)</f>
        <v>0</v>
      </c>
      <c r="V19" s="2" t="s">
        <v>25</v>
      </c>
      <c r="W19" s="2">
        <v>12</v>
      </c>
      <c r="Y19" s="2" t="b">
        <f>IF(ISNUMBER(Table14[[#This Row],[Tgt Index]]),TRUE,FALSE)</f>
        <v>0</v>
      </c>
    </row>
    <row r="20" spans="2:25" x14ac:dyDescent="0.5">
      <c r="B20" s="24" t="s">
        <v>29</v>
      </c>
      <c r="C20" s="2">
        <v>15</v>
      </c>
      <c r="D20" s="2"/>
      <c r="E20" s="2" t="b">
        <f>IF(ISNUMBER(Table1416[[#This Row],[Tgt Index]]),TRUE,FALSE)</f>
        <v>0</v>
      </c>
      <c r="G20" s="24" t="s">
        <v>32</v>
      </c>
      <c r="H20" s="2">
        <v>15</v>
      </c>
      <c r="I20" s="2"/>
      <c r="J20" s="2" t="b">
        <f>IF(ISNUMBER(Table26[[#This Row],[Tgt Index]]),TRUE,FALSE)</f>
        <v>0</v>
      </c>
      <c r="L20" s="24" t="s">
        <v>29</v>
      </c>
      <c r="M20" s="2">
        <v>15</v>
      </c>
      <c r="N20" s="2"/>
      <c r="O20" s="2" t="b">
        <f>IF(ISNUMBER(Table13[[#This Row],[Tgt Index]]),TRUE,FALSE)</f>
        <v>0</v>
      </c>
      <c r="P20" s="2"/>
      <c r="Q20" s="2" t="s">
        <v>29</v>
      </c>
      <c r="R20" s="2">
        <v>15</v>
      </c>
      <c r="S20" s="2"/>
      <c r="T20" s="2" t="b">
        <f>IF(ISNUMBER(Table14168[[#This Row],[Tgt Index]]),TRUE,FALSE)</f>
        <v>0</v>
      </c>
      <c r="V20" s="2" t="s">
        <v>26</v>
      </c>
      <c r="W20" s="2">
        <v>13</v>
      </c>
      <c r="Y20" s="2" t="b">
        <f>IF(ISNUMBER(Table14[[#This Row],[Tgt Index]]),TRUE,FALSE)</f>
        <v>0</v>
      </c>
    </row>
    <row r="21" spans="2:25" x14ac:dyDescent="0.5">
      <c r="B21" s="24" t="s">
        <v>32</v>
      </c>
      <c r="C21" s="2">
        <v>16</v>
      </c>
      <c r="D21" s="2"/>
      <c r="E21" s="2" t="b">
        <f>IF(ISNUMBER(Table1416[[#This Row],[Tgt Index]]),TRUE,FALSE)</f>
        <v>0</v>
      </c>
      <c r="G21" s="24" t="s">
        <v>33</v>
      </c>
      <c r="H21" s="2">
        <v>16</v>
      </c>
      <c r="I21" s="2">
        <v>10</v>
      </c>
      <c r="J21" s="2" t="b">
        <f>IF(ISNUMBER(Table26[[#This Row],[Tgt Index]]),TRUE,FALSE)</f>
        <v>1</v>
      </c>
      <c r="L21" s="24" t="s">
        <v>33</v>
      </c>
      <c r="M21" s="2">
        <v>16</v>
      </c>
      <c r="N21" s="2">
        <v>10</v>
      </c>
      <c r="O21" s="2" t="b">
        <f>IF(ISNUMBER(Table13[[#This Row],[Tgt Index]]),TRUE,FALSE)</f>
        <v>1</v>
      </c>
      <c r="P21" s="2"/>
      <c r="Q21" s="24" t="s">
        <v>33</v>
      </c>
      <c r="R21" s="2">
        <v>16</v>
      </c>
      <c r="S21" s="2">
        <v>10</v>
      </c>
      <c r="T21" s="2" t="b">
        <f>IF(ISNUMBER(Table14168[[#This Row],[Tgt Index]]),TRUE,FALSE)</f>
        <v>1</v>
      </c>
      <c r="V21" s="2" t="s">
        <v>24</v>
      </c>
      <c r="W21" s="2">
        <v>14</v>
      </c>
      <c r="Y21" s="2" t="b">
        <f>IF(ISNUMBER(Table14[[#This Row],[Tgt Index]]),TRUE,FALSE)</f>
        <v>0</v>
      </c>
    </row>
    <row r="22" spans="2:25" x14ac:dyDescent="0.5">
      <c r="B22" s="24" t="s">
        <v>27</v>
      </c>
      <c r="C22" s="2">
        <v>17</v>
      </c>
      <c r="D22" s="2"/>
      <c r="E22" s="2" t="b">
        <f>IF(ISNUMBER(Table1416[[#This Row],[Tgt Index]]),TRUE,FALSE)</f>
        <v>0</v>
      </c>
      <c r="G22" s="24" t="s">
        <v>35</v>
      </c>
      <c r="H22" s="2">
        <v>17</v>
      </c>
      <c r="I22" s="2"/>
      <c r="J22" s="2" t="b">
        <f>IF(ISNUMBER(Table26[[#This Row],[Tgt Index]]),TRUE,FALSE)</f>
        <v>0</v>
      </c>
      <c r="L22" s="24" t="s">
        <v>31</v>
      </c>
      <c r="M22" s="2">
        <v>17</v>
      </c>
      <c r="N22" s="2"/>
      <c r="O22" s="2" t="b">
        <f>IF(ISNUMBER(Table13[[#This Row],[Tgt Index]]),TRUE,FALSE)</f>
        <v>0</v>
      </c>
      <c r="P22" s="2"/>
      <c r="Q22" s="24" t="s">
        <v>35</v>
      </c>
      <c r="R22" s="2">
        <v>17</v>
      </c>
      <c r="S22" s="2"/>
      <c r="T22" s="2" t="b">
        <f>IF(ISNUMBER(Table14168[[#This Row],[Tgt Index]]),TRUE,FALSE)</f>
        <v>0</v>
      </c>
      <c r="V22" s="2" t="s">
        <v>29</v>
      </c>
      <c r="W22" s="2">
        <v>15</v>
      </c>
      <c r="Y22" s="2" t="b">
        <f>IF(ISNUMBER(Table14[[#This Row],[Tgt Index]]),TRUE,FALSE)</f>
        <v>0</v>
      </c>
    </row>
    <row r="23" spans="2:25" x14ac:dyDescent="0.5">
      <c r="B23" s="24" t="s">
        <v>28</v>
      </c>
      <c r="C23" s="2">
        <v>18</v>
      </c>
      <c r="D23" s="2"/>
      <c r="E23" s="2" t="b">
        <f>IF(ISNUMBER(Table1416[[#This Row],[Tgt Index]]),TRUE,FALSE)</f>
        <v>0</v>
      </c>
      <c r="G23" s="24" t="s">
        <v>36</v>
      </c>
      <c r="H23" s="2">
        <v>18</v>
      </c>
      <c r="I23" s="2"/>
      <c r="J23" s="2" t="b">
        <f>IF(ISNUMBER(Table26[[#This Row],[Tgt Index]]),TRUE,FALSE)</f>
        <v>0</v>
      </c>
      <c r="L23" s="24" t="s">
        <v>36</v>
      </c>
      <c r="M23" s="2">
        <v>18</v>
      </c>
      <c r="N23" s="2"/>
      <c r="O23" s="2" t="b">
        <f>IF(ISNUMBER(Table13[[#This Row],[Tgt Index]]),TRUE,FALSE)</f>
        <v>0</v>
      </c>
      <c r="P23" s="2"/>
      <c r="Q23" s="2" t="s">
        <v>28</v>
      </c>
      <c r="R23" s="2">
        <v>18</v>
      </c>
      <c r="S23" s="2"/>
      <c r="T23" s="2" t="b">
        <f>IF(ISNUMBER(Table14168[[#This Row],[Tgt Index]]),TRUE,FALSE)</f>
        <v>0</v>
      </c>
      <c r="V23" s="2" t="s">
        <v>32</v>
      </c>
      <c r="W23" s="2">
        <v>16</v>
      </c>
      <c r="Y23" s="2" t="b">
        <f>IF(ISNUMBER(Table14[[#This Row],[Tgt Index]]),TRUE,FALSE)</f>
        <v>0</v>
      </c>
    </row>
    <row r="24" spans="2:25" x14ac:dyDescent="0.5">
      <c r="B24" s="24" t="s">
        <v>30</v>
      </c>
      <c r="C24" s="2">
        <v>19</v>
      </c>
      <c r="D24" s="2"/>
      <c r="E24" s="2" t="b">
        <f>IF(ISNUMBER(Table1416[[#This Row],[Tgt Index]]),TRUE,FALSE)</f>
        <v>0</v>
      </c>
      <c r="G24" s="24" t="s">
        <v>37</v>
      </c>
      <c r="H24" s="2">
        <v>19</v>
      </c>
      <c r="I24" s="2"/>
      <c r="J24" s="2" t="b">
        <f>IF(ISNUMBER(Table26[[#This Row],[Tgt Index]]),TRUE,FALSE)</f>
        <v>0</v>
      </c>
      <c r="L24" s="24" t="s">
        <v>37</v>
      </c>
      <c r="M24" s="2">
        <v>19</v>
      </c>
      <c r="N24" s="2"/>
      <c r="O24" s="2" t="b">
        <f>IF(ISNUMBER(Table13[[#This Row],[Tgt Index]]),TRUE,FALSE)</f>
        <v>0</v>
      </c>
      <c r="P24" s="2"/>
      <c r="Q24" s="2" t="s">
        <v>31</v>
      </c>
      <c r="R24" s="2">
        <v>19</v>
      </c>
      <c r="S24" s="2"/>
      <c r="T24" s="2" t="b">
        <f>IF(ISNUMBER(Table14168[[#This Row],[Tgt Index]]),TRUE,FALSE)</f>
        <v>0</v>
      </c>
      <c r="V24" s="2" t="s">
        <v>27</v>
      </c>
      <c r="W24" s="2">
        <v>17</v>
      </c>
      <c r="Y24" s="2" t="b">
        <f>IF(ISNUMBER(Table14[[#This Row],[Tgt Index]]),TRUE,FALSE)</f>
        <v>0</v>
      </c>
    </row>
    <row r="25" spans="2:25" x14ac:dyDescent="0.5">
      <c r="B25" s="24" t="s">
        <v>33</v>
      </c>
      <c r="C25" s="2">
        <v>20</v>
      </c>
      <c r="D25" s="2">
        <v>10</v>
      </c>
      <c r="E25" s="2" t="b">
        <f>IF(ISNUMBER(Table1416[[#This Row],[Tgt Index]]),TRUE,FALSE)</f>
        <v>1</v>
      </c>
      <c r="G25" s="24" t="s">
        <v>17</v>
      </c>
      <c r="H25" s="2">
        <v>20</v>
      </c>
      <c r="I25" s="2">
        <v>8</v>
      </c>
      <c r="J25" s="2" t="b">
        <f>IF(ISNUMBER(Table26[[#This Row],[Tgt Index]]),TRUE,FALSE)</f>
        <v>1</v>
      </c>
      <c r="L25" s="24" t="s">
        <v>17</v>
      </c>
      <c r="M25" s="2">
        <v>20</v>
      </c>
      <c r="N25" s="2">
        <v>8</v>
      </c>
      <c r="O25" s="2" t="b">
        <f>IF(ISNUMBER(Table13[[#This Row],[Tgt Index]]),TRUE,FALSE)</f>
        <v>1</v>
      </c>
      <c r="P25" s="2"/>
      <c r="Q25" s="24" t="s">
        <v>36</v>
      </c>
      <c r="R25" s="2">
        <v>20</v>
      </c>
      <c r="S25" s="2"/>
      <c r="T25" s="2" t="b">
        <f>IF(ISNUMBER(Table14168[[#This Row],[Tgt Index]]),TRUE,FALSE)</f>
        <v>0</v>
      </c>
      <c r="V25" s="2" t="s">
        <v>28</v>
      </c>
      <c r="W25" s="2">
        <v>18</v>
      </c>
      <c r="Y25" s="2" t="b">
        <f>IF(ISNUMBER(Table14[[#This Row],[Tgt Index]]),TRUE,FALSE)</f>
        <v>0</v>
      </c>
    </row>
    <row r="26" spans="2:25" x14ac:dyDescent="0.5">
      <c r="B26" s="24" t="s">
        <v>35</v>
      </c>
      <c r="C26" s="2">
        <v>21</v>
      </c>
      <c r="D26" s="2"/>
      <c r="E26" s="2" t="b">
        <f>IF(ISNUMBER(Table1416[[#This Row],[Tgt Index]]),TRUE,FALSE)</f>
        <v>0</v>
      </c>
      <c r="G26" s="24" t="s">
        <v>38</v>
      </c>
      <c r="H26" s="2">
        <v>21</v>
      </c>
      <c r="I26" s="2"/>
      <c r="J26" s="2" t="b">
        <f>IF(ISNUMBER(Table26[[#This Row],[Tgt Index]]),TRUE,FALSE)</f>
        <v>0</v>
      </c>
      <c r="L26" s="24" t="s">
        <v>38</v>
      </c>
      <c r="M26" s="2">
        <v>21</v>
      </c>
      <c r="N26" s="2"/>
      <c r="O26" s="2" t="b">
        <f>IF(ISNUMBER(Table13[[#This Row],[Tgt Index]]),TRUE,FALSE)</f>
        <v>0</v>
      </c>
      <c r="Q26" s="24" t="s">
        <v>37</v>
      </c>
      <c r="R26" s="2">
        <v>21</v>
      </c>
      <c r="S26" s="2"/>
      <c r="T26" s="2" t="b">
        <f>IF(ISNUMBER(Table14168[[#This Row],[Tgt Index]]),TRUE,FALSE)</f>
        <v>0</v>
      </c>
      <c r="V26" s="2" t="s">
        <v>30</v>
      </c>
      <c r="W26" s="2">
        <v>19</v>
      </c>
      <c r="Y26" s="2" t="b">
        <f>IF(ISNUMBER(Table14[[#This Row],[Tgt Index]]),TRUE,FALSE)</f>
        <v>0</v>
      </c>
    </row>
    <row r="27" spans="2:25" x14ac:dyDescent="0.5">
      <c r="B27" s="24" t="s">
        <v>31</v>
      </c>
      <c r="C27" s="2">
        <v>22</v>
      </c>
      <c r="D27" s="2"/>
      <c r="E27" s="2" t="b">
        <f>IF(ISNUMBER(Table1416[[#This Row],[Tgt Index]]),TRUE,FALSE)</f>
        <v>0</v>
      </c>
      <c r="L27" s="24" t="s">
        <v>42</v>
      </c>
      <c r="M27" s="2">
        <v>22</v>
      </c>
      <c r="N27" s="2"/>
      <c r="O27" s="2" t="b">
        <f>IF(ISNUMBER(Table13[[#This Row],[Tgt Index]]),TRUE,FALSE)</f>
        <v>0</v>
      </c>
      <c r="Q27" s="2" t="s">
        <v>17</v>
      </c>
      <c r="R27" s="2">
        <v>22</v>
      </c>
      <c r="S27" s="35">
        <v>8</v>
      </c>
      <c r="T27" s="2" t="b">
        <f>IF(ISNUMBER(Table14168[[#This Row],[Tgt Index]]),TRUE,FALSE)</f>
        <v>1</v>
      </c>
      <c r="V27" s="2" t="s">
        <v>33</v>
      </c>
      <c r="W27" s="2">
        <v>20</v>
      </c>
      <c r="X27" s="2">
        <v>10</v>
      </c>
      <c r="Y27" s="2" t="b">
        <f>IF(ISNUMBER(Table14[[#This Row],[Tgt Index]]),TRUE,FALSE)</f>
        <v>1</v>
      </c>
    </row>
    <row r="28" spans="2:25" x14ac:dyDescent="0.5">
      <c r="B28" s="24" t="s">
        <v>36</v>
      </c>
      <c r="C28" s="2">
        <v>23</v>
      </c>
      <c r="D28" s="2"/>
      <c r="E28" s="2" t="b">
        <f>IF(ISNUMBER(Table1416[[#This Row],[Tgt Index]]),TRUE,FALSE)</f>
        <v>0</v>
      </c>
      <c r="L28" s="24"/>
      <c r="M28" s="2"/>
      <c r="N28" s="2"/>
      <c r="O28" s="2"/>
      <c r="Q28" s="2" t="s">
        <v>38</v>
      </c>
      <c r="R28" s="2">
        <v>23</v>
      </c>
      <c r="S28" s="35">
        <v>8</v>
      </c>
      <c r="T28" s="2" t="b">
        <f>IF(ISNUMBER(Table14168[[#This Row],[Tgt Index]]),TRUE,FALSE)</f>
        <v>1</v>
      </c>
      <c r="V28" s="2" t="s">
        <v>34</v>
      </c>
      <c r="W28" s="2">
        <v>21</v>
      </c>
      <c r="Y28" s="2" t="b">
        <f>IF(ISNUMBER(Table14[[#This Row],[Tgt Index]]),TRUE,FALSE)</f>
        <v>0</v>
      </c>
    </row>
    <row r="29" spans="2:25" x14ac:dyDescent="0.5">
      <c r="B29" s="24" t="s">
        <v>37</v>
      </c>
      <c r="C29" s="2">
        <v>24</v>
      </c>
      <c r="D29" s="2"/>
      <c r="E29" s="2" t="b">
        <f>IF(ISNUMBER(Table1416[[#This Row],[Tgt Index]]),TRUE,FALSE)</f>
        <v>0</v>
      </c>
      <c r="Q29" s="24"/>
      <c r="R29" s="2"/>
      <c r="S29" s="2"/>
      <c r="T29" s="2"/>
      <c r="V29" s="2" t="s">
        <v>35</v>
      </c>
      <c r="W29" s="2">
        <v>22</v>
      </c>
      <c r="Y29" s="2" t="b">
        <f>IF(ISNUMBER(Table14[[#This Row],[Tgt Index]]),TRUE,FALSE)</f>
        <v>0</v>
      </c>
    </row>
    <row r="30" spans="2:25" x14ac:dyDescent="0.5">
      <c r="B30" s="24" t="s">
        <v>17</v>
      </c>
      <c r="C30" s="2">
        <v>25</v>
      </c>
      <c r="D30" s="35">
        <v>8</v>
      </c>
      <c r="E30" s="2" t="b">
        <f>IF(ISNUMBER(Table1416[[#This Row],[Tgt Index]]),TRUE,FALSE)</f>
        <v>1</v>
      </c>
      <c r="V30" s="2" t="s">
        <v>31</v>
      </c>
      <c r="W30" s="2">
        <v>23</v>
      </c>
      <c r="Y30" s="2" t="b">
        <f>IF(ISNUMBER(Table14[[#This Row],[Tgt Index]]),TRUE,FALSE)</f>
        <v>0</v>
      </c>
    </row>
    <row r="31" spans="2:25" x14ac:dyDescent="0.5">
      <c r="B31" s="24" t="s">
        <v>38</v>
      </c>
      <c r="C31" s="2">
        <v>26</v>
      </c>
      <c r="D31" s="35">
        <v>8</v>
      </c>
      <c r="E31" s="2" t="b">
        <f>IF(ISNUMBER(Table1416[[#This Row],[Tgt Index]]),TRUE,FALSE)</f>
        <v>1</v>
      </c>
      <c r="V31" s="2" t="s">
        <v>36</v>
      </c>
      <c r="W31" s="2">
        <v>24</v>
      </c>
      <c r="Y31" s="2" t="b">
        <f>IF(ISNUMBER(Table14[[#This Row],[Tgt Index]]),TRUE,FALSE)</f>
        <v>0</v>
      </c>
    </row>
    <row r="32" spans="2:25" x14ac:dyDescent="0.5">
      <c r="B32" s="24" t="s">
        <v>41</v>
      </c>
      <c r="C32" s="2">
        <v>27</v>
      </c>
      <c r="D32" s="2"/>
      <c r="E32" s="2" t="b">
        <f>IF(ISNUMBER(Table1416[[#This Row],[Tgt Index]]),TRUE,FALSE)</f>
        <v>0</v>
      </c>
      <c r="V32" s="2" t="s">
        <v>37</v>
      </c>
      <c r="W32" s="2">
        <v>25</v>
      </c>
      <c r="Y32" s="2" t="b">
        <f>IF(ISNUMBER(Table14[[#This Row],[Tgt Index]]),TRUE,FALSE)</f>
        <v>0</v>
      </c>
    </row>
    <row r="33" spans="22:25" x14ac:dyDescent="0.5">
      <c r="V33" s="2" t="s">
        <v>19</v>
      </c>
      <c r="W33" s="2">
        <v>28</v>
      </c>
      <c r="Y33" s="2" t="b">
        <f>IF(ISNUMBER(Table14[[#This Row],[Tgt Index]]),TRUE,FALSE)</f>
        <v>0</v>
      </c>
    </row>
    <row r="34" spans="22:25" x14ac:dyDescent="0.5">
      <c r="V34" s="2" t="s">
        <v>39</v>
      </c>
      <c r="W34" s="2">
        <v>29</v>
      </c>
      <c r="Y34" s="2" t="b">
        <f>IF(ISNUMBER(Table14[[#This Row],[Tgt Index]]),TRUE,FALSE)</f>
        <v>0</v>
      </c>
    </row>
    <row r="35" spans="22:25" x14ac:dyDescent="0.5">
      <c r="V35" s="2" t="s">
        <v>40</v>
      </c>
      <c r="W35" s="2">
        <v>30</v>
      </c>
      <c r="Y35" s="2" t="b">
        <f>IF(ISNUMBER(Table14[[#This Row],[Tgt Index]]),TRUE,FALSE)</f>
        <v>0</v>
      </c>
    </row>
  </sheetData>
  <mergeCells count="5">
    <mergeCell ref="L3:O3"/>
    <mergeCell ref="V3:Y3"/>
    <mergeCell ref="B3:E3"/>
    <mergeCell ref="Q3:T3"/>
    <mergeCell ref="G3:J3"/>
  </mergeCells>
  <phoneticPr fontId="4" type="noConversion"/>
  <conditionalFormatting sqref="J5:J26 O5:O27 T5:T28 E5:E32 Y5:Y35">
    <cfRule type="cellIs" dxfId="27" priority="29" operator="equal">
      <formula>TRUE</formula>
    </cfRule>
    <cfRule type="cellIs" dxfId="26" priority="30" operator="equal">
      <formula>FALSE</formula>
    </cfRule>
  </conditionalFormatting>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72CA-1E7D-41EC-B400-B6E89B2D76F5}">
  <sheetPr codeName="Sheet3"/>
  <dimension ref="B2:E8"/>
  <sheetViews>
    <sheetView workbookViewId="0">
      <selection activeCell="C4" sqref="C4:D8"/>
    </sheetView>
  </sheetViews>
  <sheetFormatPr defaultRowHeight="14.35" x14ac:dyDescent="0.5"/>
  <cols>
    <col min="2" max="2" width="14.87890625" bestFit="1" customWidth="1"/>
    <col min="3" max="3" width="55.05859375" style="10" customWidth="1"/>
    <col min="4" max="4" width="14" bestFit="1" customWidth="1"/>
    <col min="5" max="5" width="15.1171875" bestFit="1" customWidth="1"/>
    <col min="6" max="6" width="70.87890625" customWidth="1"/>
  </cols>
  <sheetData>
    <row r="2" spans="2:5" x14ac:dyDescent="0.5">
      <c r="B2" s="76" t="s">
        <v>1033</v>
      </c>
      <c r="C2" s="76"/>
      <c r="D2" s="1"/>
      <c r="E2" s="3"/>
    </row>
    <row r="3" spans="2:5" x14ac:dyDescent="0.5">
      <c r="B3" s="18" t="s">
        <v>620</v>
      </c>
      <c r="C3" s="19" t="s">
        <v>43</v>
      </c>
      <c r="D3" s="18" t="s">
        <v>44</v>
      </c>
      <c r="E3" s="19" t="s">
        <v>622</v>
      </c>
    </row>
    <row r="4" spans="2:5" ht="43" x14ac:dyDescent="0.5">
      <c r="B4" s="6" t="s">
        <v>45</v>
      </c>
      <c r="C4" s="20" t="s">
        <v>1035</v>
      </c>
      <c r="D4" s="3" t="s">
        <v>612</v>
      </c>
      <c r="E4" s="3" t="s">
        <v>46</v>
      </c>
    </row>
    <row r="5" spans="2:5" ht="28.7" x14ac:dyDescent="0.5">
      <c r="B5" s="6" t="s">
        <v>47</v>
      </c>
      <c r="C5" s="20" t="s">
        <v>613</v>
      </c>
      <c r="D5" s="3" t="s">
        <v>612</v>
      </c>
      <c r="E5" s="3" t="s">
        <v>46</v>
      </c>
    </row>
    <row r="6" spans="2:5" ht="57.35" x14ac:dyDescent="0.5">
      <c r="B6" s="6" t="s">
        <v>0</v>
      </c>
      <c r="C6" s="20" t="s">
        <v>614</v>
      </c>
      <c r="D6" s="3" t="s">
        <v>612</v>
      </c>
      <c r="E6" s="3" t="s">
        <v>46</v>
      </c>
    </row>
    <row r="7" spans="2:5" ht="28.7" x14ac:dyDescent="0.5">
      <c r="B7" s="6" t="s">
        <v>48</v>
      </c>
      <c r="C7" s="20" t="s">
        <v>1034</v>
      </c>
      <c r="D7" s="3" t="s">
        <v>612</v>
      </c>
      <c r="E7" s="3" t="s">
        <v>46</v>
      </c>
    </row>
    <row r="8" spans="2:5" ht="28.7" x14ac:dyDescent="0.5">
      <c r="B8" s="6" t="s">
        <v>1</v>
      </c>
      <c r="C8" s="20" t="s">
        <v>615</v>
      </c>
      <c r="D8" s="3" t="s">
        <v>612</v>
      </c>
      <c r="E8" s="3" t="s">
        <v>46</v>
      </c>
    </row>
  </sheetData>
  <mergeCells count="1">
    <mergeCell ref="B2:C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B38B-216F-4A83-9DD3-202FE3E8065A}">
  <sheetPr codeName="Sheet12"/>
  <dimension ref="B2:D6"/>
  <sheetViews>
    <sheetView workbookViewId="0">
      <selection activeCell="D3" sqref="D3:D6"/>
    </sheetView>
  </sheetViews>
  <sheetFormatPr defaultRowHeight="14.35" x14ac:dyDescent="0.5"/>
  <cols>
    <col min="2" max="2" width="7.1171875" bestFit="1" customWidth="1"/>
    <col min="3" max="3" width="13.8203125" bestFit="1" customWidth="1"/>
    <col min="4" max="4" width="64.46875" style="10" customWidth="1"/>
  </cols>
  <sheetData>
    <row r="2" spans="2:4" x14ac:dyDescent="0.5">
      <c r="B2" s="1" t="s">
        <v>50</v>
      </c>
      <c r="C2" s="3" t="s">
        <v>100</v>
      </c>
      <c r="D2" s="3" t="s">
        <v>101</v>
      </c>
    </row>
    <row r="3" spans="2:4" ht="28.7" x14ac:dyDescent="0.5">
      <c r="B3" s="6" t="s">
        <v>110</v>
      </c>
      <c r="C3" s="3" t="s">
        <v>102</v>
      </c>
      <c r="D3" s="3" t="s">
        <v>103</v>
      </c>
    </row>
    <row r="4" spans="2:4" ht="43" x14ac:dyDescent="0.5">
      <c r="B4" s="6" t="s">
        <v>111</v>
      </c>
      <c r="C4" s="3" t="s">
        <v>104</v>
      </c>
      <c r="D4" s="3" t="s">
        <v>105</v>
      </c>
    </row>
    <row r="5" spans="2:4" ht="43" x14ac:dyDescent="0.5">
      <c r="B5" s="6" t="s">
        <v>112</v>
      </c>
      <c r="C5" s="3" t="s">
        <v>106</v>
      </c>
      <c r="D5" s="3" t="s">
        <v>107</v>
      </c>
    </row>
    <row r="6" spans="2:4" ht="43" x14ac:dyDescent="0.5">
      <c r="B6" s="6" t="s">
        <v>113</v>
      </c>
      <c r="C6" s="3" t="s">
        <v>108</v>
      </c>
      <c r="D6" s="3" t="s">
        <v>109</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44F6-3035-4DB8-969D-40EAB5C5EF4C}">
  <sheetPr codeName="Sheet9"/>
  <dimension ref="A1:L131"/>
  <sheetViews>
    <sheetView zoomScaleNormal="100" workbookViewId="0">
      <selection activeCell="A2" sqref="A2"/>
    </sheetView>
  </sheetViews>
  <sheetFormatPr defaultRowHeight="14.35" x14ac:dyDescent="0.5"/>
  <cols>
    <col min="1" max="1" width="11.29296875" customWidth="1"/>
    <col min="2" max="4" width="57.5859375" style="10" customWidth="1"/>
    <col min="5" max="5" width="30.29296875" style="10" customWidth="1"/>
    <col min="6" max="6" width="12.234375" bestFit="1" customWidth="1"/>
    <col min="7" max="7" width="21.5859375" bestFit="1" customWidth="1"/>
    <col min="8" max="8" width="21.05859375" bestFit="1" customWidth="1"/>
    <col min="9" max="9" width="44.46875" style="10" customWidth="1"/>
    <col min="10" max="10" width="15.87890625" bestFit="1" customWidth="1"/>
    <col min="11" max="11" width="31.1171875" bestFit="1" customWidth="1"/>
    <col min="12" max="12" width="16.05859375" customWidth="1"/>
    <col min="13" max="13" width="70.41015625" customWidth="1"/>
  </cols>
  <sheetData>
    <row r="1" spans="1:12" x14ac:dyDescent="0.5">
      <c r="A1" s="1" t="s">
        <v>20</v>
      </c>
      <c r="B1" s="3" t="s">
        <v>9</v>
      </c>
      <c r="C1" s="3" t="s">
        <v>10</v>
      </c>
      <c r="D1" s="3" t="s">
        <v>11</v>
      </c>
      <c r="E1" s="3" t="s">
        <v>12</v>
      </c>
      <c r="F1" s="3" t="s">
        <v>15</v>
      </c>
      <c r="G1" s="3" t="s">
        <v>14</v>
      </c>
      <c r="H1" s="3" t="s">
        <v>49</v>
      </c>
      <c r="I1" s="3" t="s">
        <v>84</v>
      </c>
      <c r="J1" s="3" t="s">
        <v>33</v>
      </c>
      <c r="K1" s="3" t="s">
        <v>16</v>
      </c>
      <c r="L1" s="3" t="s">
        <v>2509</v>
      </c>
    </row>
    <row r="2" spans="1:12" ht="143.35" x14ac:dyDescent="0.5">
      <c r="A2" s="1" t="s">
        <v>2510</v>
      </c>
      <c r="B2" s="3" t="s">
        <v>2511</v>
      </c>
      <c r="C2" s="3" t="s">
        <v>3844</v>
      </c>
      <c r="D2" s="3" t="s">
        <v>2512</v>
      </c>
      <c r="E2" s="3" t="s">
        <v>2513</v>
      </c>
      <c r="F2" s="26">
        <v>40452</v>
      </c>
      <c r="G2" s="1">
        <v>2010</v>
      </c>
      <c r="H2" s="1" t="s">
        <v>61</v>
      </c>
      <c r="I2" s="3" t="s">
        <v>2514</v>
      </c>
      <c r="J2" s="1" t="s">
        <v>2515</v>
      </c>
      <c r="K2" s="1" t="s">
        <v>2516</v>
      </c>
      <c r="L2" s="1" t="b">
        <v>0</v>
      </c>
    </row>
    <row r="3" spans="1:12" ht="43" x14ac:dyDescent="0.5">
      <c r="A3" s="1" t="s">
        <v>2517</v>
      </c>
      <c r="B3" s="3" t="s">
        <v>2518</v>
      </c>
      <c r="C3" s="3" t="s">
        <v>123</v>
      </c>
      <c r="D3" s="3" t="s">
        <v>123</v>
      </c>
      <c r="E3" s="3" t="s">
        <v>2519</v>
      </c>
      <c r="F3" s="26" t="s">
        <v>123</v>
      </c>
      <c r="G3" s="1" t="s">
        <v>123</v>
      </c>
      <c r="H3" s="1" t="s">
        <v>2520</v>
      </c>
      <c r="I3" s="3" t="s">
        <v>123</v>
      </c>
      <c r="J3" s="1" t="s">
        <v>642</v>
      </c>
      <c r="K3" s="1" t="s">
        <v>123</v>
      </c>
      <c r="L3" s="1" t="b">
        <v>1</v>
      </c>
    </row>
    <row r="4" spans="1:12" ht="387" x14ac:dyDescent="0.5">
      <c r="A4" s="1" t="s">
        <v>2521</v>
      </c>
      <c r="B4" s="3" t="s">
        <v>645</v>
      </c>
      <c r="C4" s="3" t="s">
        <v>644</v>
      </c>
      <c r="D4" s="3" t="s">
        <v>300</v>
      </c>
      <c r="E4" s="3" t="s">
        <v>169</v>
      </c>
      <c r="F4" s="26">
        <v>40544</v>
      </c>
      <c r="G4" s="1">
        <v>2011</v>
      </c>
      <c r="H4" s="1" t="s">
        <v>61</v>
      </c>
      <c r="I4" s="3" t="s">
        <v>2522</v>
      </c>
      <c r="J4" s="1" t="s">
        <v>642</v>
      </c>
      <c r="K4" s="1" t="s">
        <v>170</v>
      </c>
      <c r="L4" s="1" t="b">
        <v>1</v>
      </c>
    </row>
    <row r="5" spans="1:12" ht="129" x14ac:dyDescent="0.5">
      <c r="A5" s="1" t="s">
        <v>2523</v>
      </c>
      <c r="B5" s="3" t="s">
        <v>455</v>
      </c>
      <c r="C5" s="3" t="s">
        <v>450</v>
      </c>
      <c r="D5" s="3" t="s">
        <v>461</v>
      </c>
      <c r="E5" s="3" t="s">
        <v>465</v>
      </c>
      <c r="F5" s="26">
        <v>42005</v>
      </c>
      <c r="G5" s="1">
        <v>2015</v>
      </c>
      <c r="H5" s="1" t="s">
        <v>62</v>
      </c>
      <c r="I5" s="3" t="s">
        <v>2524</v>
      </c>
      <c r="J5" s="1" t="s">
        <v>2515</v>
      </c>
      <c r="K5" s="1" t="s">
        <v>444</v>
      </c>
      <c r="L5" s="1" t="b">
        <v>1</v>
      </c>
    </row>
    <row r="6" spans="1:12" x14ac:dyDescent="0.5">
      <c r="A6" s="1" t="s">
        <v>2525</v>
      </c>
      <c r="B6" s="3" t="s">
        <v>2526</v>
      </c>
      <c r="C6" s="3" t="s">
        <v>123</v>
      </c>
      <c r="D6" s="3" t="s">
        <v>123</v>
      </c>
      <c r="E6" s="3" t="s">
        <v>2519</v>
      </c>
      <c r="F6" s="26" t="s">
        <v>123</v>
      </c>
      <c r="G6" s="1" t="s">
        <v>123</v>
      </c>
      <c r="H6" s="1" t="s">
        <v>2520</v>
      </c>
      <c r="I6" s="3" t="s">
        <v>123</v>
      </c>
      <c r="J6" s="1" t="s">
        <v>642</v>
      </c>
      <c r="K6" s="1" t="s">
        <v>123</v>
      </c>
      <c r="L6" s="1" t="b">
        <v>1</v>
      </c>
    </row>
    <row r="7" spans="1:12" ht="200.7" x14ac:dyDescent="0.5">
      <c r="A7" s="1" t="s">
        <v>2527</v>
      </c>
      <c r="B7" s="3" t="s">
        <v>2528</v>
      </c>
      <c r="C7" s="3" t="s">
        <v>2529</v>
      </c>
      <c r="D7" s="3" t="s">
        <v>2530</v>
      </c>
      <c r="E7" s="3" t="s">
        <v>2531</v>
      </c>
      <c r="F7" s="26">
        <v>45086</v>
      </c>
      <c r="G7" s="1">
        <v>2023</v>
      </c>
      <c r="H7" s="1" t="s">
        <v>61</v>
      </c>
      <c r="I7" s="3" t="s">
        <v>123</v>
      </c>
      <c r="J7" s="1" t="s">
        <v>2515</v>
      </c>
      <c r="K7" s="1" t="s">
        <v>2532</v>
      </c>
      <c r="L7" s="1" t="b">
        <v>1</v>
      </c>
    </row>
    <row r="8" spans="1:12" ht="28.7" x14ac:dyDescent="0.5">
      <c r="A8" s="1" t="s">
        <v>2533</v>
      </c>
      <c r="B8" s="3" t="s">
        <v>2534</v>
      </c>
      <c r="C8" s="3" t="s">
        <v>123</v>
      </c>
      <c r="D8" s="3" t="s">
        <v>123</v>
      </c>
      <c r="E8" s="3" t="s">
        <v>2535</v>
      </c>
      <c r="F8" s="26" t="s">
        <v>123</v>
      </c>
      <c r="G8" s="1" t="s">
        <v>123</v>
      </c>
      <c r="H8" s="1" t="s">
        <v>2520</v>
      </c>
      <c r="I8" s="3" t="s">
        <v>123</v>
      </c>
      <c r="J8" s="1" t="s">
        <v>642</v>
      </c>
      <c r="K8" s="1" t="s">
        <v>123</v>
      </c>
      <c r="L8" s="1" t="b">
        <v>1</v>
      </c>
    </row>
    <row r="9" spans="1:12" ht="172" x14ac:dyDescent="0.5">
      <c r="A9" s="1" t="s">
        <v>2536</v>
      </c>
      <c r="B9" s="3" t="s">
        <v>320</v>
      </c>
      <c r="C9" s="3" t="s">
        <v>345</v>
      </c>
      <c r="D9" s="3" t="s">
        <v>370</v>
      </c>
      <c r="E9" s="3" t="s">
        <v>2537</v>
      </c>
      <c r="F9" s="26">
        <v>43525</v>
      </c>
      <c r="G9" s="1">
        <v>2019</v>
      </c>
      <c r="H9" s="1" t="s">
        <v>61</v>
      </c>
      <c r="I9" s="3" t="s">
        <v>2538</v>
      </c>
      <c r="J9" s="1" t="s">
        <v>2515</v>
      </c>
      <c r="K9" s="1" t="s">
        <v>395</v>
      </c>
      <c r="L9" s="1" t="b">
        <v>0</v>
      </c>
    </row>
    <row r="10" spans="1:12" ht="28.7" x14ac:dyDescent="0.5">
      <c r="A10" s="1" t="s">
        <v>2539</v>
      </c>
      <c r="B10" s="3" t="s">
        <v>2540</v>
      </c>
      <c r="C10" s="3" t="s">
        <v>123</v>
      </c>
      <c r="D10" s="3" t="s">
        <v>123</v>
      </c>
      <c r="E10" s="3" t="s">
        <v>2535</v>
      </c>
      <c r="F10" s="26" t="s">
        <v>123</v>
      </c>
      <c r="G10" s="1" t="s">
        <v>123</v>
      </c>
      <c r="H10" s="1" t="s">
        <v>2520</v>
      </c>
      <c r="I10" s="3" t="s">
        <v>123</v>
      </c>
      <c r="J10" s="1" t="s">
        <v>642</v>
      </c>
      <c r="K10" s="1" t="s">
        <v>123</v>
      </c>
      <c r="L10" s="1" t="b">
        <v>1</v>
      </c>
    </row>
    <row r="11" spans="1:12" ht="28.7" x14ac:dyDescent="0.5">
      <c r="A11" s="1" t="s">
        <v>2541</v>
      </c>
      <c r="B11" s="3" t="s">
        <v>2542</v>
      </c>
      <c r="C11" s="3" t="s">
        <v>2543</v>
      </c>
      <c r="D11" s="3" t="s">
        <v>123</v>
      </c>
      <c r="E11" s="3" t="s">
        <v>2544</v>
      </c>
      <c r="F11" s="26">
        <v>45017</v>
      </c>
      <c r="G11" s="1">
        <v>2023</v>
      </c>
      <c r="H11" s="1" t="s">
        <v>61</v>
      </c>
      <c r="I11" s="3" t="s">
        <v>2545</v>
      </c>
      <c r="J11" s="1" t="s">
        <v>2515</v>
      </c>
      <c r="K11" s="1" t="s">
        <v>2546</v>
      </c>
      <c r="L11" s="1" t="b">
        <v>0</v>
      </c>
    </row>
    <row r="12" spans="1:12" ht="315.35000000000002" x14ac:dyDescent="0.5">
      <c r="A12" s="1" t="s">
        <v>2547</v>
      </c>
      <c r="B12" s="3" t="s">
        <v>247</v>
      </c>
      <c r="C12" s="3" t="s">
        <v>673</v>
      </c>
      <c r="D12" s="3" t="s">
        <v>135</v>
      </c>
      <c r="E12" s="3" t="s">
        <v>674</v>
      </c>
      <c r="F12" s="26">
        <v>42644</v>
      </c>
      <c r="G12" s="1">
        <v>2016</v>
      </c>
      <c r="H12" s="1" t="s">
        <v>61</v>
      </c>
      <c r="I12" s="3" t="s">
        <v>123</v>
      </c>
      <c r="J12" s="1" t="s">
        <v>2515</v>
      </c>
      <c r="K12" s="1" t="s">
        <v>249</v>
      </c>
      <c r="L12" s="1" t="b">
        <v>1</v>
      </c>
    </row>
    <row r="13" spans="1:12" ht="28.7" x14ac:dyDescent="0.5">
      <c r="A13" s="1" t="s">
        <v>2548</v>
      </c>
      <c r="B13" s="3" t="s">
        <v>2549</v>
      </c>
      <c r="C13" s="3" t="s">
        <v>123</v>
      </c>
      <c r="D13" s="3" t="s">
        <v>123</v>
      </c>
      <c r="E13" s="3" t="s">
        <v>2535</v>
      </c>
      <c r="F13" s="26" t="s">
        <v>123</v>
      </c>
      <c r="G13" s="1" t="s">
        <v>123</v>
      </c>
      <c r="H13" s="1" t="s">
        <v>2520</v>
      </c>
      <c r="I13" s="3" t="s">
        <v>123</v>
      </c>
      <c r="J13" s="1" t="s">
        <v>642</v>
      </c>
      <c r="K13" s="1" t="s">
        <v>123</v>
      </c>
      <c r="L13" s="1" t="b">
        <v>1</v>
      </c>
    </row>
    <row r="14" spans="1:12" ht="28.7" x14ac:dyDescent="0.5">
      <c r="A14" s="1" t="s">
        <v>2550</v>
      </c>
      <c r="B14" s="3" t="s">
        <v>2551</v>
      </c>
      <c r="C14" s="3" t="s">
        <v>123</v>
      </c>
      <c r="D14" s="3" t="s">
        <v>123</v>
      </c>
      <c r="E14" s="3" t="s">
        <v>2535</v>
      </c>
      <c r="F14" s="26" t="s">
        <v>123</v>
      </c>
      <c r="G14" s="1" t="s">
        <v>123</v>
      </c>
      <c r="H14" s="1" t="s">
        <v>2520</v>
      </c>
      <c r="I14" s="3" t="s">
        <v>123</v>
      </c>
      <c r="J14" s="1" t="s">
        <v>642</v>
      </c>
      <c r="K14" s="1" t="s">
        <v>123</v>
      </c>
      <c r="L14" s="1" t="b">
        <v>1</v>
      </c>
    </row>
    <row r="15" spans="1:12" ht="71.7" x14ac:dyDescent="0.5">
      <c r="A15" s="1" t="s">
        <v>2552</v>
      </c>
      <c r="B15" s="3" t="s">
        <v>2553</v>
      </c>
      <c r="C15" s="3" t="s">
        <v>2554</v>
      </c>
      <c r="D15" s="3" t="s">
        <v>123</v>
      </c>
      <c r="E15" s="3" t="s">
        <v>2555</v>
      </c>
      <c r="F15" s="26">
        <v>45139</v>
      </c>
      <c r="G15" s="1">
        <v>2023</v>
      </c>
      <c r="H15" s="1" t="s">
        <v>61</v>
      </c>
      <c r="I15" s="3" t="s">
        <v>2556</v>
      </c>
      <c r="J15" s="1" t="s">
        <v>2515</v>
      </c>
      <c r="K15" s="1" t="s">
        <v>2557</v>
      </c>
      <c r="L15" s="1" t="b">
        <v>0</v>
      </c>
    </row>
    <row r="16" spans="1:12" ht="57.35" x14ac:dyDescent="0.5">
      <c r="A16" s="1" t="s">
        <v>2558</v>
      </c>
      <c r="B16" s="3" t="s">
        <v>2559</v>
      </c>
      <c r="C16" s="3" t="s">
        <v>2560</v>
      </c>
      <c r="D16" s="3" t="s">
        <v>123</v>
      </c>
      <c r="E16" s="3" t="s">
        <v>2561</v>
      </c>
      <c r="F16" s="26">
        <v>44805</v>
      </c>
      <c r="G16" s="1">
        <v>2022</v>
      </c>
      <c r="H16" s="1" t="s">
        <v>61</v>
      </c>
      <c r="I16" s="3" t="s">
        <v>2562</v>
      </c>
      <c r="J16" s="1" t="s">
        <v>2515</v>
      </c>
      <c r="K16" s="1" t="s">
        <v>2563</v>
      </c>
      <c r="L16" s="1" t="b">
        <v>0</v>
      </c>
    </row>
    <row r="17" spans="1:12" ht="28.7" x14ac:dyDescent="0.5">
      <c r="A17" s="1" t="s">
        <v>2564</v>
      </c>
      <c r="B17" s="3" t="s">
        <v>2565</v>
      </c>
      <c r="C17" s="3" t="s">
        <v>123</v>
      </c>
      <c r="D17" s="3" t="s">
        <v>123</v>
      </c>
      <c r="E17" s="3" t="s">
        <v>2535</v>
      </c>
      <c r="F17" s="26" t="s">
        <v>123</v>
      </c>
      <c r="G17" s="1" t="s">
        <v>123</v>
      </c>
      <c r="H17" s="1" t="s">
        <v>2520</v>
      </c>
      <c r="I17" s="3" t="s">
        <v>123</v>
      </c>
      <c r="J17" s="1" t="s">
        <v>642</v>
      </c>
      <c r="K17" s="1" t="s">
        <v>123</v>
      </c>
      <c r="L17" s="1" t="b">
        <v>1</v>
      </c>
    </row>
    <row r="18" spans="1:12" ht="28.7" x14ac:dyDescent="0.5">
      <c r="A18" s="1" t="s">
        <v>2566</v>
      </c>
      <c r="B18" s="3" t="s">
        <v>2567</v>
      </c>
      <c r="C18" s="3" t="s">
        <v>123</v>
      </c>
      <c r="D18" s="3" t="s">
        <v>123</v>
      </c>
      <c r="E18" s="3" t="s">
        <v>2519</v>
      </c>
      <c r="F18" s="26" t="s">
        <v>123</v>
      </c>
      <c r="G18" s="1" t="s">
        <v>123</v>
      </c>
      <c r="H18" s="1" t="s">
        <v>2520</v>
      </c>
      <c r="I18" s="3" t="s">
        <v>123</v>
      </c>
      <c r="J18" s="1" t="s">
        <v>642</v>
      </c>
      <c r="K18" s="1" t="s">
        <v>123</v>
      </c>
      <c r="L18" s="1" t="b">
        <v>1</v>
      </c>
    </row>
    <row r="19" spans="1:12" ht="286.7" x14ac:dyDescent="0.5">
      <c r="A19" s="1" t="s">
        <v>2568</v>
      </c>
      <c r="B19" s="3" t="s">
        <v>322</v>
      </c>
      <c r="C19" s="3" t="s">
        <v>348</v>
      </c>
      <c r="D19" s="3" t="s">
        <v>372</v>
      </c>
      <c r="E19" s="3" t="s">
        <v>924</v>
      </c>
      <c r="F19" s="26">
        <v>42491</v>
      </c>
      <c r="G19" s="1">
        <v>2016</v>
      </c>
      <c r="H19" s="1" t="s">
        <v>61</v>
      </c>
      <c r="I19" s="3" t="s">
        <v>2569</v>
      </c>
      <c r="J19" s="1" t="s">
        <v>2515</v>
      </c>
      <c r="K19" s="1" t="s">
        <v>397</v>
      </c>
      <c r="L19" s="1" t="b">
        <v>0</v>
      </c>
    </row>
    <row r="20" spans="1:12" ht="28.7" x14ac:dyDescent="0.5">
      <c r="A20" s="1" t="s">
        <v>2570</v>
      </c>
      <c r="B20" s="3" t="s">
        <v>2571</v>
      </c>
      <c r="C20" s="3" t="s">
        <v>123</v>
      </c>
      <c r="D20" s="3" t="s">
        <v>123</v>
      </c>
      <c r="E20" s="3" t="s">
        <v>2519</v>
      </c>
      <c r="F20" s="26" t="s">
        <v>123</v>
      </c>
      <c r="G20" s="1" t="s">
        <v>123</v>
      </c>
      <c r="H20" s="1" t="s">
        <v>2520</v>
      </c>
      <c r="I20" s="3" t="s">
        <v>123</v>
      </c>
      <c r="J20" s="1" t="s">
        <v>642</v>
      </c>
      <c r="K20" s="1" t="s">
        <v>123</v>
      </c>
      <c r="L20" s="1" t="b">
        <v>1</v>
      </c>
    </row>
    <row r="21" spans="1:12" ht="286.7" x14ac:dyDescent="0.5">
      <c r="A21" s="1" t="s">
        <v>2572</v>
      </c>
      <c r="B21" s="3" t="s">
        <v>2573</v>
      </c>
      <c r="C21" s="3" t="s">
        <v>64</v>
      </c>
      <c r="D21" s="3" t="s">
        <v>65</v>
      </c>
      <c r="E21" s="3" t="s">
        <v>2574</v>
      </c>
      <c r="F21" s="26">
        <v>44474</v>
      </c>
      <c r="G21" s="1">
        <v>2021</v>
      </c>
      <c r="H21" s="1" t="s">
        <v>62</v>
      </c>
      <c r="I21" s="3" t="s">
        <v>123</v>
      </c>
      <c r="J21" s="1" t="s">
        <v>2515</v>
      </c>
      <c r="K21" s="1" t="s">
        <v>66</v>
      </c>
      <c r="L21" s="1" t="b">
        <v>1</v>
      </c>
    </row>
    <row r="22" spans="1:12" ht="200.7" x14ac:dyDescent="0.5">
      <c r="A22" s="1" t="s">
        <v>2575</v>
      </c>
      <c r="B22" s="3" t="s">
        <v>2576</v>
      </c>
      <c r="C22" s="3" t="s">
        <v>2577</v>
      </c>
      <c r="D22" s="3" t="s">
        <v>2578</v>
      </c>
      <c r="E22" s="3" t="s">
        <v>2579</v>
      </c>
      <c r="F22" s="26">
        <v>44372</v>
      </c>
      <c r="G22" s="1">
        <v>2021</v>
      </c>
      <c r="H22" s="1" t="s">
        <v>61</v>
      </c>
      <c r="I22" s="3" t="s">
        <v>123</v>
      </c>
      <c r="J22" s="1" t="s">
        <v>2515</v>
      </c>
      <c r="K22" s="1" t="s">
        <v>2580</v>
      </c>
      <c r="L22" s="1" t="b">
        <v>1</v>
      </c>
    </row>
    <row r="23" spans="1:12" ht="28.7" x14ac:dyDescent="0.5">
      <c r="A23" s="1" t="s">
        <v>2581</v>
      </c>
      <c r="B23" s="3" t="s">
        <v>2582</v>
      </c>
      <c r="C23" s="3" t="s">
        <v>123</v>
      </c>
      <c r="D23" s="3" t="s">
        <v>123</v>
      </c>
      <c r="E23" s="3" t="s">
        <v>2535</v>
      </c>
      <c r="F23" s="26" t="s">
        <v>123</v>
      </c>
      <c r="G23" s="1" t="s">
        <v>123</v>
      </c>
      <c r="H23" s="1" t="s">
        <v>2520</v>
      </c>
      <c r="I23" s="3" t="s">
        <v>123</v>
      </c>
      <c r="J23" s="1" t="s">
        <v>642</v>
      </c>
      <c r="K23" s="1" t="s">
        <v>123</v>
      </c>
      <c r="L23" s="1" t="b">
        <v>1</v>
      </c>
    </row>
    <row r="24" spans="1:12" x14ac:dyDescent="0.5">
      <c r="A24" s="1" t="s">
        <v>2583</v>
      </c>
      <c r="B24" s="3" t="s">
        <v>2584</v>
      </c>
      <c r="C24" s="3" t="s">
        <v>123</v>
      </c>
      <c r="D24" s="3" t="s">
        <v>123</v>
      </c>
      <c r="E24" s="3" t="s">
        <v>2519</v>
      </c>
      <c r="F24" s="26" t="s">
        <v>123</v>
      </c>
      <c r="G24" s="1" t="s">
        <v>123</v>
      </c>
      <c r="H24" s="1" t="s">
        <v>2520</v>
      </c>
      <c r="I24" s="3" t="s">
        <v>123</v>
      </c>
      <c r="J24" s="1" t="s">
        <v>642</v>
      </c>
      <c r="K24" s="1" t="s">
        <v>123</v>
      </c>
      <c r="L24" s="1" t="b">
        <v>1</v>
      </c>
    </row>
    <row r="25" spans="1:12" ht="301" x14ac:dyDescent="0.5">
      <c r="A25" s="1" t="s">
        <v>2585</v>
      </c>
      <c r="B25" s="3" t="s">
        <v>2586</v>
      </c>
      <c r="C25" s="3" t="s">
        <v>2587</v>
      </c>
      <c r="D25" s="3" t="s">
        <v>2588</v>
      </c>
      <c r="E25" s="3" t="s">
        <v>2589</v>
      </c>
      <c r="F25" s="26">
        <v>44927</v>
      </c>
      <c r="G25" s="1">
        <v>2023</v>
      </c>
      <c r="H25" s="1" t="s">
        <v>61</v>
      </c>
      <c r="I25" s="3" t="s">
        <v>123</v>
      </c>
      <c r="J25" s="1" t="s">
        <v>2515</v>
      </c>
      <c r="K25" s="1" t="s">
        <v>2590</v>
      </c>
      <c r="L25" s="1" t="b">
        <v>0</v>
      </c>
    </row>
    <row r="26" spans="1:12" ht="315.35000000000002" x14ac:dyDescent="0.5">
      <c r="A26" s="1" t="s">
        <v>2591</v>
      </c>
      <c r="B26" s="3" t="s">
        <v>2592</v>
      </c>
      <c r="C26" s="3" t="s">
        <v>2593</v>
      </c>
      <c r="D26" s="3" t="s">
        <v>2594</v>
      </c>
      <c r="E26" s="3" t="s">
        <v>2595</v>
      </c>
      <c r="F26" s="26">
        <v>45139</v>
      </c>
      <c r="G26" s="1">
        <v>2023</v>
      </c>
      <c r="H26" s="1" t="s">
        <v>61</v>
      </c>
      <c r="I26" s="3" t="s">
        <v>2596</v>
      </c>
      <c r="J26" s="1" t="s">
        <v>2515</v>
      </c>
      <c r="K26" s="1" t="s">
        <v>2597</v>
      </c>
      <c r="L26" s="1" t="b">
        <v>0</v>
      </c>
    </row>
    <row r="27" spans="1:12" ht="229.35" x14ac:dyDescent="0.5">
      <c r="A27" s="1" t="s">
        <v>2598</v>
      </c>
      <c r="B27" s="3" t="s">
        <v>2599</v>
      </c>
      <c r="C27" s="3" t="s">
        <v>2600</v>
      </c>
      <c r="D27" s="3" t="s">
        <v>2601</v>
      </c>
      <c r="E27" s="3" t="s">
        <v>2602</v>
      </c>
      <c r="F27" s="26">
        <v>40756</v>
      </c>
      <c r="G27" s="1">
        <v>2011</v>
      </c>
      <c r="H27" s="1" t="s">
        <v>61</v>
      </c>
      <c r="I27" s="3" t="s">
        <v>123</v>
      </c>
      <c r="J27" s="1" t="s">
        <v>2515</v>
      </c>
      <c r="K27" s="1" t="s">
        <v>2603</v>
      </c>
      <c r="L27" s="1" t="b">
        <v>0</v>
      </c>
    </row>
    <row r="28" spans="1:12" ht="358.35" x14ac:dyDescent="0.5">
      <c r="A28" s="1" t="s">
        <v>2604</v>
      </c>
      <c r="B28" s="3" t="s">
        <v>174</v>
      </c>
      <c r="C28" s="3" t="s">
        <v>680</v>
      </c>
      <c r="D28" s="3" t="s">
        <v>290</v>
      </c>
      <c r="E28" s="3" t="s">
        <v>681</v>
      </c>
      <c r="F28" s="26">
        <v>44409</v>
      </c>
      <c r="G28" s="1">
        <v>2021</v>
      </c>
      <c r="H28" s="1" t="s">
        <v>61</v>
      </c>
      <c r="I28" s="3" t="s">
        <v>123</v>
      </c>
      <c r="J28" s="1" t="s">
        <v>2515</v>
      </c>
      <c r="K28" s="1" t="s">
        <v>175</v>
      </c>
      <c r="L28" s="1" t="b">
        <v>0</v>
      </c>
    </row>
    <row r="29" spans="1:12" ht="315.35000000000002" x14ac:dyDescent="0.5">
      <c r="A29" s="1" t="s">
        <v>2605</v>
      </c>
      <c r="B29" s="3" t="s">
        <v>2606</v>
      </c>
      <c r="C29" s="3" t="s">
        <v>2607</v>
      </c>
      <c r="D29" s="3" t="s">
        <v>2608</v>
      </c>
      <c r="E29" s="3" t="s">
        <v>123</v>
      </c>
      <c r="F29" s="26">
        <v>40544</v>
      </c>
      <c r="G29" s="1">
        <v>2011</v>
      </c>
      <c r="H29" s="1" t="s">
        <v>63</v>
      </c>
      <c r="I29" s="3" t="s">
        <v>123</v>
      </c>
      <c r="J29" s="1" t="s">
        <v>2515</v>
      </c>
      <c r="K29" s="1" t="s">
        <v>123</v>
      </c>
      <c r="L29" s="1" t="b">
        <v>0</v>
      </c>
    </row>
    <row r="30" spans="1:12" ht="272.35000000000002" x14ac:dyDescent="0.5">
      <c r="A30" s="1" t="s">
        <v>2609</v>
      </c>
      <c r="B30" s="3" t="s">
        <v>303</v>
      </c>
      <c r="C30" s="3" t="s">
        <v>328</v>
      </c>
      <c r="D30" s="3" t="s">
        <v>353</v>
      </c>
      <c r="E30" s="3" t="s">
        <v>2610</v>
      </c>
      <c r="F30" s="26">
        <v>42186</v>
      </c>
      <c r="G30" s="1">
        <v>2015</v>
      </c>
      <c r="H30" s="1" t="s">
        <v>61</v>
      </c>
      <c r="I30" s="3" t="s">
        <v>2611</v>
      </c>
      <c r="J30" s="1" t="s">
        <v>2515</v>
      </c>
      <c r="K30" s="1" t="s">
        <v>378</v>
      </c>
      <c r="L30" s="1" t="b">
        <v>0</v>
      </c>
    </row>
    <row r="31" spans="1:12" ht="28.7" x14ac:dyDescent="0.5">
      <c r="A31" s="1" t="s">
        <v>2612</v>
      </c>
      <c r="B31" s="3" t="s">
        <v>2613</v>
      </c>
      <c r="C31" s="3" t="s">
        <v>123</v>
      </c>
      <c r="D31" s="3" t="s">
        <v>123</v>
      </c>
      <c r="E31" s="3" t="s">
        <v>2535</v>
      </c>
      <c r="F31" s="26" t="s">
        <v>123</v>
      </c>
      <c r="G31" s="1" t="s">
        <v>123</v>
      </c>
      <c r="H31" s="1" t="s">
        <v>2520</v>
      </c>
      <c r="I31" s="3" t="s">
        <v>123</v>
      </c>
      <c r="J31" s="1" t="s">
        <v>642</v>
      </c>
      <c r="K31" s="1" t="s">
        <v>123</v>
      </c>
      <c r="L31" s="1" t="b">
        <v>1</v>
      </c>
    </row>
    <row r="32" spans="1:12" ht="43" x14ac:dyDescent="0.5">
      <c r="A32" s="1" t="s">
        <v>2614</v>
      </c>
      <c r="B32" s="3" t="s">
        <v>2615</v>
      </c>
      <c r="C32" s="3" t="s">
        <v>123</v>
      </c>
      <c r="D32" s="3" t="s">
        <v>123</v>
      </c>
      <c r="E32" s="3" t="s">
        <v>2519</v>
      </c>
      <c r="F32" s="26" t="s">
        <v>123</v>
      </c>
      <c r="G32" s="1" t="s">
        <v>123</v>
      </c>
      <c r="H32" s="1" t="s">
        <v>2520</v>
      </c>
      <c r="I32" s="3" t="s">
        <v>123</v>
      </c>
      <c r="J32" s="1" t="s">
        <v>642</v>
      </c>
      <c r="K32" s="1" t="s">
        <v>123</v>
      </c>
      <c r="L32" s="1" t="b">
        <v>1</v>
      </c>
    </row>
    <row r="33" spans="1:12" ht="28.7" x14ac:dyDescent="0.5">
      <c r="A33" s="1" t="s">
        <v>2616</v>
      </c>
      <c r="B33" s="3" t="s">
        <v>2617</v>
      </c>
      <c r="C33" s="3" t="s">
        <v>123</v>
      </c>
      <c r="D33" s="3" t="s">
        <v>123</v>
      </c>
      <c r="E33" s="3" t="s">
        <v>2535</v>
      </c>
      <c r="F33" s="26" t="s">
        <v>123</v>
      </c>
      <c r="G33" s="1" t="s">
        <v>123</v>
      </c>
      <c r="H33" s="1" t="s">
        <v>2520</v>
      </c>
      <c r="I33" s="3" t="s">
        <v>123</v>
      </c>
      <c r="J33" s="1" t="s">
        <v>642</v>
      </c>
      <c r="K33" s="1" t="s">
        <v>123</v>
      </c>
      <c r="L33" s="1" t="b">
        <v>1</v>
      </c>
    </row>
    <row r="34" spans="1:12" ht="401.35" x14ac:dyDescent="0.5">
      <c r="A34" s="1" t="s">
        <v>2618</v>
      </c>
      <c r="B34" s="3" t="s">
        <v>176</v>
      </c>
      <c r="C34" s="3" t="s">
        <v>2619</v>
      </c>
      <c r="D34" s="3" t="s">
        <v>283</v>
      </c>
      <c r="E34" s="3" t="s">
        <v>177</v>
      </c>
      <c r="F34" s="26">
        <v>43831</v>
      </c>
      <c r="G34" s="1">
        <v>2020</v>
      </c>
      <c r="H34" s="1" t="s">
        <v>61</v>
      </c>
      <c r="I34" s="3" t="s">
        <v>2620</v>
      </c>
      <c r="J34" s="1" t="s">
        <v>642</v>
      </c>
      <c r="K34" s="1" t="s">
        <v>178</v>
      </c>
      <c r="L34" s="1" t="b">
        <v>1</v>
      </c>
    </row>
    <row r="35" spans="1:12" ht="372.7" x14ac:dyDescent="0.5">
      <c r="A35" s="1" t="s">
        <v>2621</v>
      </c>
      <c r="B35" s="3" t="s">
        <v>131</v>
      </c>
      <c r="C35" s="3" t="s">
        <v>641</v>
      </c>
      <c r="D35" s="3" t="s">
        <v>301</v>
      </c>
      <c r="E35" s="3" t="s">
        <v>132</v>
      </c>
      <c r="F35" s="26">
        <v>44075</v>
      </c>
      <c r="G35" s="1">
        <v>2020</v>
      </c>
      <c r="H35" s="1" t="s">
        <v>61</v>
      </c>
      <c r="I35" s="3" t="s">
        <v>2622</v>
      </c>
      <c r="J35" s="1" t="s">
        <v>642</v>
      </c>
      <c r="K35" s="1" t="s">
        <v>133</v>
      </c>
      <c r="L35" s="1" t="b">
        <v>1</v>
      </c>
    </row>
    <row r="36" spans="1:12" ht="28.7" x14ac:dyDescent="0.5">
      <c r="A36" s="1" t="s">
        <v>2623</v>
      </c>
      <c r="B36" s="3" t="s">
        <v>2624</v>
      </c>
      <c r="C36" s="3" t="s">
        <v>123</v>
      </c>
      <c r="D36" s="3" t="s">
        <v>123</v>
      </c>
      <c r="E36" s="3" t="s">
        <v>2535</v>
      </c>
      <c r="F36" s="26" t="s">
        <v>123</v>
      </c>
      <c r="G36" s="1" t="s">
        <v>123</v>
      </c>
      <c r="H36" s="1" t="s">
        <v>2520</v>
      </c>
      <c r="I36" s="3" t="s">
        <v>123</v>
      </c>
      <c r="J36" s="1" t="s">
        <v>642</v>
      </c>
      <c r="K36" s="1" t="s">
        <v>123</v>
      </c>
      <c r="L36" s="1" t="b">
        <v>1</v>
      </c>
    </row>
    <row r="37" spans="1:12" ht="409.6" x14ac:dyDescent="0.5">
      <c r="A37" s="1" t="s">
        <v>2625</v>
      </c>
      <c r="B37" s="3" t="s">
        <v>2626</v>
      </c>
      <c r="C37" s="3" t="s">
        <v>2627</v>
      </c>
      <c r="D37" s="3" t="s">
        <v>2628</v>
      </c>
      <c r="E37" s="3" t="s">
        <v>2629</v>
      </c>
      <c r="F37" s="26">
        <v>45351</v>
      </c>
      <c r="G37" s="1">
        <v>2024</v>
      </c>
      <c r="H37" s="1" t="s">
        <v>61</v>
      </c>
      <c r="I37" s="3" t="s">
        <v>123</v>
      </c>
      <c r="J37" s="1" t="s">
        <v>2515</v>
      </c>
      <c r="K37" s="1" t="s">
        <v>2630</v>
      </c>
      <c r="L37" s="1" t="b">
        <v>0</v>
      </c>
    </row>
    <row r="38" spans="1:12" ht="28.7" x14ac:dyDescent="0.5">
      <c r="A38" s="1" t="s">
        <v>2631</v>
      </c>
      <c r="B38" s="3" t="s">
        <v>2632</v>
      </c>
      <c r="C38" s="3" t="s">
        <v>123</v>
      </c>
      <c r="D38" s="3" t="s">
        <v>123</v>
      </c>
      <c r="E38" s="3" t="s">
        <v>2519</v>
      </c>
      <c r="F38" s="26" t="s">
        <v>123</v>
      </c>
      <c r="G38" s="1" t="s">
        <v>123</v>
      </c>
      <c r="H38" s="1" t="s">
        <v>2520</v>
      </c>
      <c r="I38" s="3" t="s">
        <v>123</v>
      </c>
      <c r="J38" s="1" t="s">
        <v>642</v>
      </c>
      <c r="K38" s="1" t="s">
        <v>123</v>
      </c>
      <c r="L38" s="1" t="b">
        <v>1</v>
      </c>
    </row>
    <row r="39" spans="1:12" x14ac:dyDescent="0.5">
      <c r="A39" s="1" t="s">
        <v>2633</v>
      </c>
      <c r="B39" s="3" t="s">
        <v>2634</v>
      </c>
      <c r="C39" s="3" t="s">
        <v>123</v>
      </c>
      <c r="D39" s="3" t="s">
        <v>123</v>
      </c>
      <c r="E39" s="3" t="s">
        <v>2519</v>
      </c>
      <c r="F39" s="26" t="s">
        <v>123</v>
      </c>
      <c r="G39" s="1" t="s">
        <v>123</v>
      </c>
      <c r="H39" s="1" t="s">
        <v>2520</v>
      </c>
      <c r="I39" s="3" t="s">
        <v>123</v>
      </c>
      <c r="J39" s="1" t="s">
        <v>642</v>
      </c>
      <c r="K39" s="1" t="s">
        <v>123</v>
      </c>
      <c r="L39" s="1" t="b">
        <v>1</v>
      </c>
    </row>
    <row r="40" spans="1:12" ht="28.7" x14ac:dyDescent="0.5">
      <c r="A40" s="1" t="s">
        <v>2635</v>
      </c>
      <c r="B40" s="3" t="s">
        <v>2636</v>
      </c>
      <c r="C40" s="3" t="s">
        <v>123</v>
      </c>
      <c r="D40" s="3" t="s">
        <v>123</v>
      </c>
      <c r="E40" s="3" t="s">
        <v>2519</v>
      </c>
      <c r="F40" s="26" t="s">
        <v>123</v>
      </c>
      <c r="G40" s="1" t="s">
        <v>123</v>
      </c>
      <c r="H40" s="1" t="s">
        <v>2520</v>
      </c>
      <c r="I40" s="3" t="s">
        <v>123</v>
      </c>
      <c r="J40" s="1" t="s">
        <v>642</v>
      </c>
      <c r="K40" s="1" t="s">
        <v>123</v>
      </c>
      <c r="L40" s="1" t="b">
        <v>1</v>
      </c>
    </row>
    <row r="41" spans="1:12" ht="272.35000000000002" x14ac:dyDescent="0.5">
      <c r="A41" s="1" t="s">
        <v>2637</v>
      </c>
      <c r="B41" s="3" t="s">
        <v>190</v>
      </c>
      <c r="C41" s="3" t="s">
        <v>648</v>
      </c>
      <c r="D41" s="3" t="s">
        <v>297</v>
      </c>
      <c r="E41" s="3" t="s">
        <v>191</v>
      </c>
      <c r="F41" s="26">
        <v>41699</v>
      </c>
      <c r="G41" s="1">
        <v>2014</v>
      </c>
      <c r="H41" s="1" t="s">
        <v>61</v>
      </c>
      <c r="I41" s="3" t="s">
        <v>2638</v>
      </c>
      <c r="J41" s="1" t="s">
        <v>642</v>
      </c>
      <c r="K41" s="1" t="s">
        <v>192</v>
      </c>
      <c r="L41" s="1" t="b">
        <v>1</v>
      </c>
    </row>
    <row r="42" spans="1:12" ht="28.7" x14ac:dyDescent="0.5">
      <c r="A42" s="1" t="s">
        <v>2639</v>
      </c>
      <c r="B42" s="3" t="s">
        <v>2640</v>
      </c>
      <c r="C42" s="3" t="s">
        <v>123</v>
      </c>
      <c r="D42" s="3" t="s">
        <v>123</v>
      </c>
      <c r="E42" s="3" t="s">
        <v>2535</v>
      </c>
      <c r="F42" s="26" t="s">
        <v>123</v>
      </c>
      <c r="G42" s="1" t="s">
        <v>123</v>
      </c>
      <c r="H42" s="1" t="s">
        <v>2520</v>
      </c>
      <c r="I42" s="3" t="s">
        <v>123</v>
      </c>
      <c r="J42" s="1" t="s">
        <v>642</v>
      </c>
      <c r="K42" s="1" t="s">
        <v>123</v>
      </c>
      <c r="L42" s="1" t="b">
        <v>1</v>
      </c>
    </row>
    <row r="43" spans="1:12" ht="28.7" x14ac:dyDescent="0.5">
      <c r="A43" s="1" t="s">
        <v>2641</v>
      </c>
      <c r="B43" s="3" t="s">
        <v>2642</v>
      </c>
      <c r="C43" s="3" t="s">
        <v>123</v>
      </c>
      <c r="D43" s="3" t="s">
        <v>123</v>
      </c>
      <c r="E43" s="3" t="s">
        <v>2535</v>
      </c>
      <c r="F43" s="26" t="s">
        <v>123</v>
      </c>
      <c r="G43" s="1" t="s">
        <v>123</v>
      </c>
      <c r="H43" s="1" t="s">
        <v>2520</v>
      </c>
      <c r="I43" s="3" t="s">
        <v>123</v>
      </c>
      <c r="J43" s="1" t="s">
        <v>642</v>
      </c>
      <c r="K43" s="1" t="s">
        <v>123</v>
      </c>
      <c r="L43" s="1" t="b">
        <v>1</v>
      </c>
    </row>
    <row r="44" spans="1:12" ht="301" x14ac:dyDescent="0.5">
      <c r="A44" s="1" t="s">
        <v>2643</v>
      </c>
      <c r="B44" s="3" t="s">
        <v>2644</v>
      </c>
      <c r="C44" s="3" t="s">
        <v>2645</v>
      </c>
      <c r="D44" s="3" t="s">
        <v>2646</v>
      </c>
      <c r="E44" s="3" t="s">
        <v>2647</v>
      </c>
      <c r="F44" s="26">
        <v>45070</v>
      </c>
      <c r="G44" s="1">
        <v>2023</v>
      </c>
      <c r="H44" s="1" t="s">
        <v>61</v>
      </c>
      <c r="I44" s="3" t="s">
        <v>123</v>
      </c>
      <c r="J44" s="1" t="s">
        <v>2515</v>
      </c>
      <c r="K44" s="1" t="s">
        <v>2648</v>
      </c>
      <c r="L44" s="1" t="b">
        <v>0</v>
      </c>
    </row>
    <row r="45" spans="1:12" ht="28.7" x14ac:dyDescent="0.5">
      <c r="A45" s="1" t="s">
        <v>2649</v>
      </c>
      <c r="B45" s="3" t="s">
        <v>2650</v>
      </c>
      <c r="C45" s="3" t="s">
        <v>123</v>
      </c>
      <c r="D45" s="3" t="s">
        <v>123</v>
      </c>
      <c r="E45" s="3" t="s">
        <v>2519</v>
      </c>
      <c r="F45" s="26" t="s">
        <v>123</v>
      </c>
      <c r="G45" s="1" t="s">
        <v>123</v>
      </c>
      <c r="H45" s="1" t="s">
        <v>2520</v>
      </c>
      <c r="I45" s="3" t="s">
        <v>123</v>
      </c>
      <c r="J45" s="1" t="s">
        <v>642</v>
      </c>
      <c r="K45" s="1" t="s">
        <v>123</v>
      </c>
      <c r="L45" s="1" t="b">
        <v>1</v>
      </c>
    </row>
    <row r="46" spans="1:12" ht="28.7" x14ac:dyDescent="0.5">
      <c r="A46" s="1" t="s">
        <v>2651</v>
      </c>
      <c r="B46" s="3" t="s">
        <v>2652</v>
      </c>
      <c r="C46" s="3" t="s">
        <v>123</v>
      </c>
      <c r="D46" s="3" t="s">
        <v>123</v>
      </c>
      <c r="E46" s="3" t="s">
        <v>2519</v>
      </c>
      <c r="F46" s="26" t="s">
        <v>123</v>
      </c>
      <c r="G46" s="1" t="s">
        <v>123</v>
      </c>
      <c r="H46" s="1" t="s">
        <v>2520</v>
      </c>
      <c r="I46" s="3" t="s">
        <v>123</v>
      </c>
      <c r="J46" s="1" t="s">
        <v>642</v>
      </c>
      <c r="K46" s="1" t="s">
        <v>123</v>
      </c>
      <c r="L46" s="1" t="b">
        <v>1</v>
      </c>
    </row>
    <row r="47" spans="1:12" ht="28.7" x14ac:dyDescent="0.5">
      <c r="A47" s="1" t="s">
        <v>2653</v>
      </c>
      <c r="B47" s="3" t="s">
        <v>2654</v>
      </c>
      <c r="C47" s="3" t="s">
        <v>123</v>
      </c>
      <c r="D47" s="3" t="s">
        <v>123</v>
      </c>
      <c r="E47" s="3" t="s">
        <v>2519</v>
      </c>
      <c r="F47" s="26" t="s">
        <v>123</v>
      </c>
      <c r="G47" s="1" t="s">
        <v>123</v>
      </c>
      <c r="H47" s="1" t="s">
        <v>2520</v>
      </c>
      <c r="I47" s="3" t="s">
        <v>123</v>
      </c>
      <c r="J47" s="1" t="s">
        <v>642</v>
      </c>
      <c r="K47" s="1" t="s">
        <v>123</v>
      </c>
      <c r="L47" s="1" t="b">
        <v>1</v>
      </c>
    </row>
    <row r="48" spans="1:12" ht="401.35" x14ac:dyDescent="0.5">
      <c r="A48" s="1" t="s">
        <v>2655</v>
      </c>
      <c r="B48" s="3" t="s">
        <v>456</v>
      </c>
      <c r="C48" s="3" t="s">
        <v>451</v>
      </c>
      <c r="D48" s="3" t="s">
        <v>462</v>
      </c>
      <c r="E48" s="3" t="s">
        <v>466</v>
      </c>
      <c r="F48" s="26">
        <v>40909</v>
      </c>
      <c r="G48" s="1">
        <v>2012</v>
      </c>
      <c r="H48" s="1" t="s">
        <v>62</v>
      </c>
      <c r="I48" s="3" t="s">
        <v>2656</v>
      </c>
      <c r="J48" s="1" t="s">
        <v>2515</v>
      </c>
      <c r="K48" s="1" t="s">
        <v>445</v>
      </c>
      <c r="L48" s="1" t="b">
        <v>1</v>
      </c>
    </row>
    <row r="49" spans="1:12" ht="28.7" x14ac:dyDescent="0.5">
      <c r="A49" s="1" t="s">
        <v>2657</v>
      </c>
      <c r="B49" s="3" t="s">
        <v>2658</v>
      </c>
      <c r="C49" s="3" t="s">
        <v>123</v>
      </c>
      <c r="D49" s="3" t="s">
        <v>123</v>
      </c>
      <c r="E49" s="3" t="s">
        <v>2519</v>
      </c>
      <c r="F49" s="26" t="s">
        <v>123</v>
      </c>
      <c r="G49" s="1" t="s">
        <v>123</v>
      </c>
      <c r="H49" s="1" t="s">
        <v>2520</v>
      </c>
      <c r="I49" s="3" t="s">
        <v>123</v>
      </c>
      <c r="J49" s="1" t="s">
        <v>642</v>
      </c>
      <c r="K49" s="1" t="s">
        <v>123</v>
      </c>
      <c r="L49" s="1" t="b">
        <v>1</v>
      </c>
    </row>
    <row r="50" spans="1:12" ht="229.35" x14ac:dyDescent="0.5">
      <c r="A50" s="1" t="s">
        <v>2659</v>
      </c>
      <c r="B50" s="3" t="s">
        <v>2660</v>
      </c>
      <c r="C50" s="3" t="s">
        <v>2661</v>
      </c>
      <c r="D50" s="3" t="s">
        <v>2662</v>
      </c>
      <c r="E50" s="3" t="s">
        <v>2663</v>
      </c>
      <c r="F50" s="26">
        <v>46021</v>
      </c>
      <c r="G50" s="1">
        <v>2025</v>
      </c>
      <c r="H50" s="1" t="s">
        <v>61</v>
      </c>
      <c r="I50" s="3" t="s">
        <v>123</v>
      </c>
      <c r="J50" s="1" t="s">
        <v>2515</v>
      </c>
      <c r="K50" s="1" t="s">
        <v>2664</v>
      </c>
      <c r="L50" s="1" t="b">
        <v>0</v>
      </c>
    </row>
    <row r="51" spans="1:12" ht="28.7" x14ac:dyDescent="0.5">
      <c r="A51" s="1" t="s">
        <v>2665</v>
      </c>
      <c r="B51" s="3" t="s">
        <v>2666</v>
      </c>
      <c r="C51" s="3" t="s">
        <v>123</v>
      </c>
      <c r="D51" s="3" t="s">
        <v>123</v>
      </c>
      <c r="E51" s="3" t="s">
        <v>2535</v>
      </c>
      <c r="F51" s="26" t="s">
        <v>123</v>
      </c>
      <c r="G51" s="1" t="s">
        <v>123</v>
      </c>
      <c r="H51" s="1" t="s">
        <v>2520</v>
      </c>
      <c r="I51" s="3" t="s">
        <v>123</v>
      </c>
      <c r="J51" s="1" t="s">
        <v>642</v>
      </c>
      <c r="K51" s="1" t="s">
        <v>123</v>
      </c>
      <c r="L51" s="1" t="b">
        <v>1</v>
      </c>
    </row>
    <row r="52" spans="1:12" ht="28.7" x14ac:dyDescent="0.5">
      <c r="A52" s="1" t="s">
        <v>2667</v>
      </c>
      <c r="B52" s="3" t="s">
        <v>2668</v>
      </c>
      <c r="C52" s="3" t="s">
        <v>123</v>
      </c>
      <c r="D52" s="3" t="s">
        <v>123</v>
      </c>
      <c r="E52" s="3" t="s">
        <v>2519</v>
      </c>
      <c r="F52" s="26" t="s">
        <v>123</v>
      </c>
      <c r="G52" s="1" t="s">
        <v>123</v>
      </c>
      <c r="H52" s="1" t="s">
        <v>2520</v>
      </c>
      <c r="I52" s="3" t="s">
        <v>123</v>
      </c>
      <c r="J52" s="1" t="s">
        <v>642</v>
      </c>
      <c r="K52" s="1" t="s">
        <v>123</v>
      </c>
      <c r="L52" s="1" t="b">
        <v>1</v>
      </c>
    </row>
    <row r="53" spans="1:12" ht="315.35000000000002" x14ac:dyDescent="0.5">
      <c r="A53" s="1" t="s">
        <v>2669</v>
      </c>
      <c r="B53" s="3" t="s">
        <v>235</v>
      </c>
      <c r="C53" s="3" t="s">
        <v>653</v>
      </c>
      <c r="D53" s="3" t="s">
        <v>154</v>
      </c>
      <c r="E53" s="3" t="s">
        <v>91</v>
      </c>
      <c r="F53" s="26">
        <v>44593</v>
      </c>
      <c r="G53" s="1">
        <v>2022</v>
      </c>
      <c r="H53" s="1" t="s">
        <v>61</v>
      </c>
      <c r="I53" s="3" t="s">
        <v>2670</v>
      </c>
      <c r="J53" s="1" t="s">
        <v>642</v>
      </c>
      <c r="K53" s="1" t="s">
        <v>236</v>
      </c>
      <c r="L53" s="1" t="b">
        <v>1</v>
      </c>
    </row>
    <row r="54" spans="1:12" ht="387" x14ac:dyDescent="0.5">
      <c r="A54" s="1" t="s">
        <v>2671</v>
      </c>
      <c r="B54" s="3" t="s">
        <v>2672</v>
      </c>
      <c r="C54" s="3" t="s">
        <v>2673</v>
      </c>
      <c r="D54" s="3" t="s">
        <v>2674</v>
      </c>
      <c r="E54" s="3" t="s">
        <v>123</v>
      </c>
      <c r="F54" s="26">
        <v>42795</v>
      </c>
      <c r="G54" s="1">
        <v>2017</v>
      </c>
      <c r="H54" s="1" t="s">
        <v>61</v>
      </c>
      <c r="I54" s="3" t="s">
        <v>2675</v>
      </c>
      <c r="J54" s="1" t="s">
        <v>2515</v>
      </c>
      <c r="K54" s="1" t="s">
        <v>2676</v>
      </c>
      <c r="L54" s="1" t="b">
        <v>0</v>
      </c>
    </row>
    <row r="55" spans="1:12" ht="57.35" x14ac:dyDescent="0.5">
      <c r="A55" s="1" t="s">
        <v>2677</v>
      </c>
      <c r="B55" s="3" t="s">
        <v>683</v>
      </c>
      <c r="C55" s="3" t="s">
        <v>682</v>
      </c>
      <c r="D55" s="3" t="s">
        <v>686</v>
      </c>
      <c r="E55" s="3" t="s">
        <v>684</v>
      </c>
      <c r="F55" s="26">
        <v>45268</v>
      </c>
      <c r="G55" s="1">
        <v>2023</v>
      </c>
      <c r="H55" s="1" t="s">
        <v>61</v>
      </c>
      <c r="I55" s="3" t="s">
        <v>123</v>
      </c>
      <c r="J55" s="1" t="s">
        <v>2515</v>
      </c>
      <c r="K55" s="1" t="s">
        <v>685</v>
      </c>
      <c r="L55" s="1" t="b">
        <v>1</v>
      </c>
    </row>
    <row r="56" spans="1:12" ht="200.7" x14ac:dyDescent="0.5">
      <c r="A56" s="1" t="s">
        <v>2678</v>
      </c>
      <c r="B56" s="3" t="s">
        <v>2679</v>
      </c>
      <c r="C56" s="3" t="s">
        <v>2680</v>
      </c>
      <c r="D56" s="3" t="s">
        <v>2681</v>
      </c>
      <c r="E56" s="3" t="s">
        <v>2682</v>
      </c>
      <c r="F56" s="26">
        <v>45494</v>
      </c>
      <c r="G56" s="1">
        <v>2024</v>
      </c>
      <c r="H56" s="1" t="s">
        <v>62</v>
      </c>
      <c r="I56" s="3" t="s">
        <v>123</v>
      </c>
      <c r="J56" s="1" t="s">
        <v>2515</v>
      </c>
      <c r="K56" s="1" t="s">
        <v>123</v>
      </c>
      <c r="L56" s="1" t="b">
        <v>0</v>
      </c>
    </row>
    <row r="57" spans="1:12" ht="28.7" x14ac:dyDescent="0.5">
      <c r="A57" s="1" t="s">
        <v>2683</v>
      </c>
      <c r="B57" s="3" t="s">
        <v>2684</v>
      </c>
      <c r="C57" s="3" t="s">
        <v>123</v>
      </c>
      <c r="D57" s="3" t="s">
        <v>123</v>
      </c>
      <c r="E57" s="3" t="s">
        <v>2535</v>
      </c>
      <c r="F57" s="26" t="s">
        <v>123</v>
      </c>
      <c r="G57" s="1" t="s">
        <v>123</v>
      </c>
      <c r="H57" s="1" t="s">
        <v>2520</v>
      </c>
      <c r="I57" s="3" t="s">
        <v>123</v>
      </c>
      <c r="J57" s="1" t="s">
        <v>642</v>
      </c>
      <c r="K57" s="1" t="s">
        <v>123</v>
      </c>
      <c r="L57" s="1" t="b">
        <v>1</v>
      </c>
    </row>
    <row r="58" spans="1:12" ht="28.7" x14ac:dyDescent="0.5">
      <c r="A58" s="1" t="s">
        <v>2685</v>
      </c>
      <c r="B58" s="3" t="s">
        <v>2686</v>
      </c>
      <c r="C58" s="3" t="s">
        <v>123</v>
      </c>
      <c r="D58" s="3" t="s">
        <v>123</v>
      </c>
      <c r="E58" s="3" t="s">
        <v>2535</v>
      </c>
      <c r="F58" s="26" t="s">
        <v>123</v>
      </c>
      <c r="G58" s="1" t="s">
        <v>123</v>
      </c>
      <c r="H58" s="1" t="s">
        <v>2520</v>
      </c>
      <c r="I58" s="3" t="s">
        <v>123</v>
      </c>
      <c r="J58" s="1" t="s">
        <v>642</v>
      </c>
      <c r="K58" s="1" t="s">
        <v>123</v>
      </c>
      <c r="L58" s="1" t="b">
        <v>1</v>
      </c>
    </row>
    <row r="59" spans="1:12" ht="28.7" x14ac:dyDescent="0.5">
      <c r="A59" s="1" t="s">
        <v>2687</v>
      </c>
      <c r="B59" s="3" t="s">
        <v>2688</v>
      </c>
      <c r="C59" s="3" t="s">
        <v>123</v>
      </c>
      <c r="D59" s="3" t="s">
        <v>123</v>
      </c>
      <c r="E59" s="3" t="s">
        <v>2535</v>
      </c>
      <c r="F59" s="26" t="s">
        <v>123</v>
      </c>
      <c r="G59" s="1" t="s">
        <v>123</v>
      </c>
      <c r="H59" s="1" t="s">
        <v>2520</v>
      </c>
      <c r="I59" s="3" t="s">
        <v>123</v>
      </c>
      <c r="J59" s="1" t="s">
        <v>642</v>
      </c>
      <c r="K59" s="1" t="s">
        <v>123</v>
      </c>
      <c r="L59" s="1" t="b">
        <v>1</v>
      </c>
    </row>
    <row r="60" spans="1:12" ht="315.35000000000002" x14ac:dyDescent="0.5">
      <c r="A60" s="1" t="s">
        <v>2689</v>
      </c>
      <c r="B60" s="3" t="s">
        <v>193</v>
      </c>
      <c r="C60" s="3" t="s">
        <v>649</v>
      </c>
      <c r="D60" s="3" t="s">
        <v>250</v>
      </c>
      <c r="E60" s="3" t="s">
        <v>194</v>
      </c>
      <c r="F60" s="26">
        <v>44652</v>
      </c>
      <c r="G60" s="1">
        <v>2022</v>
      </c>
      <c r="H60" s="1" t="s">
        <v>61</v>
      </c>
      <c r="I60" s="3" t="s">
        <v>2690</v>
      </c>
      <c r="J60" s="1" t="s">
        <v>642</v>
      </c>
      <c r="K60" s="1" t="s">
        <v>195</v>
      </c>
      <c r="L60" s="1" t="b">
        <v>1</v>
      </c>
    </row>
    <row r="61" spans="1:12" ht="28.7" x14ac:dyDescent="0.5">
      <c r="A61" s="1" t="s">
        <v>2691</v>
      </c>
      <c r="B61" s="3" t="s">
        <v>2692</v>
      </c>
      <c r="C61" s="3" t="s">
        <v>123</v>
      </c>
      <c r="D61" s="3" t="s">
        <v>123</v>
      </c>
      <c r="E61" s="3" t="s">
        <v>2519</v>
      </c>
      <c r="F61" s="26" t="s">
        <v>123</v>
      </c>
      <c r="G61" s="1" t="s">
        <v>123</v>
      </c>
      <c r="H61" s="1" t="s">
        <v>2520</v>
      </c>
      <c r="I61" s="3" t="s">
        <v>123</v>
      </c>
      <c r="J61" s="1" t="s">
        <v>642</v>
      </c>
      <c r="K61" s="1" t="s">
        <v>123</v>
      </c>
      <c r="L61" s="1" t="b">
        <v>1</v>
      </c>
    </row>
    <row r="62" spans="1:12" ht="28.7" x14ac:dyDescent="0.5">
      <c r="A62" s="1" t="s">
        <v>2693</v>
      </c>
      <c r="B62" s="3" t="s">
        <v>2694</v>
      </c>
      <c r="C62" s="3" t="s">
        <v>123</v>
      </c>
      <c r="D62" s="3" t="s">
        <v>123</v>
      </c>
      <c r="E62" s="3" t="s">
        <v>2535</v>
      </c>
      <c r="F62" s="26" t="s">
        <v>123</v>
      </c>
      <c r="G62" s="1" t="s">
        <v>123</v>
      </c>
      <c r="H62" s="1" t="s">
        <v>2520</v>
      </c>
      <c r="I62" s="3" t="s">
        <v>123</v>
      </c>
      <c r="J62" s="1" t="s">
        <v>642</v>
      </c>
      <c r="K62" s="1" t="s">
        <v>123</v>
      </c>
      <c r="L62" s="1" t="b">
        <v>1</v>
      </c>
    </row>
    <row r="63" spans="1:12" ht="28.7" x14ac:dyDescent="0.5">
      <c r="A63" s="1" t="s">
        <v>2695</v>
      </c>
      <c r="B63" s="3" t="s">
        <v>2696</v>
      </c>
      <c r="C63" s="3" t="s">
        <v>123</v>
      </c>
      <c r="D63" s="3" t="s">
        <v>123</v>
      </c>
      <c r="E63" s="3" t="s">
        <v>2535</v>
      </c>
      <c r="F63" s="26" t="s">
        <v>123</v>
      </c>
      <c r="G63" s="1" t="s">
        <v>123</v>
      </c>
      <c r="H63" s="1" t="s">
        <v>2520</v>
      </c>
      <c r="I63" s="3" t="s">
        <v>123</v>
      </c>
      <c r="J63" s="1" t="s">
        <v>642</v>
      </c>
      <c r="K63" s="1" t="s">
        <v>123</v>
      </c>
      <c r="L63" s="1" t="b">
        <v>1</v>
      </c>
    </row>
    <row r="64" spans="1:12" ht="229.35" x14ac:dyDescent="0.5">
      <c r="A64" s="1" t="s">
        <v>2697</v>
      </c>
      <c r="B64" s="3" t="s">
        <v>2698</v>
      </c>
      <c r="C64" s="3" t="s">
        <v>2699</v>
      </c>
      <c r="D64" s="3" t="s">
        <v>2700</v>
      </c>
      <c r="E64" s="3" t="s">
        <v>2701</v>
      </c>
      <c r="F64" s="26">
        <v>45108</v>
      </c>
      <c r="G64" s="1">
        <v>2023</v>
      </c>
      <c r="H64" s="1" t="s">
        <v>61</v>
      </c>
      <c r="I64" s="3" t="s">
        <v>123</v>
      </c>
      <c r="J64" s="1" t="s">
        <v>2515</v>
      </c>
      <c r="K64" s="1" t="s">
        <v>2702</v>
      </c>
      <c r="L64" s="1" t="b">
        <v>0</v>
      </c>
    </row>
    <row r="65" spans="1:12" ht="43" x14ac:dyDescent="0.5">
      <c r="A65" s="1" t="s">
        <v>2703</v>
      </c>
      <c r="B65" s="3" t="s">
        <v>2704</v>
      </c>
      <c r="C65" s="3" t="s">
        <v>123</v>
      </c>
      <c r="D65" s="3" t="s">
        <v>123</v>
      </c>
      <c r="E65" s="3" t="s">
        <v>2535</v>
      </c>
      <c r="F65" s="26" t="s">
        <v>123</v>
      </c>
      <c r="G65" s="1" t="s">
        <v>123</v>
      </c>
      <c r="H65" s="1" t="s">
        <v>2520</v>
      </c>
      <c r="I65" s="3" t="s">
        <v>123</v>
      </c>
      <c r="J65" s="1" t="s">
        <v>642</v>
      </c>
      <c r="K65" s="1" t="s">
        <v>123</v>
      </c>
      <c r="L65" s="1" t="b">
        <v>1</v>
      </c>
    </row>
    <row r="66" spans="1:12" ht="409.6" x14ac:dyDescent="0.5">
      <c r="A66" s="1" t="s">
        <v>2705</v>
      </c>
      <c r="B66" s="3" t="s">
        <v>2706</v>
      </c>
      <c r="C66" s="3" t="s">
        <v>2707</v>
      </c>
      <c r="D66" s="3" t="s">
        <v>2708</v>
      </c>
      <c r="E66" s="3" t="s">
        <v>2709</v>
      </c>
      <c r="F66" s="26">
        <v>45302</v>
      </c>
      <c r="G66" s="1">
        <v>2024</v>
      </c>
      <c r="H66" s="1" t="s">
        <v>61</v>
      </c>
      <c r="I66" s="3" t="s">
        <v>2710</v>
      </c>
      <c r="J66" s="1" t="s">
        <v>2515</v>
      </c>
      <c r="K66" s="1" t="s">
        <v>2711</v>
      </c>
      <c r="L66" s="1" t="b">
        <v>0</v>
      </c>
    </row>
    <row r="67" spans="1:12" ht="28.7" x14ac:dyDescent="0.5">
      <c r="A67" s="1" t="s">
        <v>2712</v>
      </c>
      <c r="B67" s="3" t="s">
        <v>2713</v>
      </c>
      <c r="C67" s="3" t="s">
        <v>123</v>
      </c>
      <c r="D67" s="3" t="s">
        <v>123</v>
      </c>
      <c r="E67" s="3" t="s">
        <v>2535</v>
      </c>
      <c r="F67" s="26" t="s">
        <v>123</v>
      </c>
      <c r="G67" s="1" t="s">
        <v>123</v>
      </c>
      <c r="H67" s="1" t="s">
        <v>2520</v>
      </c>
      <c r="I67" s="3" t="s">
        <v>123</v>
      </c>
      <c r="J67" s="1" t="s">
        <v>642</v>
      </c>
      <c r="K67" s="1" t="s">
        <v>123</v>
      </c>
      <c r="L67" s="1" t="b">
        <v>1</v>
      </c>
    </row>
    <row r="68" spans="1:12" ht="28.7" x14ac:dyDescent="0.5">
      <c r="A68" s="1" t="s">
        <v>2714</v>
      </c>
      <c r="B68" s="3" t="s">
        <v>2715</v>
      </c>
      <c r="C68" s="3" t="s">
        <v>123</v>
      </c>
      <c r="D68" s="3" t="s">
        <v>123</v>
      </c>
      <c r="E68" s="3" t="s">
        <v>2535</v>
      </c>
      <c r="F68" s="26" t="s">
        <v>123</v>
      </c>
      <c r="G68" s="1" t="s">
        <v>123</v>
      </c>
      <c r="H68" s="1" t="s">
        <v>2520</v>
      </c>
      <c r="I68" s="3" t="s">
        <v>123</v>
      </c>
      <c r="J68" s="1" t="s">
        <v>642</v>
      </c>
      <c r="K68" s="1" t="s">
        <v>123</v>
      </c>
      <c r="L68" s="1" t="b">
        <v>1</v>
      </c>
    </row>
    <row r="69" spans="1:12" x14ac:dyDescent="0.5">
      <c r="A69" s="1" t="s">
        <v>2716</v>
      </c>
      <c r="B69" s="3" t="s">
        <v>2717</v>
      </c>
      <c r="C69" s="3" t="s">
        <v>123</v>
      </c>
      <c r="D69" s="3" t="s">
        <v>123</v>
      </c>
      <c r="E69" s="3" t="s">
        <v>2519</v>
      </c>
      <c r="F69" s="26" t="s">
        <v>123</v>
      </c>
      <c r="G69" s="1" t="s">
        <v>123</v>
      </c>
      <c r="H69" s="1" t="s">
        <v>2520</v>
      </c>
      <c r="I69" s="3" t="s">
        <v>123</v>
      </c>
      <c r="J69" s="1" t="s">
        <v>642</v>
      </c>
      <c r="K69" s="1" t="s">
        <v>123</v>
      </c>
      <c r="L69" s="1" t="b">
        <v>1</v>
      </c>
    </row>
    <row r="70" spans="1:12" ht="43" x14ac:dyDescent="0.5">
      <c r="A70" s="1" t="s">
        <v>2718</v>
      </c>
      <c r="B70" s="3" t="s">
        <v>2719</v>
      </c>
      <c r="C70" s="3" t="s">
        <v>123</v>
      </c>
      <c r="D70" s="3" t="s">
        <v>123</v>
      </c>
      <c r="E70" s="3" t="s">
        <v>2535</v>
      </c>
      <c r="F70" s="26" t="s">
        <v>123</v>
      </c>
      <c r="G70" s="1" t="s">
        <v>123</v>
      </c>
      <c r="H70" s="1" t="s">
        <v>2520</v>
      </c>
      <c r="I70" s="3" t="s">
        <v>123</v>
      </c>
      <c r="J70" s="1" t="s">
        <v>642</v>
      </c>
      <c r="K70" s="1" t="s">
        <v>123</v>
      </c>
      <c r="L70" s="1" t="b">
        <v>1</v>
      </c>
    </row>
    <row r="71" spans="1:12" ht="200.7" x14ac:dyDescent="0.5">
      <c r="A71" s="1" t="s">
        <v>2720</v>
      </c>
      <c r="B71" s="3" t="s">
        <v>87</v>
      </c>
      <c r="C71" s="3" t="s">
        <v>326</v>
      </c>
      <c r="D71" s="3" t="s">
        <v>88</v>
      </c>
      <c r="E71" s="3" t="s">
        <v>89</v>
      </c>
      <c r="F71" s="26">
        <v>40575</v>
      </c>
      <c r="G71" s="1">
        <v>2011</v>
      </c>
      <c r="H71" s="1" t="s">
        <v>61</v>
      </c>
      <c r="I71" s="3" t="s">
        <v>2721</v>
      </c>
      <c r="J71" s="1" t="s">
        <v>2515</v>
      </c>
      <c r="K71" s="1" t="s">
        <v>376</v>
      </c>
      <c r="L71" s="1" t="b">
        <v>0</v>
      </c>
    </row>
    <row r="72" spans="1:12" ht="409.6" x14ac:dyDescent="0.5">
      <c r="A72" s="1" t="s">
        <v>2722</v>
      </c>
      <c r="B72" s="3" t="s">
        <v>2723</v>
      </c>
      <c r="C72" s="3" t="s">
        <v>2724</v>
      </c>
      <c r="D72" s="3" t="s">
        <v>2725</v>
      </c>
      <c r="E72" s="3" t="s">
        <v>123</v>
      </c>
      <c r="F72" s="26">
        <v>40909</v>
      </c>
      <c r="G72" s="1">
        <v>2012</v>
      </c>
      <c r="H72" s="1" t="s">
        <v>63</v>
      </c>
      <c r="I72" s="3" t="s">
        <v>123</v>
      </c>
      <c r="J72" s="1" t="s">
        <v>2515</v>
      </c>
      <c r="K72" s="1" t="s">
        <v>123</v>
      </c>
      <c r="L72" s="1" t="b">
        <v>0</v>
      </c>
    </row>
    <row r="73" spans="1:12" ht="409.6" x14ac:dyDescent="0.5">
      <c r="A73" s="1" t="s">
        <v>2726</v>
      </c>
      <c r="B73" s="3" t="s">
        <v>203</v>
      </c>
      <c r="C73" s="3" t="s">
        <v>2727</v>
      </c>
      <c r="D73" s="3" t="s">
        <v>299</v>
      </c>
      <c r="E73" s="3" t="s">
        <v>204</v>
      </c>
      <c r="F73" s="26">
        <v>42979</v>
      </c>
      <c r="G73" s="1">
        <v>2017</v>
      </c>
      <c r="H73" s="1" t="s">
        <v>61</v>
      </c>
      <c r="I73" s="3" t="s">
        <v>2728</v>
      </c>
      <c r="J73" s="1" t="s">
        <v>642</v>
      </c>
      <c r="K73" s="1" t="s">
        <v>205</v>
      </c>
      <c r="L73" s="1" t="b">
        <v>1</v>
      </c>
    </row>
    <row r="74" spans="1:12" ht="200.7" x14ac:dyDescent="0.5">
      <c r="A74" s="1" t="s">
        <v>2729</v>
      </c>
      <c r="B74" s="3" t="s">
        <v>2730</v>
      </c>
      <c r="C74" s="3" t="s">
        <v>2731</v>
      </c>
      <c r="D74" s="3" t="s">
        <v>2732</v>
      </c>
      <c r="E74" s="3" t="s">
        <v>2733</v>
      </c>
      <c r="F74" s="26">
        <v>45391</v>
      </c>
      <c r="G74" s="1">
        <v>2024</v>
      </c>
      <c r="H74" s="1" t="s">
        <v>61</v>
      </c>
      <c r="I74" s="3" t="s">
        <v>123</v>
      </c>
      <c r="J74" s="1" t="s">
        <v>2515</v>
      </c>
      <c r="K74" s="1" t="s">
        <v>2734</v>
      </c>
      <c r="L74" s="1" t="b">
        <v>1</v>
      </c>
    </row>
    <row r="75" spans="1:12" ht="28.7" x14ac:dyDescent="0.5">
      <c r="A75" s="1" t="s">
        <v>2735</v>
      </c>
      <c r="B75" s="3" t="s">
        <v>2736</v>
      </c>
      <c r="C75" s="3" t="s">
        <v>123</v>
      </c>
      <c r="D75" s="3" t="s">
        <v>123</v>
      </c>
      <c r="E75" s="3" t="s">
        <v>2519</v>
      </c>
      <c r="F75" s="26" t="s">
        <v>123</v>
      </c>
      <c r="G75" s="1" t="s">
        <v>123</v>
      </c>
      <c r="H75" s="1" t="s">
        <v>2520</v>
      </c>
      <c r="I75" s="3" t="s">
        <v>123</v>
      </c>
      <c r="J75" s="1" t="s">
        <v>642</v>
      </c>
      <c r="K75" s="1" t="s">
        <v>123</v>
      </c>
      <c r="L75" s="1" t="b">
        <v>1</v>
      </c>
    </row>
    <row r="76" spans="1:12" ht="28.7" x14ac:dyDescent="0.5">
      <c r="A76" s="1" t="s">
        <v>2737</v>
      </c>
      <c r="B76" s="3" t="s">
        <v>2738</v>
      </c>
      <c r="C76" s="3" t="s">
        <v>123</v>
      </c>
      <c r="D76" s="3" t="s">
        <v>123</v>
      </c>
      <c r="E76" s="3" t="s">
        <v>2535</v>
      </c>
      <c r="F76" s="26" t="s">
        <v>123</v>
      </c>
      <c r="G76" s="1" t="s">
        <v>123</v>
      </c>
      <c r="H76" s="1" t="s">
        <v>2520</v>
      </c>
      <c r="I76" s="3" t="s">
        <v>123</v>
      </c>
      <c r="J76" s="1" t="s">
        <v>642</v>
      </c>
      <c r="K76" s="1" t="s">
        <v>123</v>
      </c>
      <c r="L76" s="1" t="b">
        <v>1</v>
      </c>
    </row>
    <row r="77" spans="1:12" ht="243.7" x14ac:dyDescent="0.5">
      <c r="A77" s="1" t="s">
        <v>2739</v>
      </c>
      <c r="B77" s="3" t="s">
        <v>2740</v>
      </c>
      <c r="C77" s="3" t="s">
        <v>449</v>
      </c>
      <c r="D77" s="3" t="s">
        <v>460</v>
      </c>
      <c r="E77" s="3" t="s">
        <v>2741</v>
      </c>
      <c r="F77" s="26">
        <v>43587</v>
      </c>
      <c r="G77" s="1">
        <v>2019</v>
      </c>
      <c r="H77" s="1" t="s">
        <v>62</v>
      </c>
      <c r="I77" s="3" t="s">
        <v>123</v>
      </c>
      <c r="J77" s="1" t="s">
        <v>2515</v>
      </c>
      <c r="K77" s="1" t="s">
        <v>443</v>
      </c>
      <c r="L77" s="1" t="b">
        <v>1</v>
      </c>
    </row>
    <row r="78" spans="1:12" ht="28.7" x14ac:dyDescent="0.5">
      <c r="A78" s="1" t="s">
        <v>2742</v>
      </c>
      <c r="B78" s="3" t="s">
        <v>2743</v>
      </c>
      <c r="C78" s="3" t="s">
        <v>123</v>
      </c>
      <c r="D78" s="3" t="s">
        <v>123</v>
      </c>
      <c r="E78" s="3" t="s">
        <v>2535</v>
      </c>
      <c r="F78" s="26" t="s">
        <v>123</v>
      </c>
      <c r="G78" s="1" t="s">
        <v>123</v>
      </c>
      <c r="H78" s="1" t="s">
        <v>2520</v>
      </c>
      <c r="I78" s="3" t="s">
        <v>123</v>
      </c>
      <c r="J78" s="1" t="s">
        <v>642</v>
      </c>
      <c r="K78" s="1" t="s">
        <v>123</v>
      </c>
      <c r="L78" s="1" t="b">
        <v>1</v>
      </c>
    </row>
    <row r="79" spans="1:12" ht="229.35" x14ac:dyDescent="0.5">
      <c r="A79" s="1" t="s">
        <v>2744</v>
      </c>
      <c r="B79" s="3" t="s">
        <v>2745</v>
      </c>
      <c r="C79" s="3" t="s">
        <v>2746</v>
      </c>
      <c r="D79" s="3" t="s">
        <v>2747</v>
      </c>
      <c r="E79" s="3" t="s">
        <v>2748</v>
      </c>
      <c r="F79" s="26">
        <v>41244</v>
      </c>
      <c r="G79" s="1">
        <v>2012</v>
      </c>
      <c r="H79" s="1" t="s">
        <v>61</v>
      </c>
      <c r="I79" s="3" t="s">
        <v>123</v>
      </c>
      <c r="J79" s="1" t="s">
        <v>2515</v>
      </c>
      <c r="K79" s="1" t="s">
        <v>2749</v>
      </c>
      <c r="L79" s="1" t="b">
        <v>0</v>
      </c>
    </row>
    <row r="80" spans="1:12" ht="28.7" x14ac:dyDescent="0.5">
      <c r="A80" s="1" t="s">
        <v>2750</v>
      </c>
      <c r="B80" s="3" t="s">
        <v>2751</v>
      </c>
      <c r="C80" s="3" t="s">
        <v>123</v>
      </c>
      <c r="D80" s="3" t="s">
        <v>123</v>
      </c>
      <c r="E80" s="3" t="s">
        <v>2535</v>
      </c>
      <c r="F80" s="26" t="s">
        <v>123</v>
      </c>
      <c r="G80" s="1" t="s">
        <v>123</v>
      </c>
      <c r="H80" s="1" t="s">
        <v>2520</v>
      </c>
      <c r="I80" s="3" t="s">
        <v>123</v>
      </c>
      <c r="J80" s="1" t="s">
        <v>642</v>
      </c>
      <c r="K80" s="1" t="s">
        <v>123</v>
      </c>
      <c r="L80" s="1" t="b">
        <v>1</v>
      </c>
    </row>
    <row r="81" spans="1:12" ht="28.7" x14ac:dyDescent="0.5">
      <c r="A81" s="1" t="s">
        <v>2752</v>
      </c>
      <c r="B81" s="3" t="s">
        <v>2753</v>
      </c>
      <c r="C81" s="3" t="s">
        <v>123</v>
      </c>
      <c r="D81" s="3" t="s">
        <v>123</v>
      </c>
      <c r="E81" s="3" t="s">
        <v>2535</v>
      </c>
      <c r="F81" s="26" t="s">
        <v>123</v>
      </c>
      <c r="G81" s="1" t="s">
        <v>123</v>
      </c>
      <c r="H81" s="1" t="s">
        <v>2520</v>
      </c>
      <c r="I81" s="3" t="s">
        <v>123</v>
      </c>
      <c r="J81" s="1" t="s">
        <v>642</v>
      </c>
      <c r="K81" s="1" t="s">
        <v>123</v>
      </c>
      <c r="L81" s="1" t="b">
        <v>1</v>
      </c>
    </row>
    <row r="82" spans="1:12" ht="186.35" x14ac:dyDescent="0.5">
      <c r="A82" s="1" t="s">
        <v>2754</v>
      </c>
      <c r="B82" s="3" t="s">
        <v>2755</v>
      </c>
      <c r="C82" s="3" t="s">
        <v>2756</v>
      </c>
      <c r="D82" s="3" t="s">
        <v>2757</v>
      </c>
      <c r="E82" s="3" t="s">
        <v>2758</v>
      </c>
      <c r="F82" s="26">
        <v>45030</v>
      </c>
      <c r="G82" s="1">
        <v>2023</v>
      </c>
      <c r="H82" s="1" t="s">
        <v>62</v>
      </c>
      <c r="I82" s="3" t="s">
        <v>123</v>
      </c>
      <c r="J82" s="1" t="s">
        <v>2515</v>
      </c>
      <c r="K82" s="1" t="s">
        <v>2759</v>
      </c>
      <c r="L82" s="1" t="b">
        <v>1</v>
      </c>
    </row>
    <row r="83" spans="1:12" ht="372.7" x14ac:dyDescent="0.5">
      <c r="A83" s="1" t="s">
        <v>2760</v>
      </c>
      <c r="B83" s="3" t="s">
        <v>306</v>
      </c>
      <c r="C83" s="3" t="s">
        <v>330</v>
      </c>
      <c r="D83" s="3" t="s">
        <v>356</v>
      </c>
      <c r="E83" s="3" t="s">
        <v>2761</v>
      </c>
      <c r="F83" s="26">
        <v>44713</v>
      </c>
      <c r="G83" s="1">
        <v>2022</v>
      </c>
      <c r="H83" s="1" t="s">
        <v>61</v>
      </c>
      <c r="I83" s="3" t="s">
        <v>2762</v>
      </c>
      <c r="J83" s="1" t="s">
        <v>2515</v>
      </c>
      <c r="K83" s="1" t="s">
        <v>381</v>
      </c>
      <c r="L83" s="1" t="b">
        <v>1</v>
      </c>
    </row>
    <row r="84" spans="1:12" ht="28.7" x14ac:dyDescent="0.5">
      <c r="A84" s="1" t="s">
        <v>2763</v>
      </c>
      <c r="B84" s="3" t="s">
        <v>2764</v>
      </c>
      <c r="C84" s="3" t="s">
        <v>123</v>
      </c>
      <c r="D84" s="3" t="s">
        <v>123</v>
      </c>
      <c r="E84" s="3" t="s">
        <v>2535</v>
      </c>
      <c r="F84" s="26" t="s">
        <v>123</v>
      </c>
      <c r="G84" s="1" t="s">
        <v>123</v>
      </c>
      <c r="H84" s="1" t="s">
        <v>2520</v>
      </c>
      <c r="I84" s="3" t="s">
        <v>123</v>
      </c>
      <c r="J84" s="1" t="s">
        <v>642</v>
      </c>
      <c r="K84" s="1" t="s">
        <v>123</v>
      </c>
      <c r="L84" s="1" t="b">
        <v>1</v>
      </c>
    </row>
    <row r="85" spans="1:12" ht="286.7" x14ac:dyDescent="0.5">
      <c r="A85" s="1" t="s">
        <v>2765</v>
      </c>
      <c r="B85" s="3" t="s">
        <v>231</v>
      </c>
      <c r="C85" s="3" t="s">
        <v>652</v>
      </c>
      <c r="D85" s="3" t="s">
        <v>243</v>
      </c>
      <c r="E85" s="3" t="s">
        <v>233</v>
      </c>
      <c r="F85" s="26">
        <v>43435</v>
      </c>
      <c r="G85" s="1">
        <v>2018</v>
      </c>
      <c r="H85" s="1" t="s">
        <v>61</v>
      </c>
      <c r="I85" s="3" t="s">
        <v>2766</v>
      </c>
      <c r="J85" s="1" t="s">
        <v>642</v>
      </c>
      <c r="K85" s="1" t="s">
        <v>234</v>
      </c>
      <c r="L85" s="1" t="b">
        <v>1</v>
      </c>
    </row>
    <row r="86" spans="1:12" ht="229.35" x14ac:dyDescent="0.5">
      <c r="A86" s="1" t="s">
        <v>2767</v>
      </c>
      <c r="B86" s="3" t="s">
        <v>2768</v>
      </c>
      <c r="C86" s="3" t="s">
        <v>2724</v>
      </c>
      <c r="D86" s="3" t="s">
        <v>2769</v>
      </c>
      <c r="E86" s="3" t="s">
        <v>123</v>
      </c>
      <c r="F86" s="26">
        <v>41275</v>
      </c>
      <c r="G86" s="1">
        <v>2013</v>
      </c>
      <c r="H86" s="1" t="s">
        <v>63</v>
      </c>
      <c r="I86" s="3" t="s">
        <v>123</v>
      </c>
      <c r="J86" s="1" t="s">
        <v>2515</v>
      </c>
      <c r="K86" s="1" t="s">
        <v>123</v>
      </c>
      <c r="L86" s="1" t="b">
        <v>0</v>
      </c>
    </row>
    <row r="87" spans="1:12" ht="409.6" x14ac:dyDescent="0.5">
      <c r="A87" s="1" t="s">
        <v>2770</v>
      </c>
      <c r="B87" s="3" t="s">
        <v>2771</v>
      </c>
      <c r="C87" s="3" t="s">
        <v>2772</v>
      </c>
      <c r="D87" s="3" t="s">
        <v>2773</v>
      </c>
      <c r="E87" s="3" t="s">
        <v>2774</v>
      </c>
      <c r="F87" s="26">
        <v>44958</v>
      </c>
      <c r="G87" s="1">
        <v>2023</v>
      </c>
      <c r="H87" s="1" t="s">
        <v>61</v>
      </c>
      <c r="I87" s="3" t="s">
        <v>2775</v>
      </c>
      <c r="J87" s="1" t="s">
        <v>2515</v>
      </c>
      <c r="K87" s="1" t="s">
        <v>2776</v>
      </c>
      <c r="L87" s="1" t="b">
        <v>0</v>
      </c>
    </row>
    <row r="88" spans="1:12" ht="28.7" x14ac:dyDescent="0.5">
      <c r="A88" s="1" t="s">
        <v>2777</v>
      </c>
      <c r="B88" s="3" t="s">
        <v>2778</v>
      </c>
      <c r="C88" s="3" t="s">
        <v>123</v>
      </c>
      <c r="D88" s="3" t="s">
        <v>123</v>
      </c>
      <c r="E88" s="3" t="s">
        <v>2535</v>
      </c>
      <c r="F88" s="26" t="s">
        <v>123</v>
      </c>
      <c r="G88" s="1" t="s">
        <v>123</v>
      </c>
      <c r="H88" s="1" t="s">
        <v>2520</v>
      </c>
      <c r="I88" s="3" t="s">
        <v>123</v>
      </c>
      <c r="J88" s="1" t="s">
        <v>642</v>
      </c>
      <c r="K88" s="1" t="s">
        <v>123</v>
      </c>
      <c r="L88" s="1" t="b">
        <v>1</v>
      </c>
    </row>
    <row r="89" spans="1:12" ht="229.35" x14ac:dyDescent="0.5">
      <c r="A89" s="1" t="s">
        <v>2779</v>
      </c>
      <c r="B89" s="3" t="s">
        <v>323</v>
      </c>
      <c r="C89" s="3" t="s">
        <v>349</v>
      </c>
      <c r="D89" s="3" t="s">
        <v>373</v>
      </c>
      <c r="E89" s="3" t="s">
        <v>2780</v>
      </c>
      <c r="F89" s="26">
        <v>44835</v>
      </c>
      <c r="G89" s="1">
        <v>2022</v>
      </c>
      <c r="H89" s="1" t="s">
        <v>61</v>
      </c>
      <c r="I89" s="3" t="s">
        <v>2781</v>
      </c>
      <c r="J89" s="1" t="s">
        <v>2515</v>
      </c>
      <c r="K89" s="1" t="s">
        <v>398</v>
      </c>
      <c r="L89" s="1" t="b">
        <v>0</v>
      </c>
    </row>
    <row r="90" spans="1:12" ht="409.6" x14ac:dyDescent="0.5">
      <c r="A90" s="1" t="s">
        <v>2782</v>
      </c>
      <c r="B90" s="3" t="s">
        <v>165</v>
      </c>
      <c r="C90" s="3" t="s">
        <v>670</v>
      </c>
      <c r="D90" s="3" t="s">
        <v>672</v>
      </c>
      <c r="E90" s="3" t="s">
        <v>671</v>
      </c>
      <c r="F90" s="26">
        <v>43586</v>
      </c>
      <c r="G90" s="1">
        <v>2019</v>
      </c>
      <c r="H90" s="1" t="s">
        <v>61</v>
      </c>
      <c r="I90" s="3" t="s">
        <v>123</v>
      </c>
      <c r="J90" s="1" t="s">
        <v>2515</v>
      </c>
      <c r="K90" s="1" t="s">
        <v>166</v>
      </c>
      <c r="L90" s="1" t="b">
        <v>0</v>
      </c>
    </row>
    <row r="91" spans="1:12" ht="286.7" x14ac:dyDescent="0.5">
      <c r="A91" s="1" t="s">
        <v>2783</v>
      </c>
      <c r="B91" s="3" t="s">
        <v>2784</v>
      </c>
      <c r="C91" s="3" t="s">
        <v>2785</v>
      </c>
      <c r="D91" s="3" t="s">
        <v>2786</v>
      </c>
      <c r="E91" s="3" t="s">
        <v>2787</v>
      </c>
      <c r="F91" s="26">
        <v>44562</v>
      </c>
      <c r="G91" s="1">
        <v>2022</v>
      </c>
      <c r="H91" s="1" t="s">
        <v>61</v>
      </c>
      <c r="I91" s="3" t="s">
        <v>123</v>
      </c>
      <c r="J91" s="1" t="s">
        <v>2515</v>
      </c>
      <c r="K91" s="1" t="s">
        <v>2788</v>
      </c>
      <c r="L91" s="1" t="b">
        <v>1</v>
      </c>
    </row>
    <row r="92" spans="1:12" ht="344" x14ac:dyDescent="0.5">
      <c r="A92" s="1" t="s">
        <v>2789</v>
      </c>
      <c r="B92" s="3" t="s">
        <v>200</v>
      </c>
      <c r="C92" s="3" t="s">
        <v>667</v>
      </c>
      <c r="D92" s="3" t="s">
        <v>669</v>
      </c>
      <c r="E92" s="3" t="s">
        <v>668</v>
      </c>
      <c r="F92" s="26">
        <v>43009</v>
      </c>
      <c r="G92" s="1">
        <v>2017</v>
      </c>
      <c r="H92" s="1" t="s">
        <v>61</v>
      </c>
      <c r="I92" s="3" t="s">
        <v>123</v>
      </c>
      <c r="J92" s="1" t="s">
        <v>2515</v>
      </c>
      <c r="K92" s="1" t="s">
        <v>202</v>
      </c>
      <c r="L92" s="1" t="b">
        <v>0</v>
      </c>
    </row>
    <row r="93" spans="1:12" ht="28.7" x14ac:dyDescent="0.5">
      <c r="A93" s="1" t="s">
        <v>2790</v>
      </c>
      <c r="B93" s="3" t="s">
        <v>2791</v>
      </c>
      <c r="C93" s="3" t="s">
        <v>123</v>
      </c>
      <c r="D93" s="3" t="s">
        <v>123</v>
      </c>
      <c r="E93" s="3" t="s">
        <v>2535</v>
      </c>
      <c r="F93" s="26" t="s">
        <v>123</v>
      </c>
      <c r="G93" s="1" t="s">
        <v>123</v>
      </c>
      <c r="H93" s="1" t="s">
        <v>2520</v>
      </c>
      <c r="I93" s="3" t="s">
        <v>123</v>
      </c>
      <c r="J93" s="1" t="s">
        <v>642</v>
      </c>
      <c r="K93" s="1" t="s">
        <v>123</v>
      </c>
      <c r="L93" s="1" t="b">
        <v>1</v>
      </c>
    </row>
    <row r="94" spans="1:12" ht="28.7" x14ac:dyDescent="0.5">
      <c r="A94" s="1" t="s">
        <v>2792</v>
      </c>
      <c r="B94" s="3" t="s">
        <v>2793</v>
      </c>
      <c r="C94" s="3" t="s">
        <v>123</v>
      </c>
      <c r="D94" s="3" t="s">
        <v>123</v>
      </c>
      <c r="E94" s="3" t="s">
        <v>2535</v>
      </c>
      <c r="F94" s="26" t="s">
        <v>123</v>
      </c>
      <c r="G94" s="1" t="s">
        <v>123</v>
      </c>
      <c r="H94" s="1" t="s">
        <v>2520</v>
      </c>
      <c r="I94" s="3" t="s">
        <v>123</v>
      </c>
      <c r="J94" s="1" t="s">
        <v>642</v>
      </c>
      <c r="K94" s="1" t="s">
        <v>123</v>
      </c>
      <c r="L94" s="1" t="b">
        <v>1</v>
      </c>
    </row>
    <row r="95" spans="1:12" ht="28.7" x14ac:dyDescent="0.5">
      <c r="A95" s="1" t="s">
        <v>2794</v>
      </c>
      <c r="B95" s="3" t="s">
        <v>2795</v>
      </c>
      <c r="C95" s="3" t="s">
        <v>123</v>
      </c>
      <c r="D95" s="3" t="s">
        <v>123</v>
      </c>
      <c r="E95" s="3" t="s">
        <v>2519</v>
      </c>
      <c r="F95" s="26" t="s">
        <v>123</v>
      </c>
      <c r="G95" s="1" t="s">
        <v>123</v>
      </c>
      <c r="H95" s="1" t="s">
        <v>2520</v>
      </c>
      <c r="I95" s="3" t="s">
        <v>123</v>
      </c>
      <c r="J95" s="1" t="s">
        <v>642</v>
      </c>
      <c r="K95" s="1" t="s">
        <v>123</v>
      </c>
      <c r="L95" s="1" t="b">
        <v>1</v>
      </c>
    </row>
    <row r="96" spans="1:12" x14ac:dyDescent="0.5">
      <c r="A96" s="1" t="s">
        <v>2796</v>
      </c>
      <c r="B96" s="3" t="s">
        <v>2797</v>
      </c>
      <c r="C96" s="3" t="s">
        <v>123</v>
      </c>
      <c r="D96" s="3" t="s">
        <v>123</v>
      </c>
      <c r="E96" s="3" t="s">
        <v>2535</v>
      </c>
      <c r="F96" s="26" t="s">
        <v>123</v>
      </c>
      <c r="G96" s="1" t="s">
        <v>123</v>
      </c>
      <c r="H96" s="1" t="s">
        <v>2520</v>
      </c>
      <c r="I96" s="3" t="s">
        <v>123</v>
      </c>
      <c r="J96" s="1" t="s">
        <v>642</v>
      </c>
      <c r="K96" s="1" t="s">
        <v>123</v>
      </c>
      <c r="L96" s="1" t="b">
        <v>1</v>
      </c>
    </row>
    <row r="97" spans="1:12" ht="286.7" x14ac:dyDescent="0.5">
      <c r="A97" s="1" t="s">
        <v>2798</v>
      </c>
      <c r="B97" s="3" t="s">
        <v>2799</v>
      </c>
      <c r="C97" s="3" t="s">
        <v>2800</v>
      </c>
      <c r="D97" s="3" t="s">
        <v>2801</v>
      </c>
      <c r="E97" s="3" t="s">
        <v>123</v>
      </c>
      <c r="F97" s="26">
        <v>40544</v>
      </c>
      <c r="G97" s="1">
        <v>2011</v>
      </c>
      <c r="H97" s="1" t="s">
        <v>61</v>
      </c>
      <c r="I97" s="3" t="s">
        <v>2802</v>
      </c>
      <c r="J97" s="1" t="s">
        <v>2515</v>
      </c>
      <c r="K97" s="1" t="s">
        <v>2803</v>
      </c>
      <c r="L97" s="1" t="b">
        <v>0</v>
      </c>
    </row>
    <row r="98" spans="1:12" ht="229.35" x14ac:dyDescent="0.5">
      <c r="A98" s="1" t="s">
        <v>2804</v>
      </c>
      <c r="B98" s="3" t="s">
        <v>2805</v>
      </c>
      <c r="C98" s="3" t="s">
        <v>2806</v>
      </c>
      <c r="D98" s="3" t="s">
        <v>2807</v>
      </c>
      <c r="E98" s="3" t="s">
        <v>2808</v>
      </c>
      <c r="F98" s="26">
        <v>45442</v>
      </c>
      <c r="G98" s="1">
        <v>2024</v>
      </c>
      <c r="H98" s="1" t="s">
        <v>62</v>
      </c>
      <c r="I98" s="3" t="s">
        <v>123</v>
      </c>
      <c r="J98" s="1" t="s">
        <v>2515</v>
      </c>
      <c r="K98" s="1" t="s">
        <v>2809</v>
      </c>
      <c r="L98" s="1" t="b">
        <v>1</v>
      </c>
    </row>
    <row r="99" spans="1:12" ht="28.7" x14ac:dyDescent="0.5">
      <c r="A99" s="1" t="s">
        <v>2810</v>
      </c>
      <c r="B99" s="3" t="s">
        <v>2811</v>
      </c>
      <c r="C99" s="3" t="s">
        <v>123</v>
      </c>
      <c r="D99" s="3" t="s">
        <v>123</v>
      </c>
      <c r="E99" s="3" t="s">
        <v>2535</v>
      </c>
      <c r="F99" s="26" t="s">
        <v>123</v>
      </c>
      <c r="G99" s="1" t="s">
        <v>123</v>
      </c>
      <c r="H99" s="1" t="s">
        <v>2520</v>
      </c>
      <c r="I99" s="3" t="s">
        <v>123</v>
      </c>
      <c r="J99" s="1" t="s">
        <v>642</v>
      </c>
      <c r="K99" s="1" t="s">
        <v>123</v>
      </c>
      <c r="L99" s="1" t="b">
        <v>1</v>
      </c>
    </row>
    <row r="100" spans="1:12" ht="186.35" x14ac:dyDescent="0.5">
      <c r="A100" s="1" t="s">
        <v>2812</v>
      </c>
      <c r="B100" s="3" t="s">
        <v>453</v>
      </c>
      <c r="C100" s="3" t="s">
        <v>447</v>
      </c>
      <c r="D100" s="3" t="s">
        <v>458</v>
      </c>
      <c r="E100" s="3" t="s">
        <v>464</v>
      </c>
      <c r="F100" s="26">
        <v>42005</v>
      </c>
      <c r="G100" s="1">
        <v>2015</v>
      </c>
      <c r="H100" s="1" t="s">
        <v>62</v>
      </c>
      <c r="I100" s="3" t="s">
        <v>2813</v>
      </c>
      <c r="J100" s="1" t="s">
        <v>2515</v>
      </c>
      <c r="K100" s="1" t="s">
        <v>441</v>
      </c>
      <c r="L100" s="1" t="b">
        <v>1</v>
      </c>
    </row>
    <row r="101" spans="1:12" ht="28.7" x14ac:dyDescent="0.5">
      <c r="A101" s="1" t="s">
        <v>2814</v>
      </c>
      <c r="B101" s="3" t="s">
        <v>2815</v>
      </c>
      <c r="C101" s="3" t="s">
        <v>123</v>
      </c>
      <c r="D101" s="3" t="s">
        <v>123</v>
      </c>
      <c r="E101" s="3" t="s">
        <v>2519</v>
      </c>
      <c r="F101" s="26" t="s">
        <v>123</v>
      </c>
      <c r="G101" s="1" t="s">
        <v>123</v>
      </c>
      <c r="H101" s="1" t="s">
        <v>2520</v>
      </c>
      <c r="I101" s="3" t="s">
        <v>123</v>
      </c>
      <c r="J101" s="1" t="s">
        <v>642</v>
      </c>
      <c r="K101" s="1" t="s">
        <v>123</v>
      </c>
      <c r="L101" s="1" t="b">
        <v>1</v>
      </c>
    </row>
    <row r="102" spans="1:12" ht="409.6" x14ac:dyDescent="0.5">
      <c r="A102" s="1" t="s">
        <v>2816</v>
      </c>
      <c r="B102" s="3" t="s">
        <v>316</v>
      </c>
      <c r="C102" s="3" t="s">
        <v>341</v>
      </c>
      <c r="D102" s="3" t="s">
        <v>366</v>
      </c>
      <c r="E102" s="3" t="s">
        <v>2817</v>
      </c>
      <c r="F102" s="26">
        <v>40513</v>
      </c>
      <c r="G102" s="1">
        <v>2010</v>
      </c>
      <c r="H102" s="1" t="s">
        <v>61</v>
      </c>
      <c r="I102" s="3" t="s">
        <v>2818</v>
      </c>
      <c r="J102" s="1" t="s">
        <v>2515</v>
      </c>
      <c r="K102" s="1" t="s">
        <v>391</v>
      </c>
      <c r="L102" s="1" t="b">
        <v>1</v>
      </c>
    </row>
    <row r="103" spans="1:12" ht="200.7" x14ac:dyDescent="0.5">
      <c r="A103" s="1" t="s">
        <v>2819</v>
      </c>
      <c r="B103" s="3" t="s">
        <v>319</v>
      </c>
      <c r="C103" s="3" t="s">
        <v>344</v>
      </c>
      <c r="D103" s="3" t="s">
        <v>369</v>
      </c>
      <c r="E103" s="3" t="s">
        <v>924</v>
      </c>
      <c r="F103" s="26">
        <v>42125</v>
      </c>
      <c r="G103" s="1">
        <v>2015</v>
      </c>
      <c r="H103" s="1" t="s">
        <v>61</v>
      </c>
      <c r="I103" s="3" t="s">
        <v>2820</v>
      </c>
      <c r="J103" s="1" t="s">
        <v>2515</v>
      </c>
      <c r="K103" s="1" t="s">
        <v>394</v>
      </c>
      <c r="L103" s="1" t="b">
        <v>0</v>
      </c>
    </row>
    <row r="104" spans="1:12" ht="272.35000000000002" x14ac:dyDescent="0.5">
      <c r="A104" s="1" t="s">
        <v>2821</v>
      </c>
      <c r="B104" s="3" t="s">
        <v>457</v>
      </c>
      <c r="C104" s="3" t="s">
        <v>452</v>
      </c>
      <c r="D104" s="3" t="s">
        <v>463</v>
      </c>
      <c r="E104" s="3" t="s">
        <v>2822</v>
      </c>
      <c r="F104" s="26">
        <v>42740</v>
      </c>
      <c r="G104" s="1">
        <v>2017</v>
      </c>
      <c r="H104" s="1" t="s">
        <v>62</v>
      </c>
      <c r="I104" s="3" t="s">
        <v>123</v>
      </c>
      <c r="J104" s="1" t="s">
        <v>2515</v>
      </c>
      <c r="K104" s="1" t="s">
        <v>446</v>
      </c>
      <c r="L104" s="1" t="b">
        <v>1</v>
      </c>
    </row>
    <row r="105" spans="1:12" ht="28.7" x14ac:dyDescent="0.5">
      <c r="A105" s="1" t="s">
        <v>2823</v>
      </c>
      <c r="B105" s="3" t="s">
        <v>2758</v>
      </c>
      <c r="C105" s="3" t="s">
        <v>123</v>
      </c>
      <c r="D105" s="3" t="s">
        <v>123</v>
      </c>
      <c r="E105" s="3" t="s">
        <v>2535</v>
      </c>
      <c r="F105" s="26" t="s">
        <v>123</v>
      </c>
      <c r="G105" s="1" t="s">
        <v>123</v>
      </c>
      <c r="H105" s="1" t="s">
        <v>2520</v>
      </c>
      <c r="I105" s="3" t="s">
        <v>123</v>
      </c>
      <c r="J105" s="1" t="s">
        <v>642</v>
      </c>
      <c r="K105" s="1" t="s">
        <v>123</v>
      </c>
      <c r="L105" s="1" t="b">
        <v>1</v>
      </c>
    </row>
    <row r="106" spans="1:12" ht="286.7" x14ac:dyDescent="0.5">
      <c r="A106" s="1" t="s">
        <v>2824</v>
      </c>
      <c r="B106" s="3" t="s">
        <v>2825</v>
      </c>
      <c r="C106" s="3" t="s">
        <v>2826</v>
      </c>
      <c r="D106" s="3" t="s">
        <v>2827</v>
      </c>
      <c r="E106" s="3" t="s">
        <v>2828</v>
      </c>
      <c r="F106" s="26">
        <v>44562</v>
      </c>
      <c r="G106" s="1">
        <v>2022</v>
      </c>
      <c r="H106" s="1" t="s">
        <v>62</v>
      </c>
      <c r="I106" s="3" t="s">
        <v>123</v>
      </c>
      <c r="J106" s="1" t="s">
        <v>2515</v>
      </c>
      <c r="K106" s="1" t="s">
        <v>2829</v>
      </c>
      <c r="L106" s="1" t="b">
        <v>0</v>
      </c>
    </row>
    <row r="107" spans="1:12" ht="215" x14ac:dyDescent="0.5">
      <c r="A107" s="1" t="s">
        <v>2830</v>
      </c>
      <c r="B107" s="3" t="s">
        <v>2831</v>
      </c>
      <c r="C107" s="3" t="s">
        <v>2832</v>
      </c>
      <c r="D107" s="3" t="s">
        <v>2833</v>
      </c>
      <c r="E107" s="3" t="s">
        <v>2834</v>
      </c>
      <c r="F107" s="26">
        <v>45122</v>
      </c>
      <c r="G107" s="1">
        <v>2023</v>
      </c>
      <c r="H107" s="1" t="s">
        <v>61</v>
      </c>
      <c r="I107" s="3" t="s">
        <v>123</v>
      </c>
      <c r="J107" s="1" t="s">
        <v>2515</v>
      </c>
      <c r="K107" s="1" t="s">
        <v>2835</v>
      </c>
      <c r="L107" s="1" t="b">
        <v>0</v>
      </c>
    </row>
    <row r="108" spans="1:12" ht="28.7" x14ac:dyDescent="0.5">
      <c r="A108" s="1" t="s">
        <v>2836</v>
      </c>
      <c r="B108" s="3" t="s">
        <v>2837</v>
      </c>
      <c r="C108" s="3" t="s">
        <v>123</v>
      </c>
      <c r="D108" s="3" t="s">
        <v>123</v>
      </c>
      <c r="E108" s="3" t="s">
        <v>2535</v>
      </c>
      <c r="F108" s="26" t="s">
        <v>123</v>
      </c>
      <c r="G108" s="1" t="s">
        <v>123</v>
      </c>
      <c r="H108" s="1" t="s">
        <v>2520</v>
      </c>
      <c r="I108" s="3" t="s">
        <v>123</v>
      </c>
      <c r="J108" s="1" t="s">
        <v>642</v>
      </c>
      <c r="K108" s="1" t="s">
        <v>123</v>
      </c>
      <c r="L108" s="1" t="b">
        <v>1</v>
      </c>
    </row>
    <row r="109" spans="1:12" ht="329.7" x14ac:dyDescent="0.5">
      <c r="A109" s="1" t="s">
        <v>2838</v>
      </c>
      <c r="B109" s="3" t="s">
        <v>2839</v>
      </c>
      <c r="C109" s="3" t="s">
        <v>2840</v>
      </c>
      <c r="D109" s="3" t="s">
        <v>2841</v>
      </c>
      <c r="E109" s="3" t="s">
        <v>2842</v>
      </c>
      <c r="F109" s="26">
        <v>44958</v>
      </c>
      <c r="G109" s="1">
        <v>2023</v>
      </c>
      <c r="H109" s="1" t="s">
        <v>61</v>
      </c>
      <c r="I109" s="3" t="s">
        <v>2843</v>
      </c>
      <c r="J109" s="1" t="s">
        <v>2515</v>
      </c>
      <c r="K109" s="1" t="s">
        <v>2844</v>
      </c>
      <c r="L109" s="1" t="b">
        <v>0</v>
      </c>
    </row>
    <row r="110" spans="1:12" ht="28.7" x14ac:dyDescent="0.5">
      <c r="A110" s="1" t="s">
        <v>2845</v>
      </c>
      <c r="B110" s="3" t="s">
        <v>2808</v>
      </c>
      <c r="C110" s="3" t="s">
        <v>123</v>
      </c>
      <c r="D110" s="3" t="s">
        <v>123</v>
      </c>
      <c r="E110" s="3" t="s">
        <v>2535</v>
      </c>
      <c r="F110" s="26" t="s">
        <v>123</v>
      </c>
      <c r="G110" s="1" t="s">
        <v>123</v>
      </c>
      <c r="H110" s="1" t="s">
        <v>2520</v>
      </c>
      <c r="I110" s="3" t="s">
        <v>123</v>
      </c>
      <c r="J110" s="1" t="s">
        <v>642</v>
      </c>
      <c r="K110" s="1" t="s">
        <v>123</v>
      </c>
      <c r="L110" s="1" t="b">
        <v>1</v>
      </c>
    </row>
    <row r="111" spans="1:12" ht="329.7" x14ac:dyDescent="0.5">
      <c r="A111" s="1" t="s">
        <v>2846</v>
      </c>
      <c r="B111" s="3" t="s">
        <v>2847</v>
      </c>
      <c r="C111" s="3" t="s">
        <v>2848</v>
      </c>
      <c r="D111" s="3" t="s">
        <v>2849</v>
      </c>
      <c r="E111" s="3" t="s">
        <v>2551</v>
      </c>
      <c r="F111" s="26">
        <v>45457</v>
      </c>
      <c r="G111" s="1">
        <v>2024</v>
      </c>
      <c r="H111" s="1" t="s">
        <v>62</v>
      </c>
      <c r="I111" s="3" t="s">
        <v>123</v>
      </c>
      <c r="J111" s="1" t="s">
        <v>2515</v>
      </c>
      <c r="K111" s="1" t="s">
        <v>2850</v>
      </c>
      <c r="L111" s="1" t="b">
        <v>1</v>
      </c>
    </row>
    <row r="112" spans="1:12" ht="243.7" x14ac:dyDescent="0.5">
      <c r="A112" s="1" t="s">
        <v>2851</v>
      </c>
      <c r="B112" s="3" t="s">
        <v>2852</v>
      </c>
      <c r="C112" s="3" t="s">
        <v>2853</v>
      </c>
      <c r="D112" s="3" t="s">
        <v>2854</v>
      </c>
      <c r="E112" s="3" t="s">
        <v>2855</v>
      </c>
      <c r="F112" s="26">
        <v>44562</v>
      </c>
      <c r="G112" s="1">
        <v>2022</v>
      </c>
      <c r="H112" s="1" t="s">
        <v>61</v>
      </c>
      <c r="I112" s="3" t="s">
        <v>123</v>
      </c>
      <c r="J112" s="1" t="s">
        <v>2515</v>
      </c>
      <c r="K112" s="1" t="s">
        <v>2856</v>
      </c>
      <c r="L112" s="1" t="b">
        <v>1</v>
      </c>
    </row>
    <row r="113" spans="1:12" ht="43" x14ac:dyDescent="0.5">
      <c r="A113" s="1" t="s">
        <v>2857</v>
      </c>
      <c r="B113" s="3" t="s">
        <v>2858</v>
      </c>
      <c r="C113" s="3" t="s">
        <v>2859</v>
      </c>
      <c r="D113" s="3" t="s">
        <v>123</v>
      </c>
      <c r="E113" s="3" t="s">
        <v>2860</v>
      </c>
      <c r="F113" s="26">
        <v>45413</v>
      </c>
      <c r="G113" s="1">
        <v>2024</v>
      </c>
      <c r="H113" s="1" t="s">
        <v>61</v>
      </c>
      <c r="I113" s="3" t="s">
        <v>2861</v>
      </c>
      <c r="J113" s="1" t="s">
        <v>2515</v>
      </c>
      <c r="K113" s="1" t="s">
        <v>2862</v>
      </c>
      <c r="L113" s="1" t="b">
        <v>0</v>
      </c>
    </row>
    <row r="114" spans="1:12" ht="143.35" x14ac:dyDescent="0.5">
      <c r="A114" s="1" t="s">
        <v>2863</v>
      </c>
      <c r="B114" s="3" t="s">
        <v>2864</v>
      </c>
      <c r="C114" s="3" t="s">
        <v>2865</v>
      </c>
      <c r="D114" s="3" t="s">
        <v>2866</v>
      </c>
      <c r="E114" s="3" t="s">
        <v>2867</v>
      </c>
      <c r="F114" s="26">
        <v>41030</v>
      </c>
      <c r="G114" s="1">
        <v>2012</v>
      </c>
      <c r="H114" s="1" t="s">
        <v>61</v>
      </c>
      <c r="I114" s="3" t="s">
        <v>2868</v>
      </c>
      <c r="J114" s="1" t="s">
        <v>2515</v>
      </c>
      <c r="K114" s="1" t="s">
        <v>2869</v>
      </c>
      <c r="L114" s="1" t="b">
        <v>0</v>
      </c>
    </row>
    <row r="115" spans="1:12" ht="372.7" x14ac:dyDescent="0.5">
      <c r="A115" s="1" t="s">
        <v>2870</v>
      </c>
      <c r="B115" s="3" t="s">
        <v>2871</v>
      </c>
      <c r="C115" s="3" t="s">
        <v>2872</v>
      </c>
      <c r="D115" s="3" t="s">
        <v>2873</v>
      </c>
      <c r="E115" s="3" t="s">
        <v>2874</v>
      </c>
      <c r="F115" s="26">
        <v>42491</v>
      </c>
      <c r="G115" s="1">
        <v>2016</v>
      </c>
      <c r="H115" s="1" t="s">
        <v>61</v>
      </c>
      <c r="I115" s="3" t="s">
        <v>123</v>
      </c>
      <c r="J115" s="1" t="s">
        <v>2515</v>
      </c>
      <c r="K115" s="1" t="s">
        <v>2875</v>
      </c>
      <c r="L115" s="1" t="b">
        <v>0</v>
      </c>
    </row>
    <row r="116" spans="1:12" ht="229.35" x14ac:dyDescent="0.5">
      <c r="A116" s="1" t="s">
        <v>2876</v>
      </c>
      <c r="B116" s="3" t="s">
        <v>676</v>
      </c>
      <c r="C116" s="3" t="s">
        <v>675</v>
      </c>
      <c r="D116" s="3" t="s">
        <v>679</v>
      </c>
      <c r="E116" s="3" t="s">
        <v>677</v>
      </c>
      <c r="F116" s="26">
        <v>45113</v>
      </c>
      <c r="G116" s="1">
        <v>2023</v>
      </c>
      <c r="H116" s="1" t="s">
        <v>61</v>
      </c>
      <c r="I116" s="3" t="s">
        <v>123</v>
      </c>
      <c r="J116" s="1" t="s">
        <v>2515</v>
      </c>
      <c r="K116" s="1" t="s">
        <v>678</v>
      </c>
      <c r="L116" s="1" t="b">
        <v>1</v>
      </c>
    </row>
    <row r="117" spans="1:12" ht="43" x14ac:dyDescent="0.5">
      <c r="A117" s="1" t="s">
        <v>2877</v>
      </c>
      <c r="B117" s="3" t="s">
        <v>2878</v>
      </c>
      <c r="C117" s="3" t="s">
        <v>2879</v>
      </c>
      <c r="D117" s="3" t="s">
        <v>123</v>
      </c>
      <c r="E117" s="3" t="s">
        <v>2880</v>
      </c>
      <c r="F117" s="26">
        <v>45413</v>
      </c>
      <c r="G117" s="1">
        <v>2024</v>
      </c>
      <c r="H117" s="1" t="s">
        <v>61</v>
      </c>
      <c r="I117" s="3" t="s">
        <v>2881</v>
      </c>
      <c r="J117" s="1" t="s">
        <v>2515</v>
      </c>
      <c r="K117" s="1" t="s">
        <v>2882</v>
      </c>
      <c r="L117" s="1" t="b">
        <v>0</v>
      </c>
    </row>
    <row r="118" spans="1:12" ht="143.35" x14ac:dyDescent="0.5">
      <c r="A118" s="1" t="s">
        <v>2883</v>
      </c>
      <c r="B118" s="3" t="s">
        <v>2884</v>
      </c>
      <c r="C118" s="3" t="s">
        <v>2885</v>
      </c>
      <c r="D118" s="3" t="s">
        <v>2886</v>
      </c>
      <c r="E118" s="3" t="s">
        <v>2887</v>
      </c>
      <c r="F118" s="26">
        <v>43101</v>
      </c>
      <c r="G118" s="1">
        <v>2018</v>
      </c>
      <c r="H118" s="1" t="s">
        <v>62</v>
      </c>
      <c r="I118" s="3" t="s">
        <v>2888</v>
      </c>
      <c r="J118" s="1" t="s">
        <v>2515</v>
      </c>
      <c r="K118" s="1" t="s">
        <v>123</v>
      </c>
      <c r="L118" s="1" t="b">
        <v>1</v>
      </c>
    </row>
    <row r="119" spans="1:12" ht="409.6" x14ac:dyDescent="0.5">
      <c r="A119" s="1" t="s">
        <v>2889</v>
      </c>
      <c r="B119" s="3" t="s">
        <v>454</v>
      </c>
      <c r="C119" s="3" t="s">
        <v>448</v>
      </c>
      <c r="D119" s="3" t="s">
        <v>459</v>
      </c>
      <c r="E119" s="3" t="s">
        <v>2890</v>
      </c>
      <c r="F119" s="26">
        <v>40270</v>
      </c>
      <c r="G119" s="1">
        <v>2010</v>
      </c>
      <c r="H119" s="1" t="s">
        <v>62</v>
      </c>
      <c r="I119" s="3" t="s">
        <v>123</v>
      </c>
      <c r="J119" s="1" t="s">
        <v>2515</v>
      </c>
      <c r="K119" s="1" t="s">
        <v>442</v>
      </c>
      <c r="L119" s="1" t="b">
        <v>1</v>
      </c>
    </row>
    <row r="120" spans="1:12" ht="28.7" x14ac:dyDescent="0.5">
      <c r="A120" s="1" t="s">
        <v>2891</v>
      </c>
      <c r="B120" s="3" t="s">
        <v>2892</v>
      </c>
      <c r="C120" s="3" t="s">
        <v>123</v>
      </c>
      <c r="D120" s="3" t="s">
        <v>123</v>
      </c>
      <c r="E120" s="3" t="s">
        <v>2535</v>
      </c>
      <c r="F120" s="26" t="s">
        <v>123</v>
      </c>
      <c r="G120" s="1" t="s">
        <v>123</v>
      </c>
      <c r="H120" s="1" t="s">
        <v>2520</v>
      </c>
      <c r="I120" s="3" t="s">
        <v>123</v>
      </c>
      <c r="J120" s="1" t="s">
        <v>642</v>
      </c>
      <c r="K120" s="1" t="s">
        <v>123</v>
      </c>
      <c r="L120" s="1" t="b">
        <v>1</v>
      </c>
    </row>
    <row r="121" spans="1:12" ht="28.7" x14ac:dyDescent="0.5">
      <c r="A121" s="1" t="s">
        <v>2893</v>
      </c>
      <c r="B121" s="3" t="s">
        <v>2894</v>
      </c>
      <c r="C121" s="3" t="s">
        <v>123</v>
      </c>
      <c r="D121" s="3" t="s">
        <v>123</v>
      </c>
      <c r="E121" s="3" t="s">
        <v>2535</v>
      </c>
      <c r="F121" s="26" t="s">
        <v>123</v>
      </c>
      <c r="G121" s="1" t="s">
        <v>123</v>
      </c>
      <c r="H121" s="1" t="s">
        <v>2520</v>
      </c>
      <c r="I121" s="3" t="s">
        <v>123</v>
      </c>
      <c r="J121" s="1" t="s">
        <v>642</v>
      </c>
      <c r="K121" s="1" t="s">
        <v>123</v>
      </c>
      <c r="L121" s="1" t="b">
        <v>1</v>
      </c>
    </row>
    <row r="122" spans="1:12" ht="28.7" x14ac:dyDescent="0.5">
      <c r="A122" s="1" t="s">
        <v>2895</v>
      </c>
      <c r="B122" s="3" t="s">
        <v>2896</v>
      </c>
      <c r="C122" s="3" t="s">
        <v>123</v>
      </c>
      <c r="D122" s="3" t="s">
        <v>123</v>
      </c>
      <c r="E122" s="3" t="s">
        <v>2535</v>
      </c>
      <c r="F122" s="26" t="s">
        <v>123</v>
      </c>
      <c r="G122" s="1" t="s">
        <v>123</v>
      </c>
      <c r="H122" s="1" t="s">
        <v>2520</v>
      </c>
      <c r="I122" s="3" t="s">
        <v>123</v>
      </c>
      <c r="J122" s="1" t="s">
        <v>642</v>
      </c>
      <c r="K122" s="1" t="s">
        <v>123</v>
      </c>
      <c r="L122" s="1" t="b">
        <v>1</v>
      </c>
    </row>
    <row r="123" spans="1:12" ht="28.7" x14ac:dyDescent="0.5">
      <c r="A123" s="1" t="s">
        <v>2897</v>
      </c>
      <c r="B123" s="3" t="s">
        <v>2898</v>
      </c>
      <c r="C123" s="3" t="s">
        <v>2899</v>
      </c>
      <c r="D123" s="3" t="s">
        <v>123</v>
      </c>
      <c r="E123" s="3" t="s">
        <v>2544</v>
      </c>
      <c r="F123" s="26">
        <v>45323</v>
      </c>
      <c r="G123" s="1">
        <v>2024</v>
      </c>
      <c r="H123" s="1" t="s">
        <v>61</v>
      </c>
      <c r="I123" s="3" t="s">
        <v>2900</v>
      </c>
      <c r="J123" s="1" t="s">
        <v>2515</v>
      </c>
      <c r="K123" s="1" t="s">
        <v>2901</v>
      </c>
      <c r="L123" s="1" t="b">
        <v>0</v>
      </c>
    </row>
    <row r="124" spans="1:12" ht="329.7" x14ac:dyDescent="0.5">
      <c r="A124" s="1" t="s">
        <v>2902</v>
      </c>
      <c r="B124" s="3" t="s">
        <v>2903</v>
      </c>
      <c r="C124" s="3" t="s">
        <v>2904</v>
      </c>
      <c r="D124" s="3" t="s">
        <v>2905</v>
      </c>
      <c r="E124" s="3" t="s">
        <v>2906</v>
      </c>
      <c r="F124" s="26">
        <v>40909</v>
      </c>
      <c r="G124" s="1">
        <v>2012</v>
      </c>
      <c r="H124" s="1" t="s">
        <v>61</v>
      </c>
      <c r="I124" s="3" t="s">
        <v>2907</v>
      </c>
      <c r="J124" s="1" t="s">
        <v>2515</v>
      </c>
      <c r="K124" s="1" t="s">
        <v>2908</v>
      </c>
      <c r="L124" s="1" t="b">
        <v>1</v>
      </c>
    </row>
    <row r="125" spans="1:12" ht="28.7" x14ac:dyDescent="0.5">
      <c r="A125" s="1" t="s">
        <v>2909</v>
      </c>
      <c r="B125" s="3" t="s">
        <v>2910</v>
      </c>
      <c r="C125" s="3" t="s">
        <v>123</v>
      </c>
      <c r="D125" s="3" t="s">
        <v>123</v>
      </c>
      <c r="E125" s="3" t="s">
        <v>2535</v>
      </c>
      <c r="F125" s="26" t="s">
        <v>123</v>
      </c>
      <c r="G125" s="1" t="s">
        <v>123</v>
      </c>
      <c r="H125" s="1" t="s">
        <v>2520</v>
      </c>
      <c r="I125" s="3" t="s">
        <v>123</v>
      </c>
      <c r="J125" s="1" t="s">
        <v>642</v>
      </c>
      <c r="K125" s="1" t="s">
        <v>123</v>
      </c>
      <c r="L125" s="1" t="b">
        <v>1</v>
      </c>
    </row>
    <row r="126" spans="1:12" x14ac:dyDescent="0.5">
      <c r="A126" s="1" t="s">
        <v>2911</v>
      </c>
      <c r="B126" s="3" t="s">
        <v>2912</v>
      </c>
      <c r="C126" s="3" t="s">
        <v>123</v>
      </c>
      <c r="D126" s="3" t="s">
        <v>123</v>
      </c>
      <c r="E126" s="3" t="s">
        <v>2519</v>
      </c>
      <c r="F126" s="26" t="s">
        <v>123</v>
      </c>
      <c r="G126" s="1" t="s">
        <v>123</v>
      </c>
      <c r="H126" s="1" t="s">
        <v>2520</v>
      </c>
      <c r="I126" s="3" t="s">
        <v>123</v>
      </c>
      <c r="J126" s="1" t="s">
        <v>642</v>
      </c>
      <c r="K126" s="1" t="s">
        <v>123</v>
      </c>
      <c r="L126" s="1" t="b">
        <v>1</v>
      </c>
    </row>
    <row r="127" spans="1:12" ht="28.7" x14ac:dyDescent="0.5">
      <c r="A127" s="1" t="s">
        <v>2913</v>
      </c>
      <c r="B127" s="3" t="s">
        <v>2914</v>
      </c>
      <c r="C127" s="3" t="s">
        <v>123</v>
      </c>
      <c r="D127" s="3" t="s">
        <v>123</v>
      </c>
      <c r="E127" s="3" t="s">
        <v>2519</v>
      </c>
      <c r="F127" s="26" t="s">
        <v>123</v>
      </c>
      <c r="G127" s="1" t="s">
        <v>123</v>
      </c>
      <c r="H127" s="1" t="s">
        <v>2520</v>
      </c>
      <c r="I127" s="3" t="s">
        <v>123</v>
      </c>
      <c r="J127" s="1" t="s">
        <v>642</v>
      </c>
      <c r="K127" s="1" t="s">
        <v>123</v>
      </c>
      <c r="L127" s="1" t="b">
        <v>1</v>
      </c>
    </row>
    <row r="128" spans="1:12" ht="387" x14ac:dyDescent="0.5">
      <c r="A128" s="1" t="s">
        <v>2915</v>
      </c>
      <c r="B128" s="3" t="s">
        <v>324</v>
      </c>
      <c r="C128" s="3" t="s">
        <v>351</v>
      </c>
      <c r="D128" s="3" t="s">
        <v>374</v>
      </c>
      <c r="E128" s="3" t="s">
        <v>2916</v>
      </c>
      <c r="F128" s="26">
        <v>40269</v>
      </c>
      <c r="G128" s="1">
        <v>2010</v>
      </c>
      <c r="H128" s="1" t="s">
        <v>61</v>
      </c>
      <c r="I128" s="3" t="s">
        <v>2917</v>
      </c>
      <c r="J128" s="1" t="s">
        <v>2515</v>
      </c>
      <c r="K128" s="1" t="s">
        <v>399</v>
      </c>
      <c r="L128" s="1" t="b">
        <v>0</v>
      </c>
    </row>
    <row r="129" spans="1:12" x14ac:dyDescent="0.5">
      <c r="A129" s="1" t="s">
        <v>2918</v>
      </c>
      <c r="B129" s="3" t="s">
        <v>2919</v>
      </c>
      <c r="C129" s="3" t="s">
        <v>123</v>
      </c>
      <c r="D129" s="3" t="s">
        <v>123</v>
      </c>
      <c r="E129" s="3" t="s">
        <v>2519</v>
      </c>
      <c r="F129" s="26" t="s">
        <v>123</v>
      </c>
      <c r="G129" s="1" t="s">
        <v>123</v>
      </c>
      <c r="H129" s="1" t="s">
        <v>2520</v>
      </c>
      <c r="I129" s="3" t="s">
        <v>123</v>
      </c>
      <c r="J129" s="1" t="s">
        <v>642</v>
      </c>
      <c r="K129" s="1" t="s">
        <v>123</v>
      </c>
      <c r="L129" s="1" t="b">
        <v>1</v>
      </c>
    </row>
    <row r="130" spans="1:12" x14ac:dyDescent="0.5">
      <c r="A130" s="1" t="s">
        <v>2920</v>
      </c>
      <c r="B130" s="3" t="s">
        <v>2921</v>
      </c>
      <c r="C130" s="3" t="s">
        <v>123</v>
      </c>
      <c r="D130" s="3" t="s">
        <v>123</v>
      </c>
      <c r="E130" s="3" t="s">
        <v>2519</v>
      </c>
      <c r="F130" s="26" t="s">
        <v>123</v>
      </c>
      <c r="G130" s="1" t="s">
        <v>123</v>
      </c>
      <c r="H130" s="1" t="s">
        <v>2520</v>
      </c>
      <c r="I130" s="3" t="s">
        <v>123</v>
      </c>
      <c r="J130" s="1" t="s">
        <v>642</v>
      </c>
      <c r="K130" s="1" t="s">
        <v>123</v>
      </c>
      <c r="L130" s="1" t="b">
        <v>1</v>
      </c>
    </row>
    <row r="131" spans="1:12" ht="272.35000000000002" x14ac:dyDescent="0.5">
      <c r="A131" s="1" t="s">
        <v>2922</v>
      </c>
      <c r="B131" s="3" t="s">
        <v>51</v>
      </c>
      <c r="C131" s="3" t="s">
        <v>640</v>
      </c>
      <c r="D131" s="3" t="s">
        <v>52</v>
      </c>
      <c r="E131" s="3" t="s">
        <v>53</v>
      </c>
      <c r="F131" s="26">
        <v>41671</v>
      </c>
      <c r="G131" s="1">
        <v>2014</v>
      </c>
      <c r="H131" s="1" t="s">
        <v>61</v>
      </c>
      <c r="I131" s="3" t="s">
        <v>2923</v>
      </c>
      <c r="J131" s="1" t="s">
        <v>2515</v>
      </c>
      <c r="K131" s="1" t="s">
        <v>54</v>
      </c>
      <c r="L131" s="1" t="b">
        <v>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5002-E228-47B2-8D65-0D0B98B18AC5}">
  <sheetPr codeName="Sheet14"/>
  <dimension ref="A1:L40"/>
  <sheetViews>
    <sheetView zoomScaleNormal="100" workbookViewId="0">
      <selection activeCell="A2" sqref="A2"/>
    </sheetView>
  </sheetViews>
  <sheetFormatPr defaultRowHeight="14.35" x14ac:dyDescent="0.5"/>
  <cols>
    <col min="1" max="1" width="10.41015625" bestFit="1" customWidth="1"/>
    <col min="2" max="4" width="57" style="10" customWidth="1"/>
    <col min="5" max="5" width="30.41015625" style="10" customWidth="1"/>
    <col min="6" max="6" width="12.5859375" bestFit="1" customWidth="1"/>
    <col min="7" max="7" width="22" bestFit="1" customWidth="1"/>
    <col min="8" max="8" width="21.76171875" bestFit="1" customWidth="1"/>
    <col min="9" max="9" width="43.05859375" customWidth="1"/>
    <col min="10" max="10" width="16.64453125" bestFit="1" customWidth="1"/>
    <col min="11" max="11" width="16.52734375" customWidth="1"/>
    <col min="12" max="12" width="16.29296875" bestFit="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43.7" x14ac:dyDescent="0.5">
      <c r="A2" s="1" t="s">
        <v>2961</v>
      </c>
      <c r="B2" s="3" t="s">
        <v>531</v>
      </c>
      <c r="C2" s="3" t="s">
        <v>497</v>
      </c>
      <c r="D2" s="3" t="s">
        <v>608</v>
      </c>
      <c r="E2" s="3" t="s">
        <v>541</v>
      </c>
      <c r="F2" s="26">
        <v>43879</v>
      </c>
      <c r="G2" s="1">
        <v>2020</v>
      </c>
      <c r="H2" s="1" t="s">
        <v>61</v>
      </c>
      <c r="I2" s="3" t="s">
        <v>123</v>
      </c>
      <c r="J2" s="1" t="s">
        <v>2515</v>
      </c>
      <c r="K2" s="1" t="s">
        <v>577</v>
      </c>
      <c r="L2" s="1" t="b">
        <v>1</v>
      </c>
    </row>
    <row r="3" spans="1:12" ht="200.7" x14ac:dyDescent="0.5">
      <c r="A3" s="1" t="s">
        <v>2962</v>
      </c>
      <c r="B3" s="3" t="s">
        <v>526</v>
      </c>
      <c r="C3" s="3" t="s">
        <v>492</v>
      </c>
      <c r="D3" s="3" t="s">
        <v>603</v>
      </c>
      <c r="E3" s="3" t="s">
        <v>72</v>
      </c>
      <c r="F3" s="26">
        <v>44820</v>
      </c>
      <c r="G3" s="1">
        <v>2022</v>
      </c>
      <c r="H3" s="1" t="s">
        <v>61</v>
      </c>
      <c r="I3" s="3" t="s">
        <v>123</v>
      </c>
      <c r="J3" s="1" t="s">
        <v>2515</v>
      </c>
      <c r="K3" s="1" t="s">
        <v>572</v>
      </c>
      <c r="L3" s="1" t="b">
        <v>1</v>
      </c>
    </row>
    <row r="4" spans="1:12" ht="272.35000000000002" x14ac:dyDescent="0.5">
      <c r="A4" s="1" t="s">
        <v>2963</v>
      </c>
      <c r="B4" s="3" t="s">
        <v>836</v>
      </c>
      <c r="C4" s="3" t="s">
        <v>835</v>
      </c>
      <c r="D4" s="3" t="s">
        <v>838</v>
      </c>
      <c r="E4" s="3" t="s">
        <v>536</v>
      </c>
      <c r="F4" s="26">
        <v>45422</v>
      </c>
      <c r="G4" s="1">
        <v>2024</v>
      </c>
      <c r="H4" s="1" t="s">
        <v>61</v>
      </c>
      <c r="I4" s="3" t="s">
        <v>2964</v>
      </c>
      <c r="J4" s="1" t="s">
        <v>2515</v>
      </c>
      <c r="K4" s="1" t="s">
        <v>837</v>
      </c>
      <c r="L4" s="1" t="b">
        <v>1</v>
      </c>
    </row>
    <row r="5" spans="1:12" ht="329.7" x14ac:dyDescent="0.5">
      <c r="A5" s="1" t="s">
        <v>2965</v>
      </c>
      <c r="B5" s="3" t="s">
        <v>521</v>
      </c>
      <c r="C5" s="3" t="s">
        <v>487</v>
      </c>
      <c r="D5" s="3" t="s">
        <v>598</v>
      </c>
      <c r="E5" s="3" t="s">
        <v>70</v>
      </c>
      <c r="F5" s="26">
        <v>40444</v>
      </c>
      <c r="G5" s="1">
        <v>2010</v>
      </c>
      <c r="H5" s="1" t="s">
        <v>61</v>
      </c>
      <c r="I5" s="3" t="s">
        <v>123</v>
      </c>
      <c r="J5" s="1" t="s">
        <v>2515</v>
      </c>
      <c r="K5" s="1" t="s">
        <v>567</v>
      </c>
      <c r="L5" s="1" t="b">
        <v>1</v>
      </c>
    </row>
    <row r="6" spans="1:12" ht="28.7" x14ac:dyDescent="0.5">
      <c r="A6" s="1" t="s">
        <v>2966</v>
      </c>
      <c r="B6" s="3" t="s">
        <v>533</v>
      </c>
      <c r="C6" s="3" t="s">
        <v>499</v>
      </c>
      <c r="D6" s="3" t="s">
        <v>123</v>
      </c>
      <c r="E6" s="3" t="s">
        <v>71</v>
      </c>
      <c r="F6" s="26">
        <v>41877</v>
      </c>
      <c r="G6" s="1">
        <v>2014</v>
      </c>
      <c r="H6" s="1" t="s">
        <v>61</v>
      </c>
      <c r="I6" s="3" t="s">
        <v>123</v>
      </c>
      <c r="J6" s="1" t="s">
        <v>2515</v>
      </c>
      <c r="K6" s="1" t="s">
        <v>579</v>
      </c>
      <c r="L6" s="1" t="b">
        <v>1</v>
      </c>
    </row>
    <row r="7" spans="1:12" ht="286.7" x14ac:dyDescent="0.5">
      <c r="A7" s="1" t="s">
        <v>2967</v>
      </c>
      <c r="B7" s="3" t="s">
        <v>530</v>
      </c>
      <c r="C7" s="3" t="s">
        <v>496</v>
      </c>
      <c r="D7" s="3" t="s">
        <v>607</v>
      </c>
      <c r="E7" s="3" t="s">
        <v>538</v>
      </c>
      <c r="F7" s="26">
        <v>43249</v>
      </c>
      <c r="G7" s="1">
        <v>2018</v>
      </c>
      <c r="H7" s="1" t="s">
        <v>61</v>
      </c>
      <c r="I7" s="3" t="s">
        <v>123</v>
      </c>
      <c r="J7" s="1" t="s">
        <v>2515</v>
      </c>
      <c r="K7" s="1" t="s">
        <v>576</v>
      </c>
      <c r="L7" s="1" t="b">
        <v>1</v>
      </c>
    </row>
    <row r="8" spans="1:12" ht="28.7" x14ac:dyDescent="0.5">
      <c r="A8" s="1" t="s">
        <v>2968</v>
      </c>
      <c r="B8" s="3" t="s">
        <v>505</v>
      </c>
      <c r="C8" s="3" t="s">
        <v>471</v>
      </c>
      <c r="D8" s="3" t="s">
        <v>123</v>
      </c>
      <c r="E8" s="3" t="s">
        <v>69</v>
      </c>
      <c r="F8" s="26">
        <v>41284</v>
      </c>
      <c r="G8" s="1">
        <v>2013</v>
      </c>
      <c r="H8" s="1" t="s">
        <v>61</v>
      </c>
      <c r="I8" s="3" t="s">
        <v>123</v>
      </c>
      <c r="J8" s="1" t="s">
        <v>2515</v>
      </c>
      <c r="K8" s="1" t="s">
        <v>551</v>
      </c>
      <c r="L8" s="1" t="b">
        <v>1</v>
      </c>
    </row>
    <row r="9" spans="1:12" ht="301" x14ac:dyDescent="0.5">
      <c r="A9" s="1" t="s">
        <v>2969</v>
      </c>
      <c r="B9" s="3" t="s">
        <v>508</v>
      </c>
      <c r="C9" s="3" t="s">
        <v>474</v>
      </c>
      <c r="D9" s="3" t="s">
        <v>587</v>
      </c>
      <c r="E9" s="3" t="s">
        <v>537</v>
      </c>
      <c r="F9" s="26">
        <v>44354</v>
      </c>
      <c r="G9" s="1">
        <v>2021</v>
      </c>
      <c r="H9" s="1" t="s">
        <v>61</v>
      </c>
      <c r="I9" s="3" t="s">
        <v>123</v>
      </c>
      <c r="J9" s="1" t="s">
        <v>2515</v>
      </c>
      <c r="K9" s="1" t="s">
        <v>554</v>
      </c>
      <c r="L9" s="1" t="b">
        <v>1</v>
      </c>
    </row>
    <row r="10" spans="1:12" ht="229.35" x14ac:dyDescent="0.5">
      <c r="A10" s="1" t="s">
        <v>2970</v>
      </c>
      <c r="B10" s="3" t="s">
        <v>503</v>
      </c>
      <c r="C10" s="3" t="s">
        <v>469</v>
      </c>
      <c r="D10" s="3" t="s">
        <v>583</v>
      </c>
      <c r="E10" s="3" t="s">
        <v>71</v>
      </c>
      <c r="F10" s="26">
        <v>43950</v>
      </c>
      <c r="G10" s="1">
        <v>2020</v>
      </c>
      <c r="H10" s="1" t="s">
        <v>61</v>
      </c>
      <c r="I10" s="3" t="s">
        <v>123</v>
      </c>
      <c r="J10" s="1" t="s">
        <v>2515</v>
      </c>
      <c r="K10" s="1" t="s">
        <v>549</v>
      </c>
      <c r="L10" s="1" t="b">
        <v>1</v>
      </c>
    </row>
    <row r="11" spans="1:12" ht="200.7" x14ac:dyDescent="0.5">
      <c r="A11" s="1" t="s">
        <v>2971</v>
      </c>
      <c r="B11" s="3" t="s">
        <v>534</v>
      </c>
      <c r="C11" s="3" t="s">
        <v>500</v>
      </c>
      <c r="D11" s="3" t="s">
        <v>610</v>
      </c>
      <c r="E11" s="3" t="s">
        <v>546</v>
      </c>
      <c r="F11" s="26">
        <v>40343</v>
      </c>
      <c r="G11" s="1">
        <v>2010</v>
      </c>
      <c r="H11" s="1" t="s">
        <v>61</v>
      </c>
      <c r="I11" s="3" t="s">
        <v>123</v>
      </c>
      <c r="J11" s="1" t="s">
        <v>2515</v>
      </c>
      <c r="K11" s="1" t="s">
        <v>580</v>
      </c>
      <c r="L11" s="1" t="b">
        <v>1</v>
      </c>
    </row>
    <row r="12" spans="1:12" ht="358.35" x14ac:dyDescent="0.5">
      <c r="A12" s="1" t="s">
        <v>2972</v>
      </c>
      <c r="B12" s="3" t="s">
        <v>502</v>
      </c>
      <c r="C12" s="3" t="s">
        <v>468</v>
      </c>
      <c r="D12" s="3" t="s">
        <v>582</v>
      </c>
      <c r="E12" s="3" t="s">
        <v>69</v>
      </c>
      <c r="F12" s="26">
        <v>43733</v>
      </c>
      <c r="G12" s="1">
        <v>2019</v>
      </c>
      <c r="H12" s="1" t="s">
        <v>61</v>
      </c>
      <c r="I12" s="3" t="s">
        <v>123</v>
      </c>
      <c r="J12" s="1" t="s">
        <v>2515</v>
      </c>
      <c r="K12" s="1" t="s">
        <v>548</v>
      </c>
      <c r="L12" s="1" t="b">
        <v>1</v>
      </c>
    </row>
    <row r="13" spans="1:12" ht="344" x14ac:dyDescent="0.5">
      <c r="A13" s="1" t="s">
        <v>2973</v>
      </c>
      <c r="B13" s="3" t="s">
        <v>516</v>
      </c>
      <c r="C13" s="3" t="s">
        <v>482</v>
      </c>
      <c r="D13" s="3" t="s">
        <v>595</v>
      </c>
      <c r="E13" s="3" t="s">
        <v>536</v>
      </c>
      <c r="F13" s="26">
        <v>44736</v>
      </c>
      <c r="G13" s="1">
        <v>2022</v>
      </c>
      <c r="H13" s="1" t="s">
        <v>61</v>
      </c>
      <c r="I13" s="3" t="s">
        <v>123</v>
      </c>
      <c r="J13" s="1" t="s">
        <v>2515</v>
      </c>
      <c r="K13" s="1" t="s">
        <v>562</v>
      </c>
      <c r="L13" s="1" t="b">
        <v>1</v>
      </c>
    </row>
    <row r="14" spans="1:12" ht="243.7" x14ac:dyDescent="0.5">
      <c r="A14" s="1" t="s">
        <v>2974</v>
      </c>
      <c r="B14" s="3" t="s">
        <v>524</v>
      </c>
      <c r="C14" s="3" t="s">
        <v>490</v>
      </c>
      <c r="D14" s="3" t="s">
        <v>601</v>
      </c>
      <c r="E14" s="3" t="s">
        <v>71</v>
      </c>
      <c r="F14" s="26">
        <v>42451</v>
      </c>
      <c r="G14" s="1">
        <v>2016</v>
      </c>
      <c r="H14" s="1" t="s">
        <v>61</v>
      </c>
      <c r="I14" s="3" t="s">
        <v>123</v>
      </c>
      <c r="J14" s="1" t="s">
        <v>2515</v>
      </c>
      <c r="K14" s="1" t="s">
        <v>570</v>
      </c>
      <c r="L14" s="1" t="b">
        <v>1</v>
      </c>
    </row>
    <row r="15" spans="1:12" ht="43" x14ac:dyDescent="0.5">
      <c r="A15" s="1" t="s">
        <v>2975</v>
      </c>
      <c r="B15" s="3" t="s">
        <v>519</v>
      </c>
      <c r="C15" s="3" t="s">
        <v>485</v>
      </c>
      <c r="D15" s="3" t="s">
        <v>123</v>
      </c>
      <c r="E15" s="3" t="s">
        <v>538</v>
      </c>
      <c r="F15" s="26">
        <v>41450</v>
      </c>
      <c r="G15" s="1">
        <v>2013</v>
      </c>
      <c r="H15" s="1" t="s">
        <v>61</v>
      </c>
      <c r="I15" s="3" t="s">
        <v>123</v>
      </c>
      <c r="J15" s="1" t="s">
        <v>2515</v>
      </c>
      <c r="K15" s="1" t="s">
        <v>565</v>
      </c>
      <c r="L15" s="1" t="b">
        <v>1</v>
      </c>
    </row>
    <row r="16" spans="1:12" ht="358.35" x14ac:dyDescent="0.5">
      <c r="A16" s="1" t="s">
        <v>2976</v>
      </c>
      <c r="B16" s="3" t="s">
        <v>844</v>
      </c>
      <c r="C16" s="3" t="s">
        <v>843</v>
      </c>
      <c r="D16" s="3" t="s">
        <v>846</v>
      </c>
      <c r="E16" s="3" t="s">
        <v>540</v>
      </c>
      <c r="F16" s="26">
        <v>45455</v>
      </c>
      <c r="G16" s="1">
        <v>2024</v>
      </c>
      <c r="H16" s="1" t="s">
        <v>61</v>
      </c>
      <c r="I16" s="3" t="s">
        <v>2977</v>
      </c>
      <c r="J16" s="1" t="s">
        <v>2515</v>
      </c>
      <c r="K16" s="1" t="s">
        <v>845</v>
      </c>
      <c r="L16" s="1" t="b">
        <v>1</v>
      </c>
    </row>
    <row r="17" spans="1:12" ht="329.7" x14ac:dyDescent="0.5">
      <c r="A17" s="1" t="s">
        <v>2978</v>
      </c>
      <c r="B17" s="3" t="s">
        <v>514</v>
      </c>
      <c r="C17" s="3" t="s">
        <v>480</v>
      </c>
      <c r="D17" s="3" t="s">
        <v>593</v>
      </c>
      <c r="E17" s="3" t="s">
        <v>542</v>
      </c>
      <c r="F17" s="26">
        <v>44489</v>
      </c>
      <c r="G17" s="1">
        <v>2021</v>
      </c>
      <c r="H17" s="1" t="s">
        <v>61</v>
      </c>
      <c r="I17" s="3" t="s">
        <v>123</v>
      </c>
      <c r="J17" s="1" t="s">
        <v>2515</v>
      </c>
      <c r="K17" s="1" t="s">
        <v>560</v>
      </c>
      <c r="L17" s="1" t="b">
        <v>1</v>
      </c>
    </row>
    <row r="18" spans="1:12" ht="272.35000000000002" x14ac:dyDescent="0.5">
      <c r="A18" s="1" t="s">
        <v>2979</v>
      </c>
      <c r="B18" s="3" t="s">
        <v>512</v>
      </c>
      <c r="C18" s="3" t="s">
        <v>478</v>
      </c>
      <c r="D18" s="3" t="s">
        <v>591</v>
      </c>
      <c r="E18" s="3" t="s">
        <v>539</v>
      </c>
      <c r="F18" s="26">
        <v>43264</v>
      </c>
      <c r="G18" s="1">
        <v>2018</v>
      </c>
      <c r="H18" s="1" t="s">
        <v>61</v>
      </c>
      <c r="I18" s="3" t="s">
        <v>123</v>
      </c>
      <c r="J18" s="1" t="s">
        <v>2515</v>
      </c>
      <c r="K18" s="1" t="s">
        <v>558</v>
      </c>
      <c r="L18" s="1" t="b">
        <v>1</v>
      </c>
    </row>
    <row r="19" spans="1:12" ht="372.7" x14ac:dyDescent="0.5">
      <c r="A19" s="1" t="s">
        <v>2980</v>
      </c>
      <c r="B19" s="3" t="s">
        <v>840</v>
      </c>
      <c r="C19" s="3" t="s">
        <v>839</v>
      </c>
      <c r="D19" s="3" t="s">
        <v>842</v>
      </c>
      <c r="E19" s="3" t="s">
        <v>538</v>
      </c>
      <c r="F19" s="26">
        <v>45050</v>
      </c>
      <c r="G19" s="1">
        <v>2023</v>
      </c>
      <c r="H19" s="1" t="s">
        <v>61</v>
      </c>
      <c r="I19" s="3" t="s">
        <v>2981</v>
      </c>
      <c r="J19" s="1" t="s">
        <v>2515</v>
      </c>
      <c r="K19" s="1" t="s">
        <v>841</v>
      </c>
      <c r="L19" s="1" t="b">
        <v>1</v>
      </c>
    </row>
    <row r="20" spans="1:12" ht="372.7" x14ac:dyDescent="0.5">
      <c r="A20" s="1" t="s">
        <v>2982</v>
      </c>
      <c r="B20" s="3" t="s">
        <v>848</v>
      </c>
      <c r="C20" s="3" t="s">
        <v>847</v>
      </c>
      <c r="D20" s="3" t="s">
        <v>850</v>
      </c>
      <c r="E20" s="3" t="s">
        <v>71</v>
      </c>
      <c r="F20" s="26">
        <v>45126</v>
      </c>
      <c r="G20" s="1">
        <v>2023</v>
      </c>
      <c r="H20" s="1" t="s">
        <v>61</v>
      </c>
      <c r="I20" s="3" t="s">
        <v>2983</v>
      </c>
      <c r="J20" s="1" t="s">
        <v>2515</v>
      </c>
      <c r="K20" s="1" t="s">
        <v>849</v>
      </c>
      <c r="L20" s="1" t="b">
        <v>1</v>
      </c>
    </row>
    <row r="21" spans="1:12" ht="372.7" x14ac:dyDescent="0.5">
      <c r="A21" s="1" t="s">
        <v>2984</v>
      </c>
      <c r="B21" s="3" t="s">
        <v>509</v>
      </c>
      <c r="C21" s="3" t="s">
        <v>475</v>
      </c>
      <c r="D21" s="3" t="s">
        <v>588</v>
      </c>
      <c r="E21" s="3" t="s">
        <v>71</v>
      </c>
      <c r="F21" s="26">
        <v>44826</v>
      </c>
      <c r="G21" s="1">
        <v>2022</v>
      </c>
      <c r="H21" s="1" t="s">
        <v>61</v>
      </c>
      <c r="I21" s="3" t="s">
        <v>123</v>
      </c>
      <c r="J21" s="1" t="s">
        <v>2515</v>
      </c>
      <c r="K21" s="1" t="s">
        <v>555</v>
      </c>
      <c r="L21" s="1" t="b">
        <v>1</v>
      </c>
    </row>
    <row r="22" spans="1:12" ht="200.7" x14ac:dyDescent="0.5">
      <c r="A22" s="1" t="s">
        <v>2985</v>
      </c>
      <c r="B22" s="3" t="s">
        <v>501</v>
      </c>
      <c r="C22" s="3" t="s">
        <v>467</v>
      </c>
      <c r="D22" s="3" t="s">
        <v>581</v>
      </c>
      <c r="E22" s="3" t="s">
        <v>535</v>
      </c>
      <c r="F22" s="26">
        <v>43424</v>
      </c>
      <c r="G22" s="1">
        <v>2018</v>
      </c>
      <c r="H22" s="1" t="s">
        <v>61</v>
      </c>
      <c r="I22" s="3" t="s">
        <v>123</v>
      </c>
      <c r="J22" s="1" t="s">
        <v>2515</v>
      </c>
      <c r="K22" s="1" t="s">
        <v>547</v>
      </c>
      <c r="L22" s="1" t="b">
        <v>1</v>
      </c>
    </row>
    <row r="23" spans="1:12" ht="229.35" x14ac:dyDescent="0.5">
      <c r="A23" s="1" t="s">
        <v>2986</v>
      </c>
      <c r="B23" s="3" t="s">
        <v>504</v>
      </c>
      <c r="C23" s="3" t="s">
        <v>470</v>
      </c>
      <c r="D23" s="3" t="s">
        <v>584</v>
      </c>
      <c r="E23" s="3" t="s">
        <v>69</v>
      </c>
      <c r="F23" s="26">
        <v>44070</v>
      </c>
      <c r="G23" s="1">
        <v>2020</v>
      </c>
      <c r="H23" s="1" t="s">
        <v>61</v>
      </c>
      <c r="I23" s="3" t="s">
        <v>123</v>
      </c>
      <c r="J23" s="1" t="s">
        <v>2515</v>
      </c>
      <c r="K23" s="1" t="s">
        <v>550</v>
      </c>
      <c r="L23" s="1" t="b">
        <v>1</v>
      </c>
    </row>
    <row r="24" spans="1:12" ht="344" x14ac:dyDescent="0.5">
      <c r="A24" s="1" t="s">
        <v>2987</v>
      </c>
      <c r="B24" s="3" t="s">
        <v>529</v>
      </c>
      <c r="C24" s="3" t="s">
        <v>495</v>
      </c>
      <c r="D24" s="3" t="s">
        <v>606</v>
      </c>
      <c r="E24" s="3" t="s">
        <v>71</v>
      </c>
      <c r="F24" s="26">
        <v>43377</v>
      </c>
      <c r="G24" s="1">
        <v>2018</v>
      </c>
      <c r="H24" s="1" t="s">
        <v>61</v>
      </c>
      <c r="I24" s="3" t="s">
        <v>123</v>
      </c>
      <c r="J24" s="1" t="s">
        <v>2515</v>
      </c>
      <c r="K24" s="1" t="s">
        <v>575</v>
      </c>
      <c r="L24" s="1" t="b">
        <v>1</v>
      </c>
    </row>
    <row r="25" spans="1:12" ht="272.35000000000002" x14ac:dyDescent="0.5">
      <c r="A25" s="1" t="s">
        <v>2988</v>
      </c>
      <c r="B25" s="3" t="s">
        <v>522</v>
      </c>
      <c r="C25" s="3" t="s">
        <v>488</v>
      </c>
      <c r="D25" s="3" t="s">
        <v>599</v>
      </c>
      <c r="E25" s="3" t="s">
        <v>68</v>
      </c>
      <c r="F25" s="26">
        <v>44727</v>
      </c>
      <c r="G25" s="1">
        <v>2022</v>
      </c>
      <c r="H25" s="1" t="s">
        <v>61</v>
      </c>
      <c r="I25" s="3" t="s">
        <v>123</v>
      </c>
      <c r="J25" s="1" t="s">
        <v>2515</v>
      </c>
      <c r="K25" s="1" t="s">
        <v>568</v>
      </c>
      <c r="L25" s="1" t="b">
        <v>1</v>
      </c>
    </row>
    <row r="26" spans="1:12" ht="372.7" x14ac:dyDescent="0.5">
      <c r="A26" s="1" t="s">
        <v>2989</v>
      </c>
      <c r="B26" s="3" t="s">
        <v>528</v>
      </c>
      <c r="C26" s="3" t="s">
        <v>494</v>
      </c>
      <c r="D26" s="3" t="s">
        <v>605</v>
      </c>
      <c r="E26" s="3" t="s">
        <v>545</v>
      </c>
      <c r="F26" s="26">
        <v>43509</v>
      </c>
      <c r="G26" s="1">
        <v>2019</v>
      </c>
      <c r="H26" s="1" t="s">
        <v>61</v>
      </c>
      <c r="I26" s="3" t="s">
        <v>123</v>
      </c>
      <c r="J26" s="1" t="s">
        <v>2515</v>
      </c>
      <c r="K26" s="1" t="s">
        <v>574</v>
      </c>
      <c r="L26" s="1" t="b">
        <v>1</v>
      </c>
    </row>
    <row r="27" spans="1:12" ht="286.7" x14ac:dyDescent="0.5">
      <c r="A27" s="1" t="s">
        <v>2990</v>
      </c>
      <c r="B27" s="3" t="s">
        <v>515</v>
      </c>
      <c r="C27" s="3" t="s">
        <v>481</v>
      </c>
      <c r="D27" s="3" t="s">
        <v>594</v>
      </c>
      <c r="E27" s="3" t="s">
        <v>543</v>
      </c>
      <c r="F27" s="26">
        <v>43116</v>
      </c>
      <c r="G27" s="1">
        <v>2018</v>
      </c>
      <c r="H27" s="1" t="s">
        <v>61</v>
      </c>
      <c r="I27" s="3" t="s">
        <v>123</v>
      </c>
      <c r="J27" s="1" t="s">
        <v>2515</v>
      </c>
      <c r="K27" s="1" t="s">
        <v>561</v>
      </c>
      <c r="L27" s="1" t="b">
        <v>1</v>
      </c>
    </row>
    <row r="28" spans="1:12" ht="358.35" x14ac:dyDescent="0.5">
      <c r="A28" s="1" t="s">
        <v>2991</v>
      </c>
      <c r="B28" s="3" t="s">
        <v>523</v>
      </c>
      <c r="C28" s="3" t="s">
        <v>489</v>
      </c>
      <c r="D28" s="3" t="s">
        <v>600</v>
      </c>
      <c r="E28" s="3" t="s">
        <v>543</v>
      </c>
      <c r="F28" s="26">
        <v>44050</v>
      </c>
      <c r="G28" s="1">
        <v>2020</v>
      </c>
      <c r="H28" s="1" t="s">
        <v>61</v>
      </c>
      <c r="I28" s="3" t="s">
        <v>123</v>
      </c>
      <c r="J28" s="1" t="s">
        <v>2515</v>
      </c>
      <c r="K28" s="1" t="s">
        <v>569</v>
      </c>
      <c r="L28" s="1" t="b">
        <v>1</v>
      </c>
    </row>
    <row r="29" spans="1:12" ht="358.35" x14ac:dyDescent="0.5">
      <c r="A29" s="1" t="s">
        <v>2992</v>
      </c>
      <c r="B29" s="3" t="s">
        <v>532</v>
      </c>
      <c r="C29" s="3" t="s">
        <v>498</v>
      </c>
      <c r="D29" s="3" t="s">
        <v>609</v>
      </c>
      <c r="E29" s="3" t="s">
        <v>69</v>
      </c>
      <c r="F29" s="26">
        <v>43644</v>
      </c>
      <c r="G29" s="1">
        <v>2019</v>
      </c>
      <c r="H29" s="1" t="s">
        <v>61</v>
      </c>
      <c r="I29" s="3" t="s">
        <v>123</v>
      </c>
      <c r="J29" s="1" t="s">
        <v>2515</v>
      </c>
      <c r="K29" s="1" t="s">
        <v>578</v>
      </c>
      <c r="L29" s="1" t="b">
        <v>1</v>
      </c>
    </row>
    <row r="30" spans="1:12" ht="28.7" x14ac:dyDescent="0.5">
      <c r="A30" s="1" t="s">
        <v>2993</v>
      </c>
      <c r="B30" s="3" t="s">
        <v>518</v>
      </c>
      <c r="C30" s="3" t="s">
        <v>484</v>
      </c>
      <c r="D30" s="3" t="s">
        <v>123</v>
      </c>
      <c r="E30" s="3" t="s">
        <v>538</v>
      </c>
      <c r="F30" s="26">
        <v>41095</v>
      </c>
      <c r="G30" s="1">
        <v>2012</v>
      </c>
      <c r="H30" s="1" t="s">
        <v>61</v>
      </c>
      <c r="I30" s="3" t="s">
        <v>123</v>
      </c>
      <c r="J30" s="1" t="s">
        <v>2515</v>
      </c>
      <c r="K30" s="1" t="s">
        <v>564</v>
      </c>
      <c r="L30" s="1" t="b">
        <v>1</v>
      </c>
    </row>
    <row r="31" spans="1:12" ht="329.7" x14ac:dyDescent="0.5">
      <c r="A31" s="1" t="s">
        <v>2994</v>
      </c>
      <c r="B31" s="3" t="s">
        <v>517</v>
      </c>
      <c r="C31" s="3" t="s">
        <v>483</v>
      </c>
      <c r="D31" s="3" t="s">
        <v>596</v>
      </c>
      <c r="E31" s="3" t="s">
        <v>536</v>
      </c>
      <c r="F31" s="26">
        <v>44368</v>
      </c>
      <c r="G31" s="1">
        <v>2021</v>
      </c>
      <c r="H31" s="1" t="s">
        <v>61</v>
      </c>
      <c r="I31" s="3" t="s">
        <v>123</v>
      </c>
      <c r="J31" s="1" t="s">
        <v>2515</v>
      </c>
      <c r="K31" s="1" t="s">
        <v>563</v>
      </c>
      <c r="L31" s="1" t="b">
        <v>1</v>
      </c>
    </row>
    <row r="32" spans="1:12" ht="229.35" x14ac:dyDescent="0.5">
      <c r="A32" s="1" t="s">
        <v>2995</v>
      </c>
      <c r="B32" s="3" t="s">
        <v>852</v>
      </c>
      <c r="C32" s="3" t="s">
        <v>851</v>
      </c>
      <c r="D32" s="3" t="s">
        <v>854</v>
      </c>
      <c r="E32" s="3" t="s">
        <v>70</v>
      </c>
      <c r="F32" s="26">
        <v>45111</v>
      </c>
      <c r="G32" s="1">
        <v>2023</v>
      </c>
      <c r="H32" s="1" t="s">
        <v>61</v>
      </c>
      <c r="I32" s="3" t="s">
        <v>2996</v>
      </c>
      <c r="J32" s="1" t="s">
        <v>2515</v>
      </c>
      <c r="K32" s="1" t="s">
        <v>853</v>
      </c>
      <c r="L32" s="1" t="b">
        <v>1</v>
      </c>
    </row>
    <row r="33" spans="1:12" ht="200.7" x14ac:dyDescent="0.5">
      <c r="A33" s="1" t="s">
        <v>2997</v>
      </c>
      <c r="B33" s="3" t="s">
        <v>525</v>
      </c>
      <c r="C33" s="3" t="s">
        <v>491</v>
      </c>
      <c r="D33" s="3" t="s">
        <v>602</v>
      </c>
      <c r="E33" s="3" t="s">
        <v>544</v>
      </c>
      <c r="F33" s="26">
        <v>43284</v>
      </c>
      <c r="G33" s="1">
        <v>2018</v>
      </c>
      <c r="H33" s="1" t="s">
        <v>61</v>
      </c>
      <c r="I33" s="3" t="s">
        <v>123</v>
      </c>
      <c r="J33" s="1" t="s">
        <v>2515</v>
      </c>
      <c r="K33" s="1" t="s">
        <v>571</v>
      </c>
      <c r="L33" s="1" t="b">
        <v>1</v>
      </c>
    </row>
    <row r="34" spans="1:12" ht="200.7" x14ac:dyDescent="0.5">
      <c r="A34" s="1" t="s">
        <v>2998</v>
      </c>
      <c r="B34" s="3" t="s">
        <v>527</v>
      </c>
      <c r="C34" s="3" t="s">
        <v>493</v>
      </c>
      <c r="D34" s="3" t="s">
        <v>604</v>
      </c>
      <c r="E34" s="3" t="s">
        <v>70</v>
      </c>
      <c r="F34" s="26">
        <v>42633</v>
      </c>
      <c r="G34" s="1">
        <v>2016</v>
      </c>
      <c r="H34" s="1" t="s">
        <v>61</v>
      </c>
      <c r="I34" s="3" t="s">
        <v>123</v>
      </c>
      <c r="J34" s="1" t="s">
        <v>2515</v>
      </c>
      <c r="K34" s="1" t="s">
        <v>573</v>
      </c>
      <c r="L34" s="1" t="b">
        <v>1</v>
      </c>
    </row>
    <row r="35" spans="1:12" ht="372.7" x14ac:dyDescent="0.5">
      <c r="A35" s="1" t="s">
        <v>2999</v>
      </c>
      <c r="B35" s="3" t="s">
        <v>513</v>
      </c>
      <c r="C35" s="3" t="s">
        <v>479</v>
      </c>
      <c r="D35" s="3" t="s">
        <v>592</v>
      </c>
      <c r="E35" s="3" t="s">
        <v>540</v>
      </c>
      <c r="F35" s="26">
        <v>44536</v>
      </c>
      <c r="G35" s="1">
        <v>2021</v>
      </c>
      <c r="H35" s="1" t="s">
        <v>61</v>
      </c>
      <c r="I35" s="3" t="s">
        <v>123</v>
      </c>
      <c r="J35" s="1" t="s">
        <v>2515</v>
      </c>
      <c r="K35" s="1" t="s">
        <v>559</v>
      </c>
      <c r="L35" s="1" t="b">
        <v>1</v>
      </c>
    </row>
    <row r="36" spans="1:12" ht="409.6" x14ac:dyDescent="0.5">
      <c r="A36" s="1" t="s">
        <v>3000</v>
      </c>
      <c r="B36" s="3" t="s">
        <v>507</v>
      </c>
      <c r="C36" s="3" t="s">
        <v>473</v>
      </c>
      <c r="D36" s="3" t="s">
        <v>586</v>
      </c>
      <c r="E36" s="3" t="s">
        <v>69</v>
      </c>
      <c r="F36" s="26">
        <v>44876</v>
      </c>
      <c r="G36" s="1">
        <v>2022</v>
      </c>
      <c r="H36" s="1" t="s">
        <v>61</v>
      </c>
      <c r="I36" s="3" t="s">
        <v>3001</v>
      </c>
      <c r="J36" s="1" t="s">
        <v>2515</v>
      </c>
      <c r="K36" s="1" t="s">
        <v>553</v>
      </c>
      <c r="L36" s="1" t="b">
        <v>1</v>
      </c>
    </row>
    <row r="37" spans="1:12" ht="301" x14ac:dyDescent="0.5">
      <c r="A37" s="1" t="s">
        <v>3002</v>
      </c>
      <c r="B37" s="3" t="s">
        <v>506</v>
      </c>
      <c r="C37" s="3" t="s">
        <v>472</v>
      </c>
      <c r="D37" s="3" t="s">
        <v>585</v>
      </c>
      <c r="E37" s="3" t="s">
        <v>536</v>
      </c>
      <c r="F37" s="26">
        <v>44693</v>
      </c>
      <c r="G37" s="1">
        <v>2022</v>
      </c>
      <c r="H37" s="1" t="s">
        <v>61</v>
      </c>
      <c r="I37" s="3" t="s">
        <v>123</v>
      </c>
      <c r="J37" s="1" t="s">
        <v>2515</v>
      </c>
      <c r="K37" s="1" t="s">
        <v>552</v>
      </c>
      <c r="L37" s="1" t="b">
        <v>1</v>
      </c>
    </row>
    <row r="38" spans="1:12" ht="301" x14ac:dyDescent="0.5">
      <c r="A38" s="1" t="s">
        <v>3003</v>
      </c>
      <c r="B38" s="3" t="s">
        <v>511</v>
      </c>
      <c r="C38" s="3" t="s">
        <v>477</v>
      </c>
      <c r="D38" s="3" t="s">
        <v>590</v>
      </c>
      <c r="E38" s="3" t="s">
        <v>538</v>
      </c>
      <c r="F38" s="26">
        <v>44232</v>
      </c>
      <c r="G38" s="1">
        <v>2021</v>
      </c>
      <c r="H38" s="1" t="s">
        <v>61</v>
      </c>
      <c r="I38" s="3" t="s">
        <v>123</v>
      </c>
      <c r="J38" s="1" t="s">
        <v>2515</v>
      </c>
      <c r="K38" s="1" t="s">
        <v>557</v>
      </c>
      <c r="L38" s="1" t="b">
        <v>1</v>
      </c>
    </row>
    <row r="39" spans="1:12" ht="272.35000000000002" x14ac:dyDescent="0.5">
      <c r="A39" s="1" t="s">
        <v>3004</v>
      </c>
      <c r="B39" s="3" t="s">
        <v>510</v>
      </c>
      <c r="C39" s="3" t="s">
        <v>476</v>
      </c>
      <c r="D39" s="3" t="s">
        <v>589</v>
      </c>
      <c r="E39" s="3" t="s">
        <v>69</v>
      </c>
      <c r="F39" s="26">
        <v>44497</v>
      </c>
      <c r="G39" s="1">
        <v>2021</v>
      </c>
      <c r="H39" s="1" t="s">
        <v>61</v>
      </c>
      <c r="I39" s="3" t="s">
        <v>123</v>
      </c>
      <c r="J39" s="1" t="s">
        <v>2515</v>
      </c>
      <c r="K39" s="1" t="s">
        <v>556</v>
      </c>
      <c r="L39" s="1" t="b">
        <v>1</v>
      </c>
    </row>
    <row r="40" spans="1:12" ht="409.6" x14ac:dyDescent="0.5">
      <c r="A40" s="1" t="s">
        <v>3005</v>
      </c>
      <c r="B40" s="3" t="s">
        <v>520</v>
      </c>
      <c r="C40" s="3" t="s">
        <v>486</v>
      </c>
      <c r="D40" s="3" t="s">
        <v>597</v>
      </c>
      <c r="E40" s="3" t="s">
        <v>68</v>
      </c>
      <c r="F40" s="26">
        <v>43236</v>
      </c>
      <c r="G40" s="1">
        <v>2018</v>
      </c>
      <c r="H40" s="1" t="s">
        <v>61</v>
      </c>
      <c r="I40" s="3" t="s">
        <v>123</v>
      </c>
      <c r="J40" s="1" t="s">
        <v>2515</v>
      </c>
      <c r="K40" s="1" t="s">
        <v>566</v>
      </c>
      <c r="L40" s="1" t="b">
        <v>1</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9A60-954B-4A0E-BC05-6F432BDFBC70}">
  <sheetPr codeName="Sheet17"/>
  <dimension ref="A1:L30"/>
  <sheetViews>
    <sheetView zoomScaleNormal="100" workbookViewId="0">
      <selection activeCell="B2" sqref="B2"/>
    </sheetView>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8.7" x14ac:dyDescent="0.5">
      <c r="A2" s="1" t="s">
        <v>2924</v>
      </c>
      <c r="B2" s="3" t="s">
        <v>884</v>
      </c>
      <c r="C2" s="3" t="s">
        <v>123</v>
      </c>
      <c r="D2" s="3" t="s">
        <v>123</v>
      </c>
      <c r="E2" s="3" t="s">
        <v>885</v>
      </c>
      <c r="F2" s="26">
        <v>45512</v>
      </c>
      <c r="G2" s="1">
        <v>2024</v>
      </c>
      <c r="H2" s="1" t="s">
        <v>62</v>
      </c>
      <c r="I2" s="3" t="s">
        <v>123</v>
      </c>
      <c r="J2" s="1" t="s">
        <v>2515</v>
      </c>
      <c r="K2" s="1" t="s">
        <v>886</v>
      </c>
      <c r="L2" s="1" t="b">
        <v>1</v>
      </c>
    </row>
    <row r="3" spans="1:12" ht="28.7" x14ac:dyDescent="0.5">
      <c r="A3" s="1" t="s">
        <v>2925</v>
      </c>
      <c r="B3" s="3" t="s">
        <v>413</v>
      </c>
      <c r="C3" s="3" t="s">
        <v>123</v>
      </c>
      <c r="D3" s="3" t="s">
        <v>427</v>
      </c>
      <c r="E3" s="3" t="s">
        <v>915</v>
      </c>
      <c r="F3" s="26">
        <v>44811</v>
      </c>
      <c r="G3" s="1">
        <v>2022</v>
      </c>
      <c r="H3" s="1" t="s">
        <v>62</v>
      </c>
      <c r="I3" s="3" t="s">
        <v>123</v>
      </c>
      <c r="J3" s="1" t="s">
        <v>2515</v>
      </c>
      <c r="K3" s="1" t="s">
        <v>440</v>
      </c>
      <c r="L3" s="1" t="b">
        <v>1</v>
      </c>
    </row>
    <row r="4" spans="1:12" ht="28.7" x14ac:dyDescent="0.5">
      <c r="A4" s="1" t="s">
        <v>2926</v>
      </c>
      <c r="B4" s="3" t="s">
        <v>410</v>
      </c>
      <c r="C4" s="3" t="s">
        <v>123</v>
      </c>
      <c r="D4" s="3" t="s">
        <v>423</v>
      </c>
      <c r="E4" s="3" t="s">
        <v>861</v>
      </c>
      <c r="F4" s="26">
        <v>43317</v>
      </c>
      <c r="G4" s="1">
        <v>2018</v>
      </c>
      <c r="H4" s="1" t="s">
        <v>62</v>
      </c>
      <c r="I4" s="3" t="s">
        <v>123</v>
      </c>
      <c r="J4" s="1" t="s">
        <v>2515</v>
      </c>
      <c r="K4" s="1" t="s">
        <v>437</v>
      </c>
      <c r="L4" s="1" t="b">
        <v>1</v>
      </c>
    </row>
    <row r="5" spans="1:12" ht="28.7" x14ac:dyDescent="0.5">
      <c r="A5" s="1" t="s">
        <v>2927</v>
      </c>
      <c r="B5" s="3" t="s">
        <v>902</v>
      </c>
      <c r="C5" s="3" t="s">
        <v>123</v>
      </c>
      <c r="D5" s="3" t="s">
        <v>123</v>
      </c>
      <c r="E5" s="3" t="s">
        <v>903</v>
      </c>
      <c r="F5" s="26">
        <v>45299</v>
      </c>
      <c r="G5" s="1">
        <v>2024</v>
      </c>
      <c r="H5" s="1" t="s">
        <v>62</v>
      </c>
      <c r="I5" s="3" t="s">
        <v>123</v>
      </c>
      <c r="J5" s="1" t="s">
        <v>2515</v>
      </c>
      <c r="K5" s="1" t="s">
        <v>904</v>
      </c>
      <c r="L5" s="1" t="b">
        <v>1</v>
      </c>
    </row>
    <row r="6" spans="1:12" ht="28.7" x14ac:dyDescent="0.5">
      <c r="A6" s="1" t="s">
        <v>2928</v>
      </c>
      <c r="B6" s="3" t="s">
        <v>878</v>
      </c>
      <c r="C6" s="3" t="s">
        <v>123</v>
      </c>
      <c r="D6" s="3" t="s">
        <v>123</v>
      </c>
      <c r="E6" s="3" t="s">
        <v>879</v>
      </c>
      <c r="F6" s="26">
        <v>45124</v>
      </c>
      <c r="G6" s="1">
        <v>2023</v>
      </c>
      <c r="H6" s="1" t="s">
        <v>62</v>
      </c>
      <c r="I6" s="3" t="s">
        <v>123</v>
      </c>
      <c r="J6" s="1" t="s">
        <v>2515</v>
      </c>
      <c r="K6" s="1" t="s">
        <v>880</v>
      </c>
      <c r="L6" s="1" t="b">
        <v>1</v>
      </c>
    </row>
    <row r="7" spans="1:12" ht="229.35" x14ac:dyDescent="0.5">
      <c r="A7" s="1" t="s">
        <v>2929</v>
      </c>
      <c r="B7" s="3" t="s">
        <v>874</v>
      </c>
      <c r="C7" s="3" t="s">
        <v>873</v>
      </c>
      <c r="D7" s="3" t="s">
        <v>876</v>
      </c>
      <c r="E7" s="3" t="s">
        <v>855</v>
      </c>
      <c r="F7" s="26">
        <v>44927</v>
      </c>
      <c r="G7" s="1">
        <v>2023</v>
      </c>
      <c r="H7" s="1" t="s">
        <v>61</v>
      </c>
      <c r="I7" s="3" t="s">
        <v>2930</v>
      </c>
      <c r="J7" s="1" t="s">
        <v>2515</v>
      </c>
      <c r="K7" s="1" t="s">
        <v>875</v>
      </c>
      <c r="L7" s="1" t="b">
        <v>1</v>
      </c>
    </row>
    <row r="8" spans="1:12" ht="28.7" x14ac:dyDescent="0.5">
      <c r="A8" s="1" t="s">
        <v>2931</v>
      </c>
      <c r="B8" s="3" t="s">
        <v>906</v>
      </c>
      <c r="C8" s="3" t="s">
        <v>123</v>
      </c>
      <c r="D8" s="3" t="s">
        <v>123</v>
      </c>
      <c r="E8" s="3" t="s">
        <v>907</v>
      </c>
      <c r="F8" s="26">
        <v>45537</v>
      </c>
      <c r="G8" s="1">
        <v>2024</v>
      </c>
      <c r="H8" s="1" t="s">
        <v>62</v>
      </c>
      <c r="I8" s="3" t="s">
        <v>123</v>
      </c>
      <c r="J8" s="1" t="s">
        <v>2515</v>
      </c>
      <c r="K8" s="1" t="s">
        <v>908</v>
      </c>
      <c r="L8" s="1" t="b">
        <v>1</v>
      </c>
    </row>
    <row r="9" spans="1:12" ht="28.7" x14ac:dyDescent="0.5">
      <c r="A9" s="1" t="s">
        <v>2932</v>
      </c>
      <c r="B9" s="3" t="s">
        <v>893</v>
      </c>
      <c r="C9" s="3" t="s">
        <v>123</v>
      </c>
      <c r="D9" s="3" t="s">
        <v>123</v>
      </c>
      <c r="E9" s="3" t="s">
        <v>894</v>
      </c>
      <c r="F9" s="26">
        <v>45522</v>
      </c>
      <c r="G9" s="1">
        <v>2024</v>
      </c>
      <c r="H9" s="1" t="s">
        <v>62</v>
      </c>
      <c r="I9" s="3" t="s">
        <v>123</v>
      </c>
      <c r="J9" s="1" t="s">
        <v>2515</v>
      </c>
      <c r="K9" s="1" t="s">
        <v>895</v>
      </c>
      <c r="L9" s="1" t="b">
        <v>1</v>
      </c>
    </row>
    <row r="10" spans="1:12" ht="28.7" x14ac:dyDescent="0.5">
      <c r="A10" s="1" t="s">
        <v>2933</v>
      </c>
      <c r="B10" s="3" t="s">
        <v>912</v>
      </c>
      <c r="C10" s="3" t="s">
        <v>123</v>
      </c>
      <c r="D10" s="3" t="s">
        <v>123</v>
      </c>
      <c r="E10" s="3" t="s">
        <v>913</v>
      </c>
      <c r="F10" s="26">
        <v>45418</v>
      </c>
      <c r="G10" s="1">
        <v>2024</v>
      </c>
      <c r="H10" s="1" t="s">
        <v>62</v>
      </c>
      <c r="I10" s="3" t="s">
        <v>123</v>
      </c>
      <c r="J10" s="1" t="s">
        <v>2515</v>
      </c>
      <c r="K10" s="1" t="s">
        <v>914</v>
      </c>
      <c r="L10" s="1" t="b">
        <v>1</v>
      </c>
    </row>
    <row r="11" spans="1:12" ht="272.35000000000002" x14ac:dyDescent="0.5">
      <c r="A11" s="1" t="s">
        <v>2934</v>
      </c>
      <c r="B11" s="3" t="s">
        <v>865</v>
      </c>
      <c r="C11" s="3" t="s">
        <v>864</v>
      </c>
      <c r="D11" s="3" t="s">
        <v>867</v>
      </c>
      <c r="E11" s="3" t="s">
        <v>855</v>
      </c>
      <c r="F11" s="26">
        <v>45292</v>
      </c>
      <c r="G11" s="1">
        <v>2024</v>
      </c>
      <c r="H11" s="1" t="s">
        <v>61</v>
      </c>
      <c r="I11" s="3" t="s">
        <v>2935</v>
      </c>
      <c r="J11" s="1" t="s">
        <v>2515</v>
      </c>
      <c r="K11" s="1" t="s">
        <v>866</v>
      </c>
      <c r="L11" s="1" t="b">
        <v>1</v>
      </c>
    </row>
    <row r="12" spans="1:12" ht="329.7" x14ac:dyDescent="0.5">
      <c r="A12" s="1" t="s">
        <v>2936</v>
      </c>
      <c r="B12" s="3" t="s">
        <v>870</v>
      </c>
      <c r="C12" s="3" t="s">
        <v>869</v>
      </c>
      <c r="D12" s="3" t="s">
        <v>872</v>
      </c>
      <c r="E12" s="3" t="s">
        <v>855</v>
      </c>
      <c r="F12" s="26">
        <v>45292</v>
      </c>
      <c r="G12" s="1">
        <v>2024</v>
      </c>
      <c r="H12" s="1" t="s">
        <v>61</v>
      </c>
      <c r="I12" s="3" t="s">
        <v>2937</v>
      </c>
      <c r="J12" s="1" t="s">
        <v>2515</v>
      </c>
      <c r="K12" s="1" t="s">
        <v>871</v>
      </c>
      <c r="L12" s="1" t="b">
        <v>1</v>
      </c>
    </row>
    <row r="13" spans="1:12" ht="57.35" x14ac:dyDescent="0.5">
      <c r="A13" s="1" t="s">
        <v>2938</v>
      </c>
      <c r="B13" s="3" t="s">
        <v>408</v>
      </c>
      <c r="C13" s="3" t="s">
        <v>123</v>
      </c>
      <c r="D13" s="3" t="s">
        <v>423</v>
      </c>
      <c r="E13" s="3" t="s">
        <v>859</v>
      </c>
      <c r="F13" s="26">
        <v>44182</v>
      </c>
      <c r="G13" s="1">
        <v>2020</v>
      </c>
      <c r="H13" s="1" t="s">
        <v>62</v>
      </c>
      <c r="I13" s="3" t="s">
        <v>123</v>
      </c>
      <c r="J13" s="1" t="s">
        <v>2515</v>
      </c>
      <c r="K13" s="1" t="s">
        <v>435</v>
      </c>
      <c r="L13" s="1" t="b">
        <v>1</v>
      </c>
    </row>
    <row r="14" spans="1:12" ht="28.7" x14ac:dyDescent="0.5">
      <c r="A14" s="1" t="s">
        <v>2939</v>
      </c>
      <c r="B14" s="3" t="s">
        <v>909</v>
      </c>
      <c r="C14" s="3" t="s">
        <v>123</v>
      </c>
      <c r="D14" s="3" t="s">
        <v>123</v>
      </c>
      <c r="E14" s="3" t="s">
        <v>910</v>
      </c>
      <c r="F14" s="26">
        <v>45081</v>
      </c>
      <c r="G14" s="1">
        <v>2023</v>
      </c>
      <c r="H14" s="1" t="s">
        <v>62</v>
      </c>
      <c r="I14" s="3" t="s">
        <v>123</v>
      </c>
      <c r="J14" s="1" t="s">
        <v>2515</v>
      </c>
      <c r="K14" s="1" t="s">
        <v>911</v>
      </c>
      <c r="L14" s="1" t="b">
        <v>1</v>
      </c>
    </row>
    <row r="15" spans="1:12" ht="286.7" x14ac:dyDescent="0.5">
      <c r="A15" s="1" t="s">
        <v>2940</v>
      </c>
      <c r="B15" s="3" t="s">
        <v>401</v>
      </c>
      <c r="C15" s="3" t="s">
        <v>856</v>
      </c>
      <c r="D15" s="3" t="s">
        <v>416</v>
      </c>
      <c r="E15" s="3" t="s">
        <v>855</v>
      </c>
      <c r="F15" s="26">
        <v>43101</v>
      </c>
      <c r="G15" s="1">
        <v>2018</v>
      </c>
      <c r="H15" s="1" t="s">
        <v>61</v>
      </c>
      <c r="I15" s="3" t="s">
        <v>2941</v>
      </c>
      <c r="J15" s="1" t="s">
        <v>2515</v>
      </c>
      <c r="K15" s="1" t="s">
        <v>428</v>
      </c>
      <c r="L15" s="1" t="b">
        <v>1</v>
      </c>
    </row>
    <row r="16" spans="1:12" ht="157.69999999999999" x14ac:dyDescent="0.5">
      <c r="A16" s="1" t="s">
        <v>2942</v>
      </c>
      <c r="B16" s="3" t="s">
        <v>407</v>
      </c>
      <c r="C16" s="3" t="s">
        <v>123</v>
      </c>
      <c r="D16" s="3" t="s">
        <v>422</v>
      </c>
      <c r="E16" s="3" t="s">
        <v>858</v>
      </c>
      <c r="F16" s="26">
        <v>43435</v>
      </c>
      <c r="G16" s="1">
        <v>2018</v>
      </c>
      <c r="H16" s="1" t="s">
        <v>61</v>
      </c>
      <c r="I16" s="3" t="s">
        <v>123</v>
      </c>
      <c r="J16" s="1" t="s">
        <v>2515</v>
      </c>
      <c r="K16" s="1" t="s">
        <v>434</v>
      </c>
      <c r="L16" s="1" t="b">
        <v>1</v>
      </c>
    </row>
    <row r="17" spans="1:12" ht="28.7" x14ac:dyDescent="0.5">
      <c r="A17" s="1" t="s">
        <v>2943</v>
      </c>
      <c r="B17" s="3" t="s">
        <v>896</v>
      </c>
      <c r="C17" s="3" t="s">
        <v>123</v>
      </c>
      <c r="D17" s="3" t="s">
        <v>899</v>
      </c>
      <c r="E17" s="3" t="s">
        <v>897</v>
      </c>
      <c r="F17" s="26">
        <v>44967</v>
      </c>
      <c r="G17" s="1">
        <v>2023</v>
      </c>
      <c r="H17" s="1" t="s">
        <v>62</v>
      </c>
      <c r="I17" s="3" t="s">
        <v>123</v>
      </c>
      <c r="J17" s="1" t="s">
        <v>2515</v>
      </c>
      <c r="K17" s="1" t="s">
        <v>898</v>
      </c>
      <c r="L17" s="1" t="b">
        <v>1</v>
      </c>
    </row>
    <row r="18" spans="1:12" ht="57.35" x14ac:dyDescent="0.5">
      <c r="A18" s="1" t="s">
        <v>2944</v>
      </c>
      <c r="B18" s="3" t="s">
        <v>409</v>
      </c>
      <c r="C18" s="3" t="s">
        <v>123</v>
      </c>
      <c r="D18" s="3" t="s">
        <v>424</v>
      </c>
      <c r="E18" s="3" t="s">
        <v>860</v>
      </c>
      <c r="F18" s="26">
        <v>43448</v>
      </c>
      <c r="G18" s="1">
        <v>2018</v>
      </c>
      <c r="H18" s="1" t="s">
        <v>62</v>
      </c>
      <c r="I18" s="3" t="s">
        <v>123</v>
      </c>
      <c r="J18" s="1" t="s">
        <v>2515</v>
      </c>
      <c r="K18" s="1" t="s">
        <v>436</v>
      </c>
      <c r="L18" s="1" t="b">
        <v>1</v>
      </c>
    </row>
    <row r="19" spans="1:12" ht="28.7" x14ac:dyDescent="0.5">
      <c r="A19" s="1" t="s">
        <v>2945</v>
      </c>
      <c r="B19" s="3" t="s">
        <v>887</v>
      </c>
      <c r="C19" s="3" t="s">
        <v>123</v>
      </c>
      <c r="D19" s="3" t="s">
        <v>123</v>
      </c>
      <c r="E19" s="3" t="s">
        <v>888</v>
      </c>
      <c r="F19" s="26">
        <v>45537</v>
      </c>
      <c r="G19" s="1">
        <v>2024</v>
      </c>
      <c r="H19" s="1" t="s">
        <v>62</v>
      </c>
      <c r="I19" s="3" t="s">
        <v>123</v>
      </c>
      <c r="J19" s="1" t="s">
        <v>2515</v>
      </c>
      <c r="K19" s="1" t="s">
        <v>889</v>
      </c>
      <c r="L19" s="1" t="b">
        <v>1</v>
      </c>
    </row>
    <row r="20" spans="1:12" ht="186.35" x14ac:dyDescent="0.5">
      <c r="A20" s="1" t="s">
        <v>2946</v>
      </c>
      <c r="B20" s="3" t="s">
        <v>405</v>
      </c>
      <c r="C20" s="3" t="s">
        <v>868</v>
      </c>
      <c r="D20" s="3" t="s">
        <v>420</v>
      </c>
      <c r="E20" s="3" t="s">
        <v>855</v>
      </c>
      <c r="F20" s="26">
        <v>44562</v>
      </c>
      <c r="G20" s="1">
        <v>2022</v>
      </c>
      <c r="H20" s="1" t="s">
        <v>61</v>
      </c>
      <c r="I20" s="3" t="s">
        <v>2947</v>
      </c>
      <c r="J20" s="1" t="s">
        <v>2515</v>
      </c>
      <c r="K20" s="1" t="s">
        <v>432</v>
      </c>
      <c r="L20" s="1" t="b">
        <v>1</v>
      </c>
    </row>
    <row r="21" spans="1:12" ht="28.7" x14ac:dyDescent="0.5">
      <c r="A21" s="1" t="s">
        <v>2948</v>
      </c>
      <c r="B21" s="3" t="s">
        <v>890</v>
      </c>
      <c r="C21" s="3" t="s">
        <v>123</v>
      </c>
      <c r="D21" s="3" t="s">
        <v>123</v>
      </c>
      <c r="E21" s="3" t="s">
        <v>891</v>
      </c>
      <c r="F21" s="26">
        <v>45561</v>
      </c>
      <c r="G21" s="1">
        <v>2024</v>
      </c>
      <c r="H21" s="1" t="s">
        <v>62</v>
      </c>
      <c r="I21" s="3" t="s">
        <v>123</v>
      </c>
      <c r="J21" s="1" t="s">
        <v>2515</v>
      </c>
      <c r="K21" s="1" t="s">
        <v>892</v>
      </c>
      <c r="L21" s="1" t="b">
        <v>1</v>
      </c>
    </row>
    <row r="22" spans="1:12" ht="358.35" x14ac:dyDescent="0.5">
      <c r="A22" s="1" t="s">
        <v>2949</v>
      </c>
      <c r="B22" s="3" t="s">
        <v>402</v>
      </c>
      <c r="C22" s="3" t="s">
        <v>414</v>
      </c>
      <c r="D22" s="3" t="s">
        <v>417</v>
      </c>
      <c r="E22" s="3" t="s">
        <v>855</v>
      </c>
      <c r="F22" s="26">
        <v>43831</v>
      </c>
      <c r="G22" s="1">
        <v>2020</v>
      </c>
      <c r="H22" s="1" t="s">
        <v>61</v>
      </c>
      <c r="I22" s="3" t="s">
        <v>2950</v>
      </c>
      <c r="J22" s="1" t="s">
        <v>2515</v>
      </c>
      <c r="K22" s="1" t="s">
        <v>429</v>
      </c>
      <c r="L22" s="1" t="b">
        <v>1</v>
      </c>
    </row>
    <row r="23" spans="1:12" ht="28.7" x14ac:dyDescent="0.5">
      <c r="A23" s="1" t="s">
        <v>2951</v>
      </c>
      <c r="B23" s="3" t="s">
        <v>881</v>
      </c>
      <c r="C23" s="3" t="s">
        <v>123</v>
      </c>
      <c r="D23" s="3" t="s">
        <v>123</v>
      </c>
      <c r="E23" s="3" t="s">
        <v>891</v>
      </c>
      <c r="F23" s="26">
        <v>45561</v>
      </c>
      <c r="G23" s="1">
        <v>2024</v>
      </c>
      <c r="H23" s="1" t="s">
        <v>62</v>
      </c>
      <c r="I23" s="3" t="s">
        <v>123</v>
      </c>
      <c r="J23" s="1" t="s">
        <v>2515</v>
      </c>
      <c r="K23" s="1" t="s">
        <v>905</v>
      </c>
      <c r="L23" s="1" t="b">
        <v>1</v>
      </c>
    </row>
    <row r="24" spans="1:12" ht="28.7" x14ac:dyDescent="0.5">
      <c r="A24" s="1" t="s">
        <v>2952</v>
      </c>
      <c r="B24" s="3" t="s">
        <v>412</v>
      </c>
      <c r="C24" s="3" t="s">
        <v>123</v>
      </c>
      <c r="D24" s="3" t="s">
        <v>426</v>
      </c>
      <c r="E24" s="3" t="s">
        <v>863</v>
      </c>
      <c r="F24" s="26">
        <v>44075</v>
      </c>
      <c r="G24" s="1">
        <v>2020</v>
      </c>
      <c r="H24" s="1" t="s">
        <v>62</v>
      </c>
      <c r="I24" s="3" t="s">
        <v>123</v>
      </c>
      <c r="J24" s="1" t="s">
        <v>2515</v>
      </c>
      <c r="K24" s="1" t="s">
        <v>439</v>
      </c>
      <c r="L24" s="1" t="b">
        <v>1</v>
      </c>
    </row>
    <row r="25" spans="1:12" ht="28.7" x14ac:dyDescent="0.5">
      <c r="A25" s="1" t="s">
        <v>2953</v>
      </c>
      <c r="B25" s="3" t="s">
        <v>881</v>
      </c>
      <c r="C25" s="3" t="s">
        <v>123</v>
      </c>
      <c r="D25" s="3" t="s">
        <v>123</v>
      </c>
      <c r="E25" s="3" t="s">
        <v>882</v>
      </c>
      <c r="F25" s="26">
        <v>45421</v>
      </c>
      <c r="G25" s="1">
        <v>2024</v>
      </c>
      <c r="H25" s="1" t="s">
        <v>62</v>
      </c>
      <c r="I25" s="3" t="s">
        <v>123</v>
      </c>
      <c r="J25" s="1" t="s">
        <v>2515</v>
      </c>
      <c r="K25" s="1" t="s">
        <v>883</v>
      </c>
      <c r="L25" s="1" t="b">
        <v>1</v>
      </c>
    </row>
    <row r="26" spans="1:12" ht="43" x14ac:dyDescent="0.5">
      <c r="A26" s="1" t="s">
        <v>2954</v>
      </c>
      <c r="B26" s="3" t="s">
        <v>406</v>
      </c>
      <c r="C26" s="3" t="s">
        <v>123</v>
      </c>
      <c r="D26" s="3" t="s">
        <v>421</v>
      </c>
      <c r="E26" s="3" t="s">
        <v>877</v>
      </c>
      <c r="F26" s="26">
        <v>44805</v>
      </c>
      <c r="G26" s="1">
        <v>2022</v>
      </c>
      <c r="H26" s="1" t="s">
        <v>62</v>
      </c>
      <c r="I26" s="3" t="s">
        <v>123</v>
      </c>
      <c r="J26" s="1" t="s">
        <v>2515</v>
      </c>
      <c r="K26" s="1" t="s">
        <v>433</v>
      </c>
      <c r="L26" s="1" t="b">
        <v>1</v>
      </c>
    </row>
    <row r="27" spans="1:12" ht="229.35" x14ac:dyDescent="0.5">
      <c r="A27" s="1" t="s">
        <v>2955</v>
      </c>
      <c r="B27" s="3" t="s">
        <v>404</v>
      </c>
      <c r="C27" s="3" t="s">
        <v>415</v>
      </c>
      <c r="D27" s="3" t="s">
        <v>419</v>
      </c>
      <c r="E27" s="3" t="s">
        <v>855</v>
      </c>
      <c r="F27" s="26">
        <v>44562</v>
      </c>
      <c r="G27" s="1">
        <v>2022</v>
      </c>
      <c r="H27" s="1" t="s">
        <v>61</v>
      </c>
      <c r="I27" s="3" t="s">
        <v>2956</v>
      </c>
      <c r="J27" s="1" t="s">
        <v>2515</v>
      </c>
      <c r="K27" s="1" t="s">
        <v>431</v>
      </c>
      <c r="L27" s="1" t="b">
        <v>1</v>
      </c>
    </row>
    <row r="28" spans="1:12" ht="272.35000000000002" x14ac:dyDescent="0.5">
      <c r="A28" s="1" t="s">
        <v>2957</v>
      </c>
      <c r="B28" s="3" t="s">
        <v>403</v>
      </c>
      <c r="C28" s="3" t="s">
        <v>857</v>
      </c>
      <c r="D28" s="3" t="s">
        <v>418</v>
      </c>
      <c r="E28" s="3" t="s">
        <v>855</v>
      </c>
      <c r="F28" s="26">
        <v>42736</v>
      </c>
      <c r="G28" s="1">
        <v>2017</v>
      </c>
      <c r="H28" s="1" t="s">
        <v>61</v>
      </c>
      <c r="I28" s="3" t="s">
        <v>2958</v>
      </c>
      <c r="J28" s="1" t="s">
        <v>2515</v>
      </c>
      <c r="K28" s="1" t="s">
        <v>430</v>
      </c>
      <c r="L28" s="1" t="b">
        <v>1</v>
      </c>
    </row>
    <row r="29" spans="1:12" x14ac:dyDescent="0.5">
      <c r="A29" s="1" t="s">
        <v>2959</v>
      </c>
      <c r="B29" s="3" t="s">
        <v>411</v>
      </c>
      <c r="C29" s="3" t="s">
        <v>123</v>
      </c>
      <c r="D29" s="3" t="s">
        <v>425</v>
      </c>
      <c r="E29" s="3" t="s">
        <v>862</v>
      </c>
      <c r="F29" s="26">
        <v>43435</v>
      </c>
      <c r="G29" s="1">
        <v>2018</v>
      </c>
      <c r="H29" s="1" t="s">
        <v>61</v>
      </c>
      <c r="I29" s="3" t="s">
        <v>123</v>
      </c>
      <c r="J29" s="1" t="s">
        <v>2515</v>
      </c>
      <c r="K29" s="1" t="s">
        <v>438</v>
      </c>
      <c r="L29" s="1" t="b">
        <v>1</v>
      </c>
    </row>
    <row r="30" spans="1:12" ht="28.7" x14ac:dyDescent="0.5">
      <c r="A30" s="1" t="s">
        <v>2960</v>
      </c>
      <c r="B30" s="3" t="s">
        <v>900</v>
      </c>
      <c r="C30" s="3" t="s">
        <v>123</v>
      </c>
      <c r="D30" s="3" t="s">
        <v>123</v>
      </c>
      <c r="E30" s="3" t="s">
        <v>891</v>
      </c>
      <c r="F30" s="26">
        <v>45561</v>
      </c>
      <c r="G30" s="1">
        <v>2024</v>
      </c>
      <c r="H30" s="1" t="s">
        <v>62</v>
      </c>
      <c r="I30" s="3" t="s">
        <v>123</v>
      </c>
      <c r="J30" s="1" t="s">
        <v>2515</v>
      </c>
      <c r="K30" s="1" t="s">
        <v>901</v>
      </c>
      <c r="L30" s="1" t="b">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CBFC-D166-47EF-AB30-6B18D0D7FA6C}">
  <sheetPr codeName="Sheet16"/>
  <dimension ref="A1:L358"/>
  <sheetViews>
    <sheetView zoomScaleNormal="100" workbookViewId="0">
      <selection activeCell="B1" sqref="B1"/>
    </sheetView>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15" x14ac:dyDescent="0.5">
      <c r="A2" s="1" t="s">
        <v>3006</v>
      </c>
      <c r="B2" s="3" t="s">
        <v>2184</v>
      </c>
      <c r="C2" s="3" t="s">
        <v>2183</v>
      </c>
      <c r="D2" s="3" t="s">
        <v>2186</v>
      </c>
      <c r="E2" s="3" t="s">
        <v>1014</v>
      </c>
      <c r="F2" s="26">
        <v>43435</v>
      </c>
      <c r="G2" s="1">
        <v>2018</v>
      </c>
      <c r="H2" s="1" t="s">
        <v>61</v>
      </c>
      <c r="I2" s="3" t="s">
        <v>3007</v>
      </c>
      <c r="J2" s="1" t="s">
        <v>2515</v>
      </c>
      <c r="K2" s="1" t="s">
        <v>2185</v>
      </c>
      <c r="L2" s="1" t="b">
        <v>1</v>
      </c>
    </row>
    <row r="3" spans="1:12" ht="229.35" x14ac:dyDescent="0.5">
      <c r="A3" s="1" t="s">
        <v>3008</v>
      </c>
      <c r="B3" s="3" t="s">
        <v>965</v>
      </c>
      <c r="C3" s="3" t="s">
        <v>966</v>
      </c>
      <c r="D3" s="3" t="s">
        <v>963</v>
      </c>
      <c r="E3" s="3" t="s">
        <v>962</v>
      </c>
      <c r="F3" s="26">
        <v>44958</v>
      </c>
      <c r="G3" s="1">
        <v>2023</v>
      </c>
      <c r="H3" s="1" t="s">
        <v>61</v>
      </c>
      <c r="I3" s="3" t="s">
        <v>3009</v>
      </c>
      <c r="J3" s="1" t="s">
        <v>2515</v>
      </c>
      <c r="K3" s="1" t="s">
        <v>964</v>
      </c>
      <c r="L3" s="1" t="b">
        <v>1</v>
      </c>
    </row>
    <row r="4" spans="1:12" ht="157.69999999999999" x14ac:dyDescent="0.5">
      <c r="A4" s="1" t="s">
        <v>3010</v>
      </c>
      <c r="B4" s="3" t="s">
        <v>1270</v>
      </c>
      <c r="C4" s="3" t="s">
        <v>1269</v>
      </c>
      <c r="D4" s="3" t="s">
        <v>1272</v>
      </c>
      <c r="E4" s="3" t="s">
        <v>954</v>
      </c>
      <c r="F4" s="26">
        <v>44561</v>
      </c>
      <c r="G4" s="1">
        <v>2021</v>
      </c>
      <c r="H4" s="1" t="s">
        <v>61</v>
      </c>
      <c r="I4" s="3" t="s">
        <v>3011</v>
      </c>
      <c r="J4" s="1" t="s">
        <v>2515</v>
      </c>
      <c r="K4" s="1" t="s">
        <v>1271</v>
      </c>
      <c r="L4" s="1" t="b">
        <v>1</v>
      </c>
    </row>
    <row r="5" spans="1:12" ht="286.7" x14ac:dyDescent="0.5">
      <c r="A5" s="1" t="s">
        <v>3012</v>
      </c>
      <c r="B5" s="3" t="s">
        <v>1103</v>
      </c>
      <c r="C5" s="3" t="s">
        <v>1102</v>
      </c>
      <c r="D5" s="3" t="s">
        <v>1106</v>
      </c>
      <c r="E5" s="3" t="s">
        <v>1104</v>
      </c>
      <c r="F5" s="26">
        <v>44774</v>
      </c>
      <c r="G5" s="1">
        <v>2022</v>
      </c>
      <c r="H5" s="1" t="s">
        <v>61</v>
      </c>
      <c r="I5" s="3" t="s">
        <v>3013</v>
      </c>
      <c r="J5" s="1" t="s">
        <v>2515</v>
      </c>
      <c r="K5" s="1" t="s">
        <v>1105</v>
      </c>
      <c r="L5" s="1" t="b">
        <v>1</v>
      </c>
    </row>
    <row r="6" spans="1:12" ht="315.35000000000002" x14ac:dyDescent="0.5">
      <c r="A6" s="1" t="s">
        <v>3014</v>
      </c>
      <c r="B6" s="3" t="s">
        <v>1175</v>
      </c>
      <c r="C6" s="3" t="s">
        <v>1174</v>
      </c>
      <c r="D6" s="3" t="s">
        <v>1177</v>
      </c>
      <c r="E6" s="3" t="s">
        <v>959</v>
      </c>
      <c r="F6" s="26">
        <v>45261</v>
      </c>
      <c r="G6" s="1">
        <v>2023</v>
      </c>
      <c r="H6" s="1" t="s">
        <v>61</v>
      </c>
      <c r="I6" s="3" t="s">
        <v>3015</v>
      </c>
      <c r="J6" s="1" t="s">
        <v>2515</v>
      </c>
      <c r="K6" s="1" t="s">
        <v>1176</v>
      </c>
      <c r="L6" s="1" t="b">
        <v>1</v>
      </c>
    </row>
    <row r="7" spans="1:12" ht="329.7" x14ac:dyDescent="0.5">
      <c r="A7" s="1" t="s">
        <v>3016</v>
      </c>
      <c r="B7" s="3" t="s">
        <v>1227</v>
      </c>
      <c r="C7" s="3" t="s">
        <v>1226</v>
      </c>
      <c r="D7" s="3" t="s">
        <v>1229</v>
      </c>
      <c r="E7" s="3" t="s">
        <v>938</v>
      </c>
      <c r="F7" s="26">
        <v>45139</v>
      </c>
      <c r="G7" s="1">
        <v>2023</v>
      </c>
      <c r="H7" s="1" t="s">
        <v>61</v>
      </c>
      <c r="I7" s="3" t="s">
        <v>3017</v>
      </c>
      <c r="J7" s="1" t="s">
        <v>2515</v>
      </c>
      <c r="K7" s="1" t="s">
        <v>1228</v>
      </c>
      <c r="L7" s="1" t="b">
        <v>1</v>
      </c>
    </row>
    <row r="8" spans="1:12" ht="229.35" x14ac:dyDescent="0.5">
      <c r="A8" s="1" t="s">
        <v>3018</v>
      </c>
      <c r="B8" s="3" t="s">
        <v>1475</v>
      </c>
      <c r="C8" s="3" t="s">
        <v>1474</v>
      </c>
      <c r="D8" s="3" t="s">
        <v>1477</v>
      </c>
      <c r="E8" s="3" t="s">
        <v>938</v>
      </c>
      <c r="F8" s="26">
        <v>44866</v>
      </c>
      <c r="G8" s="1">
        <v>2022</v>
      </c>
      <c r="H8" s="1" t="s">
        <v>61</v>
      </c>
      <c r="I8" s="3" t="s">
        <v>3019</v>
      </c>
      <c r="J8" s="1" t="s">
        <v>2515</v>
      </c>
      <c r="K8" s="1" t="s">
        <v>1476</v>
      </c>
      <c r="L8" s="1" t="b">
        <v>1</v>
      </c>
    </row>
    <row r="9" spans="1:12" ht="301" x14ac:dyDescent="0.5">
      <c r="A9" s="1" t="s">
        <v>3020</v>
      </c>
      <c r="B9" s="3" t="s">
        <v>1134</v>
      </c>
      <c r="C9" s="3" t="s">
        <v>1133</v>
      </c>
      <c r="D9" s="3" t="s">
        <v>1136</v>
      </c>
      <c r="E9" s="3" t="s">
        <v>983</v>
      </c>
      <c r="F9" s="26">
        <v>44958</v>
      </c>
      <c r="G9" s="1">
        <v>2023</v>
      </c>
      <c r="H9" s="1" t="s">
        <v>61</v>
      </c>
      <c r="I9" s="3" t="s">
        <v>3021</v>
      </c>
      <c r="J9" s="1" t="s">
        <v>2515</v>
      </c>
      <c r="K9" s="1" t="s">
        <v>1135</v>
      </c>
      <c r="L9" s="1" t="b">
        <v>1</v>
      </c>
    </row>
    <row r="10" spans="1:12" ht="229.35" x14ac:dyDescent="0.5">
      <c r="A10" s="1" t="s">
        <v>3022</v>
      </c>
      <c r="B10" s="3" t="s">
        <v>1868</v>
      </c>
      <c r="C10" s="3" t="s">
        <v>331</v>
      </c>
      <c r="D10" s="3" t="s">
        <v>1870</v>
      </c>
      <c r="E10" s="3" t="s">
        <v>956</v>
      </c>
      <c r="F10" s="26">
        <v>42278</v>
      </c>
      <c r="G10" s="1">
        <v>2015</v>
      </c>
      <c r="H10" s="1" t="s">
        <v>61</v>
      </c>
      <c r="I10" s="3" t="s">
        <v>3023</v>
      </c>
      <c r="J10" s="1" t="s">
        <v>2515</v>
      </c>
      <c r="K10" s="1" t="s">
        <v>1869</v>
      </c>
      <c r="L10" s="1" t="b">
        <v>1</v>
      </c>
    </row>
    <row r="11" spans="1:12" ht="229.35" x14ac:dyDescent="0.5">
      <c r="A11" s="1" t="s">
        <v>3024</v>
      </c>
      <c r="B11" s="3" t="s">
        <v>318</v>
      </c>
      <c r="C11" s="3" t="s">
        <v>343</v>
      </c>
      <c r="D11" s="3" t="s">
        <v>368</v>
      </c>
      <c r="E11" s="3" t="s">
        <v>943</v>
      </c>
      <c r="F11" s="26">
        <v>42248</v>
      </c>
      <c r="G11" s="1">
        <v>2015</v>
      </c>
      <c r="H11" s="1" t="s">
        <v>61</v>
      </c>
      <c r="I11" s="3" t="s">
        <v>3025</v>
      </c>
      <c r="J11" s="1" t="s">
        <v>2515</v>
      </c>
      <c r="K11" s="1" t="s">
        <v>393</v>
      </c>
      <c r="L11" s="1" t="b">
        <v>1</v>
      </c>
    </row>
    <row r="12" spans="1:12" ht="315.35000000000002" x14ac:dyDescent="0.5">
      <c r="A12" s="1" t="s">
        <v>3026</v>
      </c>
      <c r="B12" s="3" t="s">
        <v>1299</v>
      </c>
      <c r="C12" s="3" t="s">
        <v>1298</v>
      </c>
      <c r="D12" s="3" t="s">
        <v>1302</v>
      </c>
      <c r="E12" s="3" t="s">
        <v>1300</v>
      </c>
      <c r="F12" s="26">
        <v>45536</v>
      </c>
      <c r="G12" s="1">
        <v>2024</v>
      </c>
      <c r="H12" s="1" t="s">
        <v>61</v>
      </c>
      <c r="I12" s="3" t="s">
        <v>3027</v>
      </c>
      <c r="J12" s="1" t="s">
        <v>2515</v>
      </c>
      <c r="K12" s="1" t="s">
        <v>1301</v>
      </c>
      <c r="L12" s="1" t="b">
        <v>1</v>
      </c>
    </row>
    <row r="13" spans="1:12" ht="215" x14ac:dyDescent="0.5">
      <c r="A13" s="1" t="s">
        <v>3028</v>
      </c>
      <c r="B13" s="3" t="s">
        <v>1487</v>
      </c>
      <c r="C13" s="3" t="s">
        <v>1486</v>
      </c>
      <c r="D13" s="3" t="s">
        <v>1489</v>
      </c>
      <c r="E13" s="3" t="s">
        <v>918</v>
      </c>
      <c r="F13" s="26">
        <v>44910</v>
      </c>
      <c r="G13" s="1">
        <v>2022</v>
      </c>
      <c r="H13" s="1" t="s">
        <v>61</v>
      </c>
      <c r="I13" s="3" t="s">
        <v>3029</v>
      </c>
      <c r="J13" s="1" t="s">
        <v>2515</v>
      </c>
      <c r="K13" s="1" t="s">
        <v>1488</v>
      </c>
      <c r="L13" s="1" t="b">
        <v>1</v>
      </c>
    </row>
    <row r="14" spans="1:12" ht="243.7" x14ac:dyDescent="0.5">
      <c r="A14" s="1" t="s">
        <v>3030</v>
      </c>
      <c r="B14" s="3" t="s">
        <v>2204</v>
      </c>
      <c r="C14" s="3" t="s">
        <v>2203</v>
      </c>
      <c r="D14" s="3" t="s">
        <v>2206</v>
      </c>
      <c r="E14" s="3" t="s">
        <v>995</v>
      </c>
      <c r="F14" s="26">
        <v>43405</v>
      </c>
      <c r="G14" s="1">
        <v>2018</v>
      </c>
      <c r="H14" s="1" t="s">
        <v>61</v>
      </c>
      <c r="I14" s="3" t="s">
        <v>3031</v>
      </c>
      <c r="J14" s="1" t="s">
        <v>2515</v>
      </c>
      <c r="K14" s="1" t="s">
        <v>2205</v>
      </c>
      <c r="L14" s="1" t="b">
        <v>1</v>
      </c>
    </row>
    <row r="15" spans="1:12" ht="157.69999999999999" x14ac:dyDescent="0.5">
      <c r="A15" s="1" t="s">
        <v>3032</v>
      </c>
      <c r="B15" s="3" t="s">
        <v>1901</v>
      </c>
      <c r="C15" s="3" t="s">
        <v>1900</v>
      </c>
      <c r="D15" s="3" t="s">
        <v>1903</v>
      </c>
      <c r="E15" s="3" t="s">
        <v>1386</v>
      </c>
      <c r="F15" s="26">
        <v>45292</v>
      </c>
      <c r="G15" s="1">
        <v>2024</v>
      </c>
      <c r="H15" s="1" t="s">
        <v>61</v>
      </c>
      <c r="I15" s="3" t="s">
        <v>3033</v>
      </c>
      <c r="J15" s="1" t="s">
        <v>2515</v>
      </c>
      <c r="K15" s="1" t="s">
        <v>1902</v>
      </c>
      <c r="L15" s="1" t="b">
        <v>1</v>
      </c>
    </row>
    <row r="16" spans="1:12" ht="358.35" x14ac:dyDescent="0.5">
      <c r="A16" s="1" t="s">
        <v>3034</v>
      </c>
      <c r="B16" s="3" t="s">
        <v>2422</v>
      </c>
      <c r="C16" s="3" t="s">
        <v>2421</v>
      </c>
      <c r="D16" s="3" t="s">
        <v>2424</v>
      </c>
      <c r="E16" s="3" t="s">
        <v>954</v>
      </c>
      <c r="F16" s="26">
        <v>41432</v>
      </c>
      <c r="G16" s="1">
        <v>2013</v>
      </c>
      <c r="H16" s="1" t="s">
        <v>61</v>
      </c>
      <c r="I16" s="3" t="s">
        <v>3035</v>
      </c>
      <c r="J16" s="1" t="s">
        <v>2515</v>
      </c>
      <c r="K16" s="1" t="s">
        <v>2423</v>
      </c>
      <c r="L16" s="1" t="b">
        <v>1</v>
      </c>
    </row>
    <row r="17" spans="1:12" ht="215" x14ac:dyDescent="0.5">
      <c r="A17" s="1" t="s">
        <v>3036</v>
      </c>
      <c r="B17" s="3" t="s">
        <v>2172</v>
      </c>
      <c r="C17" s="3" t="s">
        <v>2171</v>
      </c>
      <c r="D17" s="3" t="s">
        <v>2174</v>
      </c>
      <c r="E17" s="3" t="s">
        <v>940</v>
      </c>
      <c r="F17" s="26">
        <v>44409</v>
      </c>
      <c r="G17" s="1">
        <v>2021</v>
      </c>
      <c r="H17" s="1" t="s">
        <v>61</v>
      </c>
      <c r="I17" s="3" t="s">
        <v>3037</v>
      </c>
      <c r="J17" s="1" t="s">
        <v>2515</v>
      </c>
      <c r="K17" s="1" t="s">
        <v>2173</v>
      </c>
      <c r="L17" s="1" t="b">
        <v>1</v>
      </c>
    </row>
    <row r="18" spans="1:12" ht="215" x14ac:dyDescent="0.5">
      <c r="A18" s="1" t="s">
        <v>3038</v>
      </c>
      <c r="B18" s="3" t="s">
        <v>1282</v>
      </c>
      <c r="C18" s="3" t="s">
        <v>1281</v>
      </c>
      <c r="D18" s="3" t="s">
        <v>1285</v>
      </c>
      <c r="E18" s="3" t="s">
        <v>1283</v>
      </c>
      <c r="F18" s="26">
        <v>45383</v>
      </c>
      <c r="G18" s="1">
        <v>2024</v>
      </c>
      <c r="H18" s="1" t="s">
        <v>61</v>
      </c>
      <c r="I18" s="3" t="s">
        <v>3039</v>
      </c>
      <c r="J18" s="1" t="s">
        <v>2515</v>
      </c>
      <c r="K18" s="1" t="s">
        <v>1284</v>
      </c>
      <c r="L18" s="1" t="b">
        <v>1</v>
      </c>
    </row>
    <row r="19" spans="1:12" ht="286.7" x14ac:dyDescent="0.5">
      <c r="A19" s="1" t="s">
        <v>3040</v>
      </c>
      <c r="B19" s="3" t="s">
        <v>1991</v>
      </c>
      <c r="C19" s="3" t="s">
        <v>1990</v>
      </c>
      <c r="D19" s="3" t="s">
        <v>1994</v>
      </c>
      <c r="E19" s="3" t="s">
        <v>1992</v>
      </c>
      <c r="F19" s="26">
        <v>45566</v>
      </c>
      <c r="G19" s="1">
        <v>2024</v>
      </c>
      <c r="H19" s="1" t="s">
        <v>61</v>
      </c>
      <c r="I19" s="3" t="s">
        <v>3041</v>
      </c>
      <c r="J19" s="1" t="s">
        <v>2515</v>
      </c>
      <c r="K19" s="1" t="s">
        <v>1993</v>
      </c>
      <c r="L19" s="1" t="b">
        <v>1</v>
      </c>
    </row>
    <row r="20" spans="1:12" ht="344" x14ac:dyDescent="0.5">
      <c r="A20" s="1" t="s">
        <v>3042</v>
      </c>
      <c r="B20" s="3" t="s">
        <v>1800</v>
      </c>
      <c r="C20" s="3" t="s">
        <v>1799</v>
      </c>
      <c r="D20" s="3" t="s">
        <v>1802</v>
      </c>
      <c r="E20" s="3" t="s">
        <v>938</v>
      </c>
      <c r="F20" s="26">
        <v>45566</v>
      </c>
      <c r="G20" s="1">
        <v>2024</v>
      </c>
      <c r="H20" s="1" t="s">
        <v>61</v>
      </c>
      <c r="I20" s="3" t="s">
        <v>3043</v>
      </c>
      <c r="J20" s="1" t="s">
        <v>2515</v>
      </c>
      <c r="K20" s="1" t="s">
        <v>1801</v>
      </c>
      <c r="L20" s="1" t="b">
        <v>1</v>
      </c>
    </row>
    <row r="21" spans="1:12" ht="329.7" x14ac:dyDescent="0.5">
      <c r="A21" s="1" t="s">
        <v>3044</v>
      </c>
      <c r="B21" s="3" t="s">
        <v>1278</v>
      </c>
      <c r="C21" s="3" t="s">
        <v>1277</v>
      </c>
      <c r="D21" s="3" t="s">
        <v>1280</v>
      </c>
      <c r="E21" s="3" t="s">
        <v>950</v>
      </c>
      <c r="F21" s="26">
        <v>44409</v>
      </c>
      <c r="G21" s="1">
        <v>2021</v>
      </c>
      <c r="H21" s="1" t="s">
        <v>61</v>
      </c>
      <c r="I21" s="3" t="s">
        <v>3045</v>
      </c>
      <c r="J21" s="1" t="s">
        <v>2515</v>
      </c>
      <c r="K21" s="1" t="s">
        <v>1279</v>
      </c>
      <c r="L21" s="1" t="b">
        <v>1</v>
      </c>
    </row>
    <row r="22" spans="1:12" ht="215" x14ac:dyDescent="0.5">
      <c r="A22" s="1" t="s">
        <v>3046</v>
      </c>
      <c r="B22" s="3" t="s">
        <v>1244</v>
      </c>
      <c r="C22" s="3" t="s">
        <v>1243</v>
      </c>
      <c r="D22" s="3" t="s">
        <v>1247</v>
      </c>
      <c r="E22" s="3" t="s">
        <v>1245</v>
      </c>
      <c r="F22" s="26">
        <v>44713</v>
      </c>
      <c r="G22" s="1">
        <v>2022</v>
      </c>
      <c r="H22" s="1" t="s">
        <v>61</v>
      </c>
      <c r="I22" s="3" t="s">
        <v>3047</v>
      </c>
      <c r="J22" s="1" t="s">
        <v>2515</v>
      </c>
      <c r="K22" s="1" t="s">
        <v>1246</v>
      </c>
      <c r="L22" s="1" t="b">
        <v>1</v>
      </c>
    </row>
    <row r="23" spans="1:12" ht="258" x14ac:dyDescent="0.5">
      <c r="A23" s="1" t="s">
        <v>3048</v>
      </c>
      <c r="B23" s="3" t="s">
        <v>1458</v>
      </c>
      <c r="C23" s="3" t="s">
        <v>1457</v>
      </c>
      <c r="D23" s="3" t="s">
        <v>1460</v>
      </c>
      <c r="E23" s="3" t="s">
        <v>938</v>
      </c>
      <c r="F23" s="26">
        <v>42979</v>
      </c>
      <c r="G23" s="1">
        <v>2017</v>
      </c>
      <c r="H23" s="1" t="s">
        <v>61</v>
      </c>
      <c r="I23" s="3" t="s">
        <v>3049</v>
      </c>
      <c r="J23" s="1" t="s">
        <v>2515</v>
      </c>
      <c r="K23" s="1" t="s">
        <v>1459</v>
      </c>
      <c r="L23" s="1" t="b">
        <v>1</v>
      </c>
    </row>
    <row r="24" spans="1:12" ht="272.35000000000002" x14ac:dyDescent="0.5">
      <c r="A24" s="1" t="s">
        <v>3050</v>
      </c>
      <c r="B24" s="3" t="s">
        <v>1077</v>
      </c>
      <c r="C24" s="3" t="s">
        <v>1076</v>
      </c>
      <c r="D24" s="3" t="s">
        <v>1079</v>
      </c>
      <c r="E24" s="3" t="s">
        <v>937</v>
      </c>
      <c r="F24" s="26">
        <v>45641</v>
      </c>
      <c r="G24" s="1">
        <v>2024</v>
      </c>
      <c r="H24" s="1" t="s">
        <v>61</v>
      </c>
      <c r="I24" s="3" t="s">
        <v>3051</v>
      </c>
      <c r="J24" s="1" t="s">
        <v>2515</v>
      </c>
      <c r="K24" s="1" t="s">
        <v>1078</v>
      </c>
      <c r="L24" s="1" t="b">
        <v>1</v>
      </c>
    </row>
    <row r="25" spans="1:12" ht="258" x14ac:dyDescent="0.5">
      <c r="A25" s="1" t="s">
        <v>3052</v>
      </c>
      <c r="B25" s="3" t="s">
        <v>2063</v>
      </c>
      <c r="C25" s="3" t="s">
        <v>2062</v>
      </c>
      <c r="D25" s="3" t="s">
        <v>2065</v>
      </c>
      <c r="E25" s="3" t="s">
        <v>942</v>
      </c>
      <c r="F25" s="26">
        <v>45425</v>
      </c>
      <c r="G25" s="1">
        <v>2024</v>
      </c>
      <c r="H25" s="1" t="s">
        <v>61</v>
      </c>
      <c r="I25" s="3" t="s">
        <v>3053</v>
      </c>
      <c r="J25" s="1" t="s">
        <v>2515</v>
      </c>
      <c r="K25" s="1" t="s">
        <v>2064</v>
      </c>
      <c r="L25" s="1" t="b">
        <v>1</v>
      </c>
    </row>
    <row r="26" spans="1:12" ht="157.69999999999999" x14ac:dyDescent="0.5">
      <c r="A26" s="1" t="s">
        <v>3054</v>
      </c>
      <c r="B26" s="3" t="s">
        <v>1917</v>
      </c>
      <c r="C26" s="3" t="s">
        <v>1916</v>
      </c>
      <c r="D26" s="3" t="s">
        <v>1919</v>
      </c>
      <c r="E26" s="3" t="s">
        <v>927</v>
      </c>
      <c r="F26" s="26">
        <v>44866</v>
      </c>
      <c r="G26" s="1">
        <v>2022</v>
      </c>
      <c r="H26" s="1" t="s">
        <v>61</v>
      </c>
      <c r="I26" s="3" t="s">
        <v>3055</v>
      </c>
      <c r="J26" s="1" t="s">
        <v>2515</v>
      </c>
      <c r="K26" s="1" t="s">
        <v>1918</v>
      </c>
      <c r="L26" s="1" t="b">
        <v>1</v>
      </c>
    </row>
    <row r="27" spans="1:12" ht="286.7" x14ac:dyDescent="0.5">
      <c r="A27" s="1" t="s">
        <v>3056</v>
      </c>
      <c r="B27" s="3" t="s">
        <v>2004</v>
      </c>
      <c r="C27" s="3" t="s">
        <v>2003</v>
      </c>
      <c r="D27" s="3" t="s">
        <v>2006</v>
      </c>
      <c r="E27" s="3" t="s">
        <v>939</v>
      </c>
      <c r="F27" s="26">
        <v>44423</v>
      </c>
      <c r="G27" s="1">
        <v>2021</v>
      </c>
      <c r="H27" s="1" t="s">
        <v>61</v>
      </c>
      <c r="I27" s="3" t="s">
        <v>3057</v>
      </c>
      <c r="J27" s="1" t="s">
        <v>2515</v>
      </c>
      <c r="K27" s="1" t="s">
        <v>2005</v>
      </c>
      <c r="L27" s="1" t="b">
        <v>1</v>
      </c>
    </row>
    <row r="28" spans="1:12" ht="200.7" x14ac:dyDescent="0.5">
      <c r="A28" s="1" t="s">
        <v>3058</v>
      </c>
      <c r="B28" s="3" t="s">
        <v>1195</v>
      </c>
      <c r="C28" s="3" t="s">
        <v>1194</v>
      </c>
      <c r="D28" s="3" t="s">
        <v>1197</v>
      </c>
      <c r="E28" s="3" t="s">
        <v>951</v>
      </c>
      <c r="F28" s="26">
        <v>45458</v>
      </c>
      <c r="G28" s="1">
        <v>2024</v>
      </c>
      <c r="H28" s="1" t="s">
        <v>61</v>
      </c>
      <c r="I28" s="3" t="s">
        <v>3059</v>
      </c>
      <c r="J28" s="1" t="s">
        <v>2515</v>
      </c>
      <c r="K28" s="1" t="s">
        <v>1196</v>
      </c>
      <c r="L28" s="1" t="b">
        <v>1</v>
      </c>
    </row>
    <row r="29" spans="1:12" ht="229.35" x14ac:dyDescent="0.5">
      <c r="A29" s="1" t="s">
        <v>3060</v>
      </c>
      <c r="B29" s="3" t="s">
        <v>304</v>
      </c>
      <c r="C29" s="3" t="s">
        <v>329</v>
      </c>
      <c r="D29" s="3" t="s">
        <v>354</v>
      </c>
      <c r="E29" s="3" t="s">
        <v>1014</v>
      </c>
      <c r="F29" s="26">
        <v>43040</v>
      </c>
      <c r="G29" s="1">
        <v>2017</v>
      </c>
      <c r="H29" s="1" t="s">
        <v>61</v>
      </c>
      <c r="I29" s="3" t="s">
        <v>3061</v>
      </c>
      <c r="J29" s="1" t="s">
        <v>2515</v>
      </c>
      <c r="K29" s="1" t="s">
        <v>379</v>
      </c>
      <c r="L29" s="1" t="b">
        <v>1</v>
      </c>
    </row>
    <row r="30" spans="1:12" ht="200.7" x14ac:dyDescent="0.5">
      <c r="A30" s="1" t="s">
        <v>3062</v>
      </c>
      <c r="B30" s="3" t="s">
        <v>1051</v>
      </c>
      <c r="C30" s="3" t="s">
        <v>1050</v>
      </c>
      <c r="D30" s="3" t="s">
        <v>1054</v>
      </c>
      <c r="E30" s="3" t="s">
        <v>1052</v>
      </c>
      <c r="F30" s="26">
        <v>44896</v>
      </c>
      <c r="G30" s="1">
        <v>2022</v>
      </c>
      <c r="H30" s="1" t="s">
        <v>61</v>
      </c>
      <c r="I30" s="3" t="s">
        <v>3063</v>
      </c>
      <c r="J30" s="1" t="s">
        <v>2515</v>
      </c>
      <c r="K30" s="1" t="s">
        <v>1053</v>
      </c>
      <c r="L30" s="1" t="b">
        <v>1</v>
      </c>
    </row>
    <row r="31" spans="1:12" ht="229.35" x14ac:dyDescent="0.5">
      <c r="A31" s="1" t="s">
        <v>3064</v>
      </c>
      <c r="B31" s="3" t="s">
        <v>1861</v>
      </c>
      <c r="C31" s="3" t="s">
        <v>1860</v>
      </c>
      <c r="D31" s="3" t="s">
        <v>1863</v>
      </c>
      <c r="E31" s="3" t="s">
        <v>996</v>
      </c>
      <c r="F31" s="26">
        <v>45383</v>
      </c>
      <c r="G31" s="1">
        <v>2024</v>
      </c>
      <c r="H31" s="1" t="s">
        <v>61</v>
      </c>
      <c r="I31" s="3" t="s">
        <v>3065</v>
      </c>
      <c r="J31" s="1" t="s">
        <v>2515</v>
      </c>
      <c r="K31" s="1" t="s">
        <v>1862</v>
      </c>
      <c r="L31" s="1" t="b">
        <v>1</v>
      </c>
    </row>
    <row r="32" spans="1:12" ht="172" x14ac:dyDescent="0.5">
      <c r="A32" s="1" t="s">
        <v>3066</v>
      </c>
      <c r="B32" s="3" t="s">
        <v>1735</v>
      </c>
      <c r="C32" s="3" t="s">
        <v>1734</v>
      </c>
      <c r="D32" s="3" t="s">
        <v>1737</v>
      </c>
      <c r="E32" s="3" t="s">
        <v>1003</v>
      </c>
      <c r="F32" s="26">
        <v>44927</v>
      </c>
      <c r="G32" s="1">
        <v>2023</v>
      </c>
      <c r="H32" s="1" t="s">
        <v>61</v>
      </c>
      <c r="I32" s="3" t="s">
        <v>3067</v>
      </c>
      <c r="J32" s="1" t="s">
        <v>2515</v>
      </c>
      <c r="K32" s="1" t="s">
        <v>1736</v>
      </c>
      <c r="L32" s="1" t="b">
        <v>1</v>
      </c>
    </row>
    <row r="33" spans="1:12" ht="157.69999999999999" x14ac:dyDescent="0.5">
      <c r="A33" s="1" t="s">
        <v>3068</v>
      </c>
      <c r="B33" s="3" t="s">
        <v>1426</v>
      </c>
      <c r="C33" s="3" t="s">
        <v>1425</v>
      </c>
      <c r="D33" s="3" t="s">
        <v>1428</v>
      </c>
      <c r="E33" s="3" t="s">
        <v>941</v>
      </c>
      <c r="F33" s="26">
        <v>44105</v>
      </c>
      <c r="G33" s="1">
        <v>2020</v>
      </c>
      <c r="H33" s="1" t="s">
        <v>61</v>
      </c>
      <c r="I33" s="3" t="s">
        <v>3069</v>
      </c>
      <c r="J33" s="1" t="s">
        <v>2515</v>
      </c>
      <c r="K33" s="1" t="s">
        <v>1427</v>
      </c>
      <c r="L33" s="1" t="b">
        <v>1</v>
      </c>
    </row>
    <row r="34" spans="1:12" ht="200.7" x14ac:dyDescent="0.5">
      <c r="A34" s="1" t="s">
        <v>3070</v>
      </c>
      <c r="B34" s="3" t="s">
        <v>1524</v>
      </c>
      <c r="C34" s="3" t="s">
        <v>1523</v>
      </c>
      <c r="D34" s="3" t="s">
        <v>1527</v>
      </c>
      <c r="E34" s="3" t="s">
        <v>1525</v>
      </c>
      <c r="F34" s="26">
        <v>43800</v>
      </c>
      <c r="G34" s="1">
        <v>2019</v>
      </c>
      <c r="H34" s="1" t="s">
        <v>61</v>
      </c>
      <c r="I34" s="3" t="s">
        <v>3071</v>
      </c>
      <c r="J34" s="1" t="s">
        <v>2515</v>
      </c>
      <c r="K34" s="1" t="s">
        <v>1526</v>
      </c>
      <c r="L34" s="1" t="b">
        <v>1</v>
      </c>
    </row>
    <row r="35" spans="1:12" ht="172" x14ac:dyDescent="0.5">
      <c r="A35" s="1" t="s">
        <v>3072</v>
      </c>
      <c r="B35" s="3" t="s">
        <v>1934</v>
      </c>
      <c r="C35" s="3" t="s">
        <v>1933</v>
      </c>
      <c r="D35" s="3" t="s">
        <v>1936</v>
      </c>
      <c r="E35" s="3" t="s">
        <v>1008</v>
      </c>
      <c r="F35" s="26">
        <v>45383</v>
      </c>
      <c r="G35" s="1">
        <v>2024</v>
      </c>
      <c r="H35" s="1" t="s">
        <v>61</v>
      </c>
      <c r="I35" s="3" t="s">
        <v>3073</v>
      </c>
      <c r="J35" s="1" t="s">
        <v>2515</v>
      </c>
      <c r="K35" s="1" t="s">
        <v>1935</v>
      </c>
      <c r="L35" s="1" t="b">
        <v>1</v>
      </c>
    </row>
    <row r="36" spans="1:12" ht="186.35" x14ac:dyDescent="0.5">
      <c r="A36" s="1" t="s">
        <v>3074</v>
      </c>
      <c r="B36" s="3" t="s">
        <v>1543</v>
      </c>
      <c r="C36" s="3" t="s">
        <v>1542</v>
      </c>
      <c r="D36" s="3" t="s">
        <v>1545</v>
      </c>
      <c r="E36" s="3" t="s">
        <v>928</v>
      </c>
      <c r="F36" s="26">
        <v>43252</v>
      </c>
      <c r="G36" s="1">
        <v>2018</v>
      </c>
      <c r="H36" s="1" t="s">
        <v>61</v>
      </c>
      <c r="I36" s="3" t="s">
        <v>3075</v>
      </c>
      <c r="J36" s="1" t="s">
        <v>2515</v>
      </c>
      <c r="K36" s="1" t="s">
        <v>1544</v>
      </c>
      <c r="L36" s="1" t="b">
        <v>1</v>
      </c>
    </row>
    <row r="37" spans="1:12" ht="143.35" x14ac:dyDescent="0.5">
      <c r="A37" s="1" t="s">
        <v>3076</v>
      </c>
      <c r="B37" s="3" t="s">
        <v>2101</v>
      </c>
      <c r="C37" s="3" t="s">
        <v>2100</v>
      </c>
      <c r="D37" s="3" t="s">
        <v>2104</v>
      </c>
      <c r="E37" s="3" t="s">
        <v>2102</v>
      </c>
      <c r="F37" s="26">
        <v>42095</v>
      </c>
      <c r="G37" s="1">
        <v>2015</v>
      </c>
      <c r="H37" s="1" t="s">
        <v>61</v>
      </c>
      <c r="I37" s="3" t="s">
        <v>3077</v>
      </c>
      <c r="J37" s="1" t="s">
        <v>2515</v>
      </c>
      <c r="K37" s="1" t="s">
        <v>2103</v>
      </c>
      <c r="L37" s="1" t="b">
        <v>1</v>
      </c>
    </row>
    <row r="38" spans="1:12" ht="243.7" x14ac:dyDescent="0.5">
      <c r="A38" s="1" t="s">
        <v>3078</v>
      </c>
      <c r="B38" s="3" t="s">
        <v>2012</v>
      </c>
      <c r="C38" s="3" t="s">
        <v>2011</v>
      </c>
      <c r="D38" s="3" t="s">
        <v>2014</v>
      </c>
      <c r="E38" s="3" t="s">
        <v>944</v>
      </c>
      <c r="F38" s="26">
        <v>44470</v>
      </c>
      <c r="G38" s="1">
        <v>2021</v>
      </c>
      <c r="H38" s="1" t="s">
        <v>61</v>
      </c>
      <c r="I38" s="3" t="s">
        <v>3079</v>
      </c>
      <c r="J38" s="1" t="s">
        <v>2515</v>
      </c>
      <c r="K38" s="1" t="s">
        <v>2013</v>
      </c>
      <c r="L38" s="1" t="b">
        <v>1</v>
      </c>
    </row>
    <row r="39" spans="1:12" ht="229.35" x14ac:dyDescent="0.5">
      <c r="A39" s="1" t="s">
        <v>3080</v>
      </c>
      <c r="B39" s="3" t="s">
        <v>2347</v>
      </c>
      <c r="C39" s="3" t="s">
        <v>2346</v>
      </c>
      <c r="D39" s="3" t="s">
        <v>2349</v>
      </c>
      <c r="E39" s="3" t="s">
        <v>931</v>
      </c>
      <c r="F39" s="26">
        <v>43784</v>
      </c>
      <c r="G39" s="1">
        <v>2019</v>
      </c>
      <c r="H39" s="1" t="s">
        <v>61</v>
      </c>
      <c r="I39" s="3" t="s">
        <v>3081</v>
      </c>
      <c r="J39" s="1" t="s">
        <v>2515</v>
      </c>
      <c r="K39" s="1" t="s">
        <v>2348</v>
      </c>
      <c r="L39" s="1" t="b">
        <v>1</v>
      </c>
    </row>
    <row r="40" spans="1:12" ht="200.7" x14ac:dyDescent="0.5">
      <c r="A40" s="1" t="s">
        <v>3082</v>
      </c>
      <c r="B40" s="3" t="s">
        <v>2168</v>
      </c>
      <c r="C40" s="3" t="s">
        <v>2167</v>
      </c>
      <c r="D40" s="3" t="s">
        <v>2170</v>
      </c>
      <c r="E40" s="3" t="s">
        <v>920</v>
      </c>
      <c r="F40" s="26">
        <v>42343</v>
      </c>
      <c r="G40" s="1">
        <v>2015</v>
      </c>
      <c r="H40" s="1" t="s">
        <v>61</v>
      </c>
      <c r="I40" s="3" t="s">
        <v>3083</v>
      </c>
      <c r="J40" s="1" t="s">
        <v>2515</v>
      </c>
      <c r="K40" s="1" t="s">
        <v>2169</v>
      </c>
      <c r="L40" s="1" t="b">
        <v>1</v>
      </c>
    </row>
    <row r="41" spans="1:12" ht="200.7" x14ac:dyDescent="0.5">
      <c r="A41" s="1" t="s">
        <v>3084</v>
      </c>
      <c r="B41" s="3" t="s">
        <v>1046</v>
      </c>
      <c r="C41" s="3" t="s">
        <v>1045</v>
      </c>
      <c r="D41" s="3" t="s">
        <v>1049</v>
      </c>
      <c r="E41" s="3" t="s">
        <v>1047</v>
      </c>
      <c r="F41" s="26">
        <v>45566</v>
      </c>
      <c r="G41" s="1">
        <v>2024</v>
      </c>
      <c r="H41" s="1" t="s">
        <v>61</v>
      </c>
      <c r="I41" s="3" t="s">
        <v>3085</v>
      </c>
      <c r="J41" s="1" t="s">
        <v>2515</v>
      </c>
      <c r="K41" s="1" t="s">
        <v>1048</v>
      </c>
      <c r="L41" s="1" t="b">
        <v>1</v>
      </c>
    </row>
    <row r="42" spans="1:12" ht="272.35000000000002" x14ac:dyDescent="0.5">
      <c r="A42" s="1" t="s">
        <v>3086</v>
      </c>
      <c r="B42" s="3" t="s">
        <v>1624</v>
      </c>
      <c r="C42" s="3" t="s">
        <v>1623</v>
      </c>
      <c r="D42" s="3" t="s">
        <v>1626</v>
      </c>
      <c r="E42" s="3" t="s">
        <v>938</v>
      </c>
      <c r="F42" s="26">
        <v>44562</v>
      </c>
      <c r="G42" s="1">
        <v>2022</v>
      </c>
      <c r="H42" s="1" t="s">
        <v>61</v>
      </c>
      <c r="I42" s="3" t="s">
        <v>3087</v>
      </c>
      <c r="J42" s="1" t="s">
        <v>2515</v>
      </c>
      <c r="K42" s="1" t="s">
        <v>1625</v>
      </c>
      <c r="L42" s="1" t="b">
        <v>1</v>
      </c>
    </row>
    <row r="43" spans="1:12" ht="301" x14ac:dyDescent="0.5">
      <c r="A43" s="1" t="s">
        <v>3088</v>
      </c>
      <c r="B43" s="3" t="s">
        <v>1946</v>
      </c>
      <c r="C43" s="3" t="s">
        <v>1945</v>
      </c>
      <c r="D43" s="3" t="s">
        <v>1948</v>
      </c>
      <c r="E43" s="3" t="s">
        <v>967</v>
      </c>
      <c r="F43" s="26">
        <v>44531</v>
      </c>
      <c r="G43" s="1">
        <v>2021</v>
      </c>
      <c r="H43" s="1" t="s">
        <v>61</v>
      </c>
      <c r="I43" s="3" t="s">
        <v>3089</v>
      </c>
      <c r="J43" s="1" t="s">
        <v>2515</v>
      </c>
      <c r="K43" s="1" t="s">
        <v>1947</v>
      </c>
      <c r="L43" s="1" t="b">
        <v>1</v>
      </c>
    </row>
    <row r="44" spans="1:12" ht="329.7" x14ac:dyDescent="0.5">
      <c r="A44" s="1" t="s">
        <v>3090</v>
      </c>
      <c r="B44" s="3" t="s">
        <v>1312</v>
      </c>
      <c r="C44" s="3" t="s">
        <v>1311</v>
      </c>
      <c r="D44" s="3" t="s">
        <v>1314</v>
      </c>
      <c r="E44" s="3" t="s">
        <v>1002</v>
      </c>
      <c r="F44" s="26">
        <v>44652</v>
      </c>
      <c r="G44" s="1">
        <v>2022</v>
      </c>
      <c r="H44" s="1" t="s">
        <v>61</v>
      </c>
      <c r="I44" s="3" t="s">
        <v>3091</v>
      </c>
      <c r="J44" s="1" t="s">
        <v>2515</v>
      </c>
      <c r="K44" s="1" t="s">
        <v>1313</v>
      </c>
      <c r="L44" s="1" t="b">
        <v>1</v>
      </c>
    </row>
    <row r="45" spans="1:12" ht="258" x14ac:dyDescent="0.5">
      <c r="A45" s="1" t="s">
        <v>3092</v>
      </c>
      <c r="B45" s="3" t="s">
        <v>1561</v>
      </c>
      <c r="C45" s="3" t="s">
        <v>1560</v>
      </c>
      <c r="D45" s="3" t="s">
        <v>1563</v>
      </c>
      <c r="E45" s="3" t="s">
        <v>1516</v>
      </c>
      <c r="F45" s="26">
        <v>43221</v>
      </c>
      <c r="G45" s="1">
        <v>2018</v>
      </c>
      <c r="H45" s="1" t="s">
        <v>61</v>
      </c>
      <c r="I45" s="3" t="s">
        <v>3093</v>
      </c>
      <c r="J45" s="1" t="s">
        <v>2515</v>
      </c>
      <c r="K45" s="1" t="s">
        <v>1562</v>
      </c>
      <c r="L45" s="1" t="b">
        <v>1</v>
      </c>
    </row>
    <row r="46" spans="1:12" ht="215" x14ac:dyDescent="0.5">
      <c r="A46" s="1" t="s">
        <v>3094</v>
      </c>
      <c r="B46" s="3" t="s">
        <v>309</v>
      </c>
      <c r="C46" s="3" t="s">
        <v>334</v>
      </c>
      <c r="D46" s="3" t="s">
        <v>359</v>
      </c>
      <c r="E46" s="3" t="s">
        <v>994</v>
      </c>
      <c r="F46" s="26">
        <v>44896</v>
      </c>
      <c r="G46" s="1">
        <v>2022</v>
      </c>
      <c r="H46" s="1" t="s">
        <v>61</v>
      </c>
      <c r="I46" s="3" t="s">
        <v>3095</v>
      </c>
      <c r="J46" s="1" t="s">
        <v>2515</v>
      </c>
      <c r="K46" s="1" t="s">
        <v>384</v>
      </c>
      <c r="L46" s="1" t="b">
        <v>1</v>
      </c>
    </row>
    <row r="47" spans="1:12" ht="215" x14ac:dyDescent="0.5">
      <c r="A47" s="1" t="s">
        <v>3096</v>
      </c>
      <c r="B47" s="3" t="s">
        <v>1880</v>
      </c>
      <c r="C47" s="3" t="s">
        <v>1879</v>
      </c>
      <c r="D47" s="3" t="s">
        <v>1882</v>
      </c>
      <c r="E47" s="3" t="s">
        <v>938</v>
      </c>
      <c r="F47" s="26">
        <v>44835</v>
      </c>
      <c r="G47" s="1">
        <v>2022</v>
      </c>
      <c r="H47" s="1" t="s">
        <v>61</v>
      </c>
      <c r="I47" s="3" t="s">
        <v>3097</v>
      </c>
      <c r="J47" s="1" t="s">
        <v>2515</v>
      </c>
      <c r="K47" s="1" t="s">
        <v>1881</v>
      </c>
      <c r="L47" s="1" t="b">
        <v>1</v>
      </c>
    </row>
    <row r="48" spans="1:12" ht="344" x14ac:dyDescent="0.5">
      <c r="A48" s="1" t="s">
        <v>3098</v>
      </c>
      <c r="B48" s="3" t="s">
        <v>307</v>
      </c>
      <c r="C48" s="3" t="s">
        <v>332</v>
      </c>
      <c r="D48" s="3" t="s">
        <v>357</v>
      </c>
      <c r="E48" s="3" t="s">
        <v>943</v>
      </c>
      <c r="F48" s="26">
        <v>44866</v>
      </c>
      <c r="G48" s="1">
        <v>2022</v>
      </c>
      <c r="H48" s="1" t="s">
        <v>61</v>
      </c>
      <c r="I48" s="3" t="s">
        <v>3099</v>
      </c>
      <c r="J48" s="1" t="s">
        <v>2515</v>
      </c>
      <c r="K48" s="1" t="s">
        <v>382</v>
      </c>
      <c r="L48" s="1" t="b">
        <v>1</v>
      </c>
    </row>
    <row r="49" spans="1:12" ht="215" x14ac:dyDescent="0.5">
      <c r="A49" s="1" t="s">
        <v>3100</v>
      </c>
      <c r="B49" s="3" t="s">
        <v>2310</v>
      </c>
      <c r="C49" s="3" t="s">
        <v>2309</v>
      </c>
      <c r="D49" s="3" t="s">
        <v>2313</v>
      </c>
      <c r="E49" s="3" t="s">
        <v>2311</v>
      </c>
      <c r="F49" s="26">
        <v>43070</v>
      </c>
      <c r="G49" s="1">
        <v>2017</v>
      </c>
      <c r="H49" s="1" t="s">
        <v>61</v>
      </c>
      <c r="I49" s="3" t="s">
        <v>3101</v>
      </c>
      <c r="J49" s="1" t="s">
        <v>2515</v>
      </c>
      <c r="K49" s="1" t="s">
        <v>2312</v>
      </c>
      <c r="L49" s="1" t="b">
        <v>1</v>
      </c>
    </row>
    <row r="50" spans="1:12" ht="315.35000000000002" x14ac:dyDescent="0.5">
      <c r="A50" s="1" t="s">
        <v>3102</v>
      </c>
      <c r="B50" s="3" t="s">
        <v>1872</v>
      </c>
      <c r="C50" s="3" t="s">
        <v>1871</v>
      </c>
      <c r="D50" s="3" t="s">
        <v>1874</v>
      </c>
      <c r="E50" s="3" t="s">
        <v>984</v>
      </c>
      <c r="F50" s="26">
        <v>44136</v>
      </c>
      <c r="G50" s="1">
        <v>2020</v>
      </c>
      <c r="H50" s="1" t="s">
        <v>61</v>
      </c>
      <c r="I50" s="3" t="s">
        <v>3103</v>
      </c>
      <c r="J50" s="1" t="s">
        <v>2515</v>
      </c>
      <c r="K50" s="1" t="s">
        <v>1873</v>
      </c>
      <c r="L50" s="1" t="b">
        <v>1</v>
      </c>
    </row>
    <row r="51" spans="1:12" ht="143.35" x14ac:dyDescent="0.5">
      <c r="A51" s="1" t="s">
        <v>3104</v>
      </c>
      <c r="B51" s="3" t="s">
        <v>1640</v>
      </c>
      <c r="C51" s="3" t="s">
        <v>1639</v>
      </c>
      <c r="D51" s="3" t="s">
        <v>1642</v>
      </c>
      <c r="E51" s="3" t="s">
        <v>1113</v>
      </c>
      <c r="F51" s="26">
        <v>43497</v>
      </c>
      <c r="G51" s="1">
        <v>2019</v>
      </c>
      <c r="H51" s="1" t="s">
        <v>61</v>
      </c>
      <c r="I51" s="3" t="s">
        <v>3105</v>
      </c>
      <c r="J51" s="1" t="s">
        <v>2515</v>
      </c>
      <c r="K51" s="1" t="s">
        <v>1641</v>
      </c>
      <c r="L51" s="1" t="b">
        <v>1</v>
      </c>
    </row>
    <row r="52" spans="1:12" ht="344" x14ac:dyDescent="0.5">
      <c r="A52" s="1" t="s">
        <v>3106</v>
      </c>
      <c r="B52" s="3" t="s">
        <v>1796</v>
      </c>
      <c r="C52" s="3" t="s">
        <v>1795</v>
      </c>
      <c r="D52" s="3" t="s">
        <v>1798</v>
      </c>
      <c r="E52" s="3" t="s">
        <v>921</v>
      </c>
      <c r="F52" s="26">
        <v>44440</v>
      </c>
      <c r="G52" s="1">
        <v>2021</v>
      </c>
      <c r="H52" s="1" t="s">
        <v>61</v>
      </c>
      <c r="I52" s="3" t="s">
        <v>3107</v>
      </c>
      <c r="J52" s="1" t="s">
        <v>2515</v>
      </c>
      <c r="K52" s="1" t="s">
        <v>1797</v>
      </c>
      <c r="L52" s="1" t="b">
        <v>1</v>
      </c>
    </row>
    <row r="53" spans="1:12" ht="186.35" x14ac:dyDescent="0.5">
      <c r="A53" s="1" t="s">
        <v>3108</v>
      </c>
      <c r="B53" s="3" t="s">
        <v>992</v>
      </c>
      <c r="C53" s="3" t="s">
        <v>993</v>
      </c>
      <c r="D53" s="3" t="s">
        <v>990</v>
      </c>
      <c r="E53" s="3" t="s">
        <v>937</v>
      </c>
      <c r="F53" s="26">
        <v>45413</v>
      </c>
      <c r="G53" s="1">
        <v>2024</v>
      </c>
      <c r="H53" s="1" t="s">
        <v>61</v>
      </c>
      <c r="I53" s="3" t="s">
        <v>3109</v>
      </c>
      <c r="J53" s="1" t="s">
        <v>2515</v>
      </c>
      <c r="K53" s="1" t="s">
        <v>991</v>
      </c>
      <c r="L53" s="1" t="b">
        <v>1</v>
      </c>
    </row>
    <row r="54" spans="1:12" ht="186.35" x14ac:dyDescent="0.5">
      <c r="A54" s="1" t="s">
        <v>3110</v>
      </c>
      <c r="B54" s="3" t="s">
        <v>1274</v>
      </c>
      <c r="C54" s="3" t="s">
        <v>1273</v>
      </c>
      <c r="D54" s="3" t="s">
        <v>1276</v>
      </c>
      <c r="E54" s="3" t="s">
        <v>1122</v>
      </c>
      <c r="F54" s="26">
        <v>44986</v>
      </c>
      <c r="G54" s="1">
        <v>2023</v>
      </c>
      <c r="H54" s="1" t="s">
        <v>61</v>
      </c>
      <c r="I54" s="3" t="s">
        <v>3111</v>
      </c>
      <c r="J54" s="1" t="s">
        <v>2515</v>
      </c>
      <c r="K54" s="1" t="s">
        <v>1275</v>
      </c>
      <c r="L54" s="1" t="b">
        <v>1</v>
      </c>
    </row>
    <row r="55" spans="1:12" ht="272.35000000000002" x14ac:dyDescent="0.5">
      <c r="A55" s="1" t="s">
        <v>3112</v>
      </c>
      <c r="B55" s="3" t="s">
        <v>2043</v>
      </c>
      <c r="C55" s="3" t="s">
        <v>2042</v>
      </c>
      <c r="D55" s="3" t="s">
        <v>2045</v>
      </c>
      <c r="E55" s="3" t="s">
        <v>967</v>
      </c>
      <c r="F55" s="26">
        <v>44941</v>
      </c>
      <c r="G55" s="1">
        <v>2023</v>
      </c>
      <c r="H55" s="1" t="s">
        <v>61</v>
      </c>
      <c r="I55" s="3" t="s">
        <v>3113</v>
      </c>
      <c r="J55" s="1" t="s">
        <v>2515</v>
      </c>
      <c r="K55" s="1" t="s">
        <v>2044</v>
      </c>
      <c r="L55" s="1" t="b">
        <v>1</v>
      </c>
    </row>
    <row r="56" spans="1:12" ht="186.35" x14ac:dyDescent="0.5">
      <c r="A56" s="1" t="s">
        <v>3114</v>
      </c>
      <c r="B56" s="3" t="s">
        <v>1603</v>
      </c>
      <c r="C56" s="3" t="s">
        <v>1602</v>
      </c>
      <c r="D56" s="3" t="s">
        <v>1605</v>
      </c>
      <c r="E56" s="3" t="s">
        <v>973</v>
      </c>
      <c r="F56" s="26">
        <v>45017</v>
      </c>
      <c r="G56" s="1">
        <v>2023</v>
      </c>
      <c r="H56" s="1" t="s">
        <v>61</v>
      </c>
      <c r="I56" s="3" t="s">
        <v>3115</v>
      </c>
      <c r="J56" s="1" t="s">
        <v>2515</v>
      </c>
      <c r="K56" s="1" t="s">
        <v>1604</v>
      </c>
      <c r="L56" s="1" t="b">
        <v>1</v>
      </c>
    </row>
    <row r="57" spans="1:12" ht="229.35" x14ac:dyDescent="0.5">
      <c r="A57" s="1" t="s">
        <v>3116</v>
      </c>
      <c r="B57" s="3" t="s">
        <v>1503</v>
      </c>
      <c r="C57" s="3" t="s">
        <v>1502</v>
      </c>
      <c r="D57" s="3" t="s">
        <v>1505</v>
      </c>
      <c r="E57" s="3" t="s">
        <v>937</v>
      </c>
      <c r="F57" s="26">
        <v>44180</v>
      </c>
      <c r="G57" s="1">
        <v>2020</v>
      </c>
      <c r="H57" s="1" t="s">
        <v>61</v>
      </c>
      <c r="I57" s="3" t="s">
        <v>3117</v>
      </c>
      <c r="J57" s="1" t="s">
        <v>2515</v>
      </c>
      <c r="K57" s="1" t="s">
        <v>1504</v>
      </c>
      <c r="L57" s="1" t="b">
        <v>1</v>
      </c>
    </row>
    <row r="58" spans="1:12" ht="272.35000000000002" x14ac:dyDescent="0.5">
      <c r="A58" s="1" t="s">
        <v>3118</v>
      </c>
      <c r="B58" s="3" t="s">
        <v>1644</v>
      </c>
      <c r="C58" s="3" t="s">
        <v>1643</v>
      </c>
      <c r="D58" s="3" t="s">
        <v>1646</v>
      </c>
      <c r="E58" s="3" t="s">
        <v>1236</v>
      </c>
      <c r="F58" s="26">
        <v>44562</v>
      </c>
      <c r="G58" s="1">
        <v>2022</v>
      </c>
      <c r="H58" s="1" t="s">
        <v>61</v>
      </c>
      <c r="I58" s="3" t="s">
        <v>3119</v>
      </c>
      <c r="J58" s="1" t="s">
        <v>2515</v>
      </c>
      <c r="K58" s="1" t="s">
        <v>1645</v>
      </c>
      <c r="L58" s="1" t="b">
        <v>1</v>
      </c>
    </row>
    <row r="59" spans="1:12" ht="372.7" x14ac:dyDescent="0.5">
      <c r="A59" s="1" t="s">
        <v>3120</v>
      </c>
      <c r="B59" s="3" t="s">
        <v>1776</v>
      </c>
      <c r="C59" s="3" t="s">
        <v>1775</v>
      </c>
      <c r="D59" s="3" t="s">
        <v>1778</v>
      </c>
      <c r="E59" s="3" t="s">
        <v>1744</v>
      </c>
      <c r="F59" s="26">
        <v>44717</v>
      </c>
      <c r="G59" s="1">
        <v>2022</v>
      </c>
      <c r="H59" s="1" t="s">
        <v>61</v>
      </c>
      <c r="I59" s="3" t="s">
        <v>3121</v>
      </c>
      <c r="J59" s="1" t="s">
        <v>2515</v>
      </c>
      <c r="K59" s="1" t="s">
        <v>1777</v>
      </c>
      <c r="L59" s="1" t="b">
        <v>1</v>
      </c>
    </row>
    <row r="60" spans="1:12" ht="286.7" x14ac:dyDescent="0.5">
      <c r="A60" s="1" t="s">
        <v>3122</v>
      </c>
      <c r="B60" s="3" t="s">
        <v>1117</v>
      </c>
      <c r="C60" s="3" t="s">
        <v>1116</v>
      </c>
      <c r="D60" s="3" t="s">
        <v>1119</v>
      </c>
      <c r="E60" s="3" t="s">
        <v>919</v>
      </c>
      <c r="F60" s="26">
        <v>45397</v>
      </c>
      <c r="G60" s="1">
        <v>2024</v>
      </c>
      <c r="H60" s="1" t="s">
        <v>61</v>
      </c>
      <c r="I60" s="3" t="s">
        <v>3123</v>
      </c>
      <c r="J60" s="1" t="s">
        <v>2515</v>
      </c>
      <c r="K60" s="1" t="s">
        <v>1118</v>
      </c>
      <c r="L60" s="1" t="b">
        <v>1</v>
      </c>
    </row>
    <row r="61" spans="1:12" ht="315.35000000000002" x14ac:dyDescent="0.5">
      <c r="A61" s="1" t="s">
        <v>3124</v>
      </c>
      <c r="B61" s="3" t="s">
        <v>1121</v>
      </c>
      <c r="C61" s="3" t="s">
        <v>1120</v>
      </c>
      <c r="D61" s="3" t="s">
        <v>1124</v>
      </c>
      <c r="E61" s="3" t="s">
        <v>1122</v>
      </c>
      <c r="F61" s="26">
        <v>45627</v>
      </c>
      <c r="G61" s="1">
        <v>2024</v>
      </c>
      <c r="H61" s="1" t="s">
        <v>61</v>
      </c>
      <c r="I61" s="3" t="s">
        <v>3125</v>
      </c>
      <c r="J61" s="1" t="s">
        <v>2515</v>
      </c>
      <c r="K61" s="1" t="s">
        <v>1123</v>
      </c>
      <c r="L61" s="1" t="b">
        <v>1</v>
      </c>
    </row>
    <row r="62" spans="1:12" ht="258" x14ac:dyDescent="0.5">
      <c r="A62" s="1" t="s">
        <v>3126</v>
      </c>
      <c r="B62" s="3" t="s">
        <v>1170</v>
      </c>
      <c r="C62" s="3" t="s">
        <v>1169</v>
      </c>
      <c r="D62" s="3" t="s">
        <v>1173</v>
      </c>
      <c r="E62" s="3" t="s">
        <v>1171</v>
      </c>
      <c r="F62" s="26">
        <v>44378</v>
      </c>
      <c r="G62" s="1">
        <v>2021</v>
      </c>
      <c r="H62" s="1" t="s">
        <v>61</v>
      </c>
      <c r="I62" s="3" t="s">
        <v>3127</v>
      </c>
      <c r="J62" s="1" t="s">
        <v>2515</v>
      </c>
      <c r="K62" s="1" t="s">
        <v>1172</v>
      </c>
      <c r="L62" s="1" t="b">
        <v>1</v>
      </c>
    </row>
    <row r="63" spans="1:12" ht="258" x14ac:dyDescent="0.5">
      <c r="A63" s="1" t="s">
        <v>3128</v>
      </c>
      <c r="B63" s="3" t="s">
        <v>1130</v>
      </c>
      <c r="C63" s="3" t="s">
        <v>1129</v>
      </c>
      <c r="D63" s="3" t="s">
        <v>1132</v>
      </c>
      <c r="E63" s="3" t="s">
        <v>939</v>
      </c>
      <c r="F63" s="26">
        <v>45597</v>
      </c>
      <c r="G63" s="1">
        <v>2024</v>
      </c>
      <c r="H63" s="1" t="s">
        <v>61</v>
      </c>
      <c r="I63" s="3" t="s">
        <v>3129</v>
      </c>
      <c r="J63" s="1" t="s">
        <v>2515</v>
      </c>
      <c r="K63" s="1" t="s">
        <v>1131</v>
      </c>
      <c r="L63" s="1" t="b">
        <v>1</v>
      </c>
    </row>
    <row r="64" spans="1:12" ht="243.7" x14ac:dyDescent="0.5">
      <c r="A64" s="1" t="s">
        <v>3130</v>
      </c>
      <c r="B64" s="3" t="s">
        <v>2388</v>
      </c>
      <c r="C64" s="3" t="s">
        <v>2387</v>
      </c>
      <c r="D64" s="3" t="s">
        <v>2390</v>
      </c>
      <c r="E64" s="3" t="s">
        <v>958</v>
      </c>
      <c r="F64" s="26">
        <v>45627</v>
      </c>
      <c r="G64" s="1">
        <v>2024</v>
      </c>
      <c r="H64" s="1" t="s">
        <v>61</v>
      </c>
      <c r="I64" s="3" t="s">
        <v>3131</v>
      </c>
      <c r="J64" s="1" t="s">
        <v>2515</v>
      </c>
      <c r="K64" s="1" t="s">
        <v>2389</v>
      </c>
      <c r="L64" s="1" t="b">
        <v>1</v>
      </c>
    </row>
    <row r="65" spans="1:12" ht="272.35000000000002" x14ac:dyDescent="0.5">
      <c r="A65" s="1" t="s">
        <v>3132</v>
      </c>
      <c r="B65" s="3" t="s">
        <v>1454</v>
      </c>
      <c r="C65" s="3" t="s">
        <v>1453</v>
      </c>
      <c r="D65" s="3" t="s">
        <v>1456</v>
      </c>
      <c r="E65" s="3" t="s">
        <v>1006</v>
      </c>
      <c r="F65" s="26">
        <v>45566</v>
      </c>
      <c r="G65" s="1">
        <v>2024</v>
      </c>
      <c r="H65" s="1" t="s">
        <v>61</v>
      </c>
      <c r="I65" s="3" t="s">
        <v>3133</v>
      </c>
      <c r="J65" s="1" t="s">
        <v>2515</v>
      </c>
      <c r="K65" s="1" t="s">
        <v>1455</v>
      </c>
      <c r="L65" s="1" t="b">
        <v>1</v>
      </c>
    </row>
    <row r="66" spans="1:12" ht="258" x14ac:dyDescent="0.5">
      <c r="A66" s="1" t="s">
        <v>3134</v>
      </c>
      <c r="B66" s="3" t="s">
        <v>1665</v>
      </c>
      <c r="C66" s="3" t="s">
        <v>1664</v>
      </c>
      <c r="D66" s="3" t="s">
        <v>1667</v>
      </c>
      <c r="E66" s="3" t="s">
        <v>920</v>
      </c>
      <c r="F66" s="26">
        <v>44221</v>
      </c>
      <c r="G66" s="1">
        <v>2021</v>
      </c>
      <c r="H66" s="1" t="s">
        <v>61</v>
      </c>
      <c r="I66" s="3" t="s">
        <v>3135</v>
      </c>
      <c r="J66" s="1" t="s">
        <v>2515</v>
      </c>
      <c r="K66" s="1" t="s">
        <v>1666</v>
      </c>
      <c r="L66" s="1" t="b">
        <v>1</v>
      </c>
    </row>
    <row r="67" spans="1:12" ht="272.35000000000002" x14ac:dyDescent="0.5">
      <c r="A67" s="1" t="s">
        <v>3136</v>
      </c>
      <c r="B67" s="3" t="s">
        <v>2026</v>
      </c>
      <c r="C67" s="3" t="s">
        <v>2025</v>
      </c>
      <c r="D67" s="3" t="s">
        <v>2028</v>
      </c>
      <c r="E67" s="3" t="s">
        <v>1002</v>
      </c>
      <c r="F67" s="26">
        <v>45627</v>
      </c>
      <c r="G67" s="1">
        <v>2024</v>
      </c>
      <c r="H67" s="1" t="s">
        <v>61</v>
      </c>
      <c r="I67" s="3" t="s">
        <v>3137</v>
      </c>
      <c r="J67" s="1" t="s">
        <v>2515</v>
      </c>
      <c r="K67" s="1" t="s">
        <v>2027</v>
      </c>
      <c r="L67" s="1" t="b">
        <v>1</v>
      </c>
    </row>
    <row r="68" spans="1:12" ht="229.35" x14ac:dyDescent="0.5">
      <c r="A68" s="1" t="s">
        <v>3138</v>
      </c>
      <c r="B68" s="3" t="s">
        <v>2008</v>
      </c>
      <c r="C68" s="3" t="s">
        <v>2007</v>
      </c>
      <c r="D68" s="3" t="s">
        <v>2010</v>
      </c>
      <c r="E68" s="3" t="s">
        <v>939</v>
      </c>
      <c r="F68" s="26">
        <v>45611</v>
      </c>
      <c r="G68" s="1">
        <v>2024</v>
      </c>
      <c r="H68" s="1" t="s">
        <v>61</v>
      </c>
      <c r="I68" s="3" t="s">
        <v>3139</v>
      </c>
      <c r="J68" s="1" t="s">
        <v>2515</v>
      </c>
      <c r="K68" s="1" t="s">
        <v>2009</v>
      </c>
      <c r="L68" s="1" t="b">
        <v>1</v>
      </c>
    </row>
    <row r="69" spans="1:12" ht="186.35" x14ac:dyDescent="0.5">
      <c r="A69" s="1" t="s">
        <v>3140</v>
      </c>
      <c r="B69" s="3" t="s">
        <v>1808</v>
      </c>
      <c r="C69" s="3" t="s">
        <v>1807</v>
      </c>
      <c r="D69" s="3" t="s">
        <v>1810</v>
      </c>
      <c r="E69" s="3" t="s">
        <v>954</v>
      </c>
      <c r="F69" s="26">
        <v>44909</v>
      </c>
      <c r="G69" s="1">
        <v>2022</v>
      </c>
      <c r="H69" s="1" t="s">
        <v>61</v>
      </c>
      <c r="I69" s="3" t="s">
        <v>3141</v>
      </c>
      <c r="J69" s="1" t="s">
        <v>2515</v>
      </c>
      <c r="K69" s="1" t="s">
        <v>1809</v>
      </c>
      <c r="L69" s="1" t="b">
        <v>1</v>
      </c>
    </row>
    <row r="70" spans="1:12" ht="129" x14ac:dyDescent="0.5">
      <c r="A70" s="1" t="s">
        <v>3142</v>
      </c>
      <c r="B70" s="3" t="s">
        <v>2261</v>
      </c>
      <c r="C70" s="3" t="s">
        <v>2260</v>
      </c>
      <c r="D70" s="3" t="s">
        <v>2264</v>
      </c>
      <c r="E70" s="3" t="s">
        <v>2262</v>
      </c>
      <c r="F70" s="26">
        <v>41904</v>
      </c>
      <c r="G70" s="1">
        <v>2014</v>
      </c>
      <c r="H70" s="1" t="s">
        <v>61</v>
      </c>
      <c r="I70" s="3" t="s">
        <v>3143</v>
      </c>
      <c r="J70" s="1" t="s">
        <v>2515</v>
      </c>
      <c r="K70" s="1" t="s">
        <v>2263</v>
      </c>
      <c r="L70" s="1" t="b">
        <v>1</v>
      </c>
    </row>
    <row r="71" spans="1:12" ht="186.35" x14ac:dyDescent="0.5">
      <c r="A71" s="1" t="s">
        <v>3144</v>
      </c>
      <c r="B71" s="3" t="s">
        <v>2034</v>
      </c>
      <c r="C71" s="3" t="s">
        <v>2033</v>
      </c>
      <c r="D71" s="3" t="s">
        <v>2037</v>
      </c>
      <c r="E71" s="3" t="s">
        <v>2035</v>
      </c>
      <c r="F71" s="26">
        <v>43525</v>
      </c>
      <c r="G71" s="1">
        <v>2019</v>
      </c>
      <c r="H71" s="1" t="s">
        <v>61</v>
      </c>
      <c r="I71" s="3" t="s">
        <v>3145</v>
      </c>
      <c r="J71" s="1" t="s">
        <v>2515</v>
      </c>
      <c r="K71" s="1" t="s">
        <v>2036</v>
      </c>
      <c r="L71" s="1" t="b">
        <v>1</v>
      </c>
    </row>
    <row r="72" spans="1:12" ht="272.35000000000002" x14ac:dyDescent="0.5">
      <c r="A72" s="1" t="s">
        <v>3146</v>
      </c>
      <c r="B72" s="3" t="s">
        <v>1661</v>
      </c>
      <c r="C72" s="3" t="s">
        <v>1660</v>
      </c>
      <c r="D72" s="3" t="s">
        <v>1663</v>
      </c>
      <c r="E72" s="3" t="s">
        <v>936</v>
      </c>
      <c r="F72" s="26">
        <v>43221</v>
      </c>
      <c r="G72" s="1">
        <v>2018</v>
      </c>
      <c r="H72" s="1" t="s">
        <v>61</v>
      </c>
      <c r="I72" s="3" t="s">
        <v>3147</v>
      </c>
      <c r="J72" s="1" t="s">
        <v>2515</v>
      </c>
      <c r="K72" s="1" t="s">
        <v>1662</v>
      </c>
      <c r="L72" s="1" t="b">
        <v>1</v>
      </c>
    </row>
    <row r="73" spans="1:12" ht="258" x14ac:dyDescent="0.5">
      <c r="A73" s="1" t="s">
        <v>3148</v>
      </c>
      <c r="B73" s="3" t="s">
        <v>1446</v>
      </c>
      <c r="C73" s="3" t="s">
        <v>1445</v>
      </c>
      <c r="D73" s="3" t="s">
        <v>1448</v>
      </c>
      <c r="E73" s="3" t="s">
        <v>941</v>
      </c>
      <c r="F73" s="26">
        <v>44211</v>
      </c>
      <c r="G73" s="1">
        <v>2021</v>
      </c>
      <c r="H73" s="1" t="s">
        <v>61</v>
      </c>
      <c r="I73" s="3" t="s">
        <v>3149</v>
      </c>
      <c r="J73" s="1" t="s">
        <v>2515</v>
      </c>
      <c r="K73" s="1" t="s">
        <v>1447</v>
      </c>
      <c r="L73" s="1" t="b">
        <v>1</v>
      </c>
    </row>
    <row r="74" spans="1:12" ht="200.7" x14ac:dyDescent="0.5">
      <c r="A74" s="1" t="s">
        <v>3150</v>
      </c>
      <c r="B74" s="3" t="s">
        <v>1308</v>
      </c>
      <c r="C74" s="3" t="s">
        <v>1307</v>
      </c>
      <c r="D74" s="3" t="s">
        <v>1310</v>
      </c>
      <c r="E74" s="3" t="s">
        <v>1113</v>
      </c>
      <c r="F74" s="26">
        <v>45505</v>
      </c>
      <c r="G74" s="1">
        <v>2024</v>
      </c>
      <c r="H74" s="1" t="s">
        <v>61</v>
      </c>
      <c r="I74" s="3" t="s">
        <v>3151</v>
      </c>
      <c r="J74" s="1" t="s">
        <v>2515</v>
      </c>
      <c r="K74" s="1" t="s">
        <v>1309</v>
      </c>
      <c r="L74" s="1" t="b">
        <v>1</v>
      </c>
    </row>
    <row r="75" spans="1:12" ht="114.7" x14ac:dyDescent="0.5">
      <c r="A75" s="1" t="s">
        <v>3152</v>
      </c>
      <c r="B75" s="3" t="s">
        <v>2159</v>
      </c>
      <c r="C75" s="3" t="s">
        <v>2158</v>
      </c>
      <c r="D75" s="3" t="s">
        <v>2162</v>
      </c>
      <c r="E75" s="3" t="s">
        <v>2160</v>
      </c>
      <c r="F75" s="26">
        <v>42736</v>
      </c>
      <c r="G75" s="1">
        <v>2017</v>
      </c>
      <c r="H75" s="1" t="s">
        <v>61</v>
      </c>
      <c r="I75" s="3" t="s">
        <v>3153</v>
      </c>
      <c r="J75" s="1" t="s">
        <v>2515</v>
      </c>
      <c r="K75" s="1" t="s">
        <v>2161</v>
      </c>
      <c r="L75" s="1" t="b">
        <v>1</v>
      </c>
    </row>
    <row r="76" spans="1:12" ht="329.7" x14ac:dyDescent="0.5">
      <c r="A76" s="1" t="s">
        <v>3154</v>
      </c>
      <c r="B76" s="3" t="s">
        <v>1462</v>
      </c>
      <c r="C76" s="3" t="s">
        <v>1461</v>
      </c>
      <c r="D76" s="3" t="s">
        <v>1464</v>
      </c>
      <c r="E76" s="3" t="s">
        <v>1052</v>
      </c>
      <c r="F76" s="26">
        <v>45498</v>
      </c>
      <c r="G76" s="1">
        <v>2024</v>
      </c>
      <c r="H76" s="1" t="s">
        <v>61</v>
      </c>
      <c r="I76" s="3" t="s">
        <v>3155</v>
      </c>
      <c r="J76" s="1" t="s">
        <v>2515</v>
      </c>
      <c r="K76" s="1" t="s">
        <v>1463</v>
      </c>
      <c r="L76" s="1" t="b">
        <v>1</v>
      </c>
    </row>
    <row r="77" spans="1:12" ht="172" x14ac:dyDescent="0.5">
      <c r="A77" s="1" t="s">
        <v>3156</v>
      </c>
      <c r="B77" s="3" t="s">
        <v>2021</v>
      </c>
      <c r="C77" s="3" t="s">
        <v>2020</v>
      </c>
      <c r="D77" s="3" t="s">
        <v>2024</v>
      </c>
      <c r="E77" s="3" t="s">
        <v>2022</v>
      </c>
      <c r="F77" s="26">
        <v>44593</v>
      </c>
      <c r="G77" s="1">
        <v>2022</v>
      </c>
      <c r="H77" s="1" t="s">
        <v>61</v>
      </c>
      <c r="I77" s="3" t="s">
        <v>3157</v>
      </c>
      <c r="J77" s="1" t="s">
        <v>2515</v>
      </c>
      <c r="K77" s="1" t="s">
        <v>2023</v>
      </c>
      <c r="L77" s="1" t="b">
        <v>1</v>
      </c>
    </row>
    <row r="78" spans="1:12" ht="28.7" x14ac:dyDescent="0.5">
      <c r="A78" s="1" t="s">
        <v>3158</v>
      </c>
      <c r="B78" s="3" t="s">
        <v>1323</v>
      </c>
      <c r="C78" s="3" t="s">
        <v>3159</v>
      </c>
      <c r="D78" s="3" t="s">
        <v>123</v>
      </c>
      <c r="E78" s="3" t="s">
        <v>3160</v>
      </c>
      <c r="F78" s="26">
        <v>45078</v>
      </c>
      <c r="G78" s="1">
        <v>2023</v>
      </c>
      <c r="H78" s="1" t="s">
        <v>61</v>
      </c>
      <c r="I78" s="3" t="s">
        <v>3161</v>
      </c>
      <c r="J78" s="1" t="s">
        <v>2515</v>
      </c>
      <c r="K78" s="1" t="s">
        <v>1324</v>
      </c>
      <c r="L78" s="1" t="b">
        <v>1</v>
      </c>
    </row>
    <row r="79" spans="1:12" ht="229.35" x14ac:dyDescent="0.5">
      <c r="A79" s="1" t="s">
        <v>3162</v>
      </c>
      <c r="B79" s="3" t="s">
        <v>1726</v>
      </c>
      <c r="C79" s="3" t="s">
        <v>1725</v>
      </c>
      <c r="D79" s="3" t="s">
        <v>1729</v>
      </c>
      <c r="E79" s="3" t="s">
        <v>1727</v>
      </c>
      <c r="F79" s="26">
        <v>42929</v>
      </c>
      <c r="G79" s="1">
        <v>2017</v>
      </c>
      <c r="H79" s="1" t="s">
        <v>61</v>
      </c>
      <c r="I79" s="3" t="s">
        <v>3163</v>
      </c>
      <c r="J79" s="1" t="s">
        <v>2515</v>
      </c>
      <c r="K79" s="1" t="s">
        <v>1728</v>
      </c>
      <c r="L79" s="1" t="b">
        <v>1</v>
      </c>
    </row>
    <row r="80" spans="1:12" ht="243.7" x14ac:dyDescent="0.5">
      <c r="A80" s="1" t="s">
        <v>3164</v>
      </c>
      <c r="B80" s="3" t="s">
        <v>1479</v>
      </c>
      <c r="C80" s="3" t="s">
        <v>1478</v>
      </c>
      <c r="D80" s="3" t="s">
        <v>1481</v>
      </c>
      <c r="E80" s="3" t="s">
        <v>1014</v>
      </c>
      <c r="F80" s="26">
        <v>43221</v>
      </c>
      <c r="G80" s="1">
        <v>2018</v>
      </c>
      <c r="H80" s="1" t="s">
        <v>61</v>
      </c>
      <c r="I80" s="3" t="s">
        <v>3165</v>
      </c>
      <c r="J80" s="1" t="s">
        <v>2515</v>
      </c>
      <c r="K80" s="1" t="s">
        <v>1480</v>
      </c>
      <c r="L80" s="1" t="b">
        <v>1</v>
      </c>
    </row>
    <row r="81" spans="1:12" ht="286.7" x14ac:dyDescent="0.5">
      <c r="A81" s="1" t="s">
        <v>3166</v>
      </c>
      <c r="B81" s="3" t="s">
        <v>1760</v>
      </c>
      <c r="C81" s="3" t="s">
        <v>1759</v>
      </c>
      <c r="D81" s="3" t="s">
        <v>1762</v>
      </c>
      <c r="E81" s="3" t="s">
        <v>1006</v>
      </c>
      <c r="F81" s="26">
        <v>43709</v>
      </c>
      <c r="G81" s="1">
        <v>2019</v>
      </c>
      <c r="H81" s="1" t="s">
        <v>61</v>
      </c>
      <c r="I81" s="3" t="s">
        <v>123</v>
      </c>
      <c r="J81" s="1" t="s">
        <v>2515</v>
      </c>
      <c r="K81" s="1" t="s">
        <v>1761</v>
      </c>
      <c r="L81" s="1" t="b">
        <v>1</v>
      </c>
    </row>
    <row r="82" spans="1:12" ht="172" x14ac:dyDescent="0.5">
      <c r="A82" s="1" t="s">
        <v>3167</v>
      </c>
      <c r="B82" s="3" t="s">
        <v>2400</v>
      </c>
      <c r="C82" s="3" t="s">
        <v>2399</v>
      </c>
      <c r="D82" s="3" t="s">
        <v>2402</v>
      </c>
      <c r="E82" s="3" t="s">
        <v>1139</v>
      </c>
      <c r="F82" s="26">
        <v>42795</v>
      </c>
      <c r="G82" s="1">
        <v>2017</v>
      </c>
      <c r="H82" s="1" t="s">
        <v>61</v>
      </c>
      <c r="I82" s="3" t="s">
        <v>3168</v>
      </c>
      <c r="J82" s="1" t="s">
        <v>2515</v>
      </c>
      <c r="K82" s="1" t="s">
        <v>2401</v>
      </c>
      <c r="L82" s="1" t="b">
        <v>1</v>
      </c>
    </row>
    <row r="83" spans="1:12" ht="272.35000000000002" x14ac:dyDescent="0.5">
      <c r="A83" s="1" t="s">
        <v>3169</v>
      </c>
      <c r="B83" s="3" t="s">
        <v>1913</v>
      </c>
      <c r="C83" s="3" t="s">
        <v>1912</v>
      </c>
      <c r="D83" s="3" t="s">
        <v>1915</v>
      </c>
      <c r="E83" s="3" t="s">
        <v>996</v>
      </c>
      <c r="F83" s="26">
        <v>45200</v>
      </c>
      <c r="G83" s="1">
        <v>2023</v>
      </c>
      <c r="H83" s="1" t="s">
        <v>61</v>
      </c>
      <c r="I83" s="3" t="s">
        <v>3170</v>
      </c>
      <c r="J83" s="1" t="s">
        <v>2515</v>
      </c>
      <c r="K83" s="1" t="s">
        <v>1914</v>
      </c>
      <c r="L83" s="1" t="b">
        <v>1</v>
      </c>
    </row>
    <row r="84" spans="1:12" ht="258" x14ac:dyDescent="0.5">
      <c r="A84" s="1" t="s">
        <v>3171</v>
      </c>
      <c r="B84" s="3" t="s">
        <v>1398</v>
      </c>
      <c r="C84" s="3" t="s">
        <v>1397</v>
      </c>
      <c r="D84" s="3" t="s">
        <v>1401</v>
      </c>
      <c r="E84" s="3" t="s">
        <v>1399</v>
      </c>
      <c r="F84" s="26">
        <v>44774</v>
      </c>
      <c r="G84" s="1">
        <v>2022</v>
      </c>
      <c r="H84" s="1" t="s">
        <v>61</v>
      </c>
      <c r="I84" s="3" t="s">
        <v>3172</v>
      </c>
      <c r="J84" s="1" t="s">
        <v>2515</v>
      </c>
      <c r="K84" s="1" t="s">
        <v>1400</v>
      </c>
      <c r="L84" s="1" t="b">
        <v>1</v>
      </c>
    </row>
    <row r="85" spans="1:12" ht="229.35" x14ac:dyDescent="0.5">
      <c r="A85" s="1" t="s">
        <v>3173</v>
      </c>
      <c r="B85" s="3" t="s">
        <v>2306</v>
      </c>
      <c r="C85" s="3" t="s">
        <v>2305</v>
      </c>
      <c r="D85" s="3" t="s">
        <v>2308</v>
      </c>
      <c r="E85" s="3" t="s">
        <v>954</v>
      </c>
      <c r="F85" s="26">
        <v>40391</v>
      </c>
      <c r="G85" s="1">
        <v>2010</v>
      </c>
      <c r="H85" s="1" t="s">
        <v>61</v>
      </c>
      <c r="I85" s="3" t="s">
        <v>3174</v>
      </c>
      <c r="J85" s="1" t="s">
        <v>2515</v>
      </c>
      <c r="K85" s="1" t="s">
        <v>2307</v>
      </c>
      <c r="L85" s="1" t="b">
        <v>1</v>
      </c>
    </row>
    <row r="86" spans="1:12" ht="114.7" x14ac:dyDescent="0.5">
      <c r="A86" s="1" t="s">
        <v>3175</v>
      </c>
      <c r="B86" s="3" t="s">
        <v>1538</v>
      </c>
      <c r="C86" s="3" t="s">
        <v>1537</v>
      </c>
      <c r="D86" s="3" t="s">
        <v>1541</v>
      </c>
      <c r="E86" s="3" t="s">
        <v>1539</v>
      </c>
      <c r="F86" s="26">
        <v>43952</v>
      </c>
      <c r="G86" s="1">
        <v>2020</v>
      </c>
      <c r="H86" s="1" t="s">
        <v>61</v>
      </c>
      <c r="I86" s="3" t="s">
        <v>3176</v>
      </c>
      <c r="J86" s="1" t="s">
        <v>2515</v>
      </c>
      <c r="K86" s="1" t="s">
        <v>1540</v>
      </c>
      <c r="L86" s="1" t="b">
        <v>1</v>
      </c>
    </row>
    <row r="87" spans="1:12" ht="100.35" x14ac:dyDescent="0.5">
      <c r="A87" s="1" t="s">
        <v>3177</v>
      </c>
      <c r="B87" s="3" t="s">
        <v>1938</v>
      </c>
      <c r="C87" s="3" t="s">
        <v>1937</v>
      </c>
      <c r="D87" s="3" t="s">
        <v>1940</v>
      </c>
      <c r="E87" s="3" t="s">
        <v>927</v>
      </c>
      <c r="F87" s="26">
        <v>45536</v>
      </c>
      <c r="G87" s="1">
        <v>2024</v>
      </c>
      <c r="H87" s="1" t="s">
        <v>61</v>
      </c>
      <c r="I87" s="3" t="s">
        <v>3178</v>
      </c>
      <c r="J87" s="1" t="s">
        <v>2515</v>
      </c>
      <c r="K87" s="1" t="s">
        <v>1939</v>
      </c>
      <c r="L87" s="1" t="b">
        <v>1</v>
      </c>
    </row>
    <row r="88" spans="1:12" ht="229.35" x14ac:dyDescent="0.5">
      <c r="A88" s="1" t="s">
        <v>3179</v>
      </c>
      <c r="B88" s="3" t="s">
        <v>2396</v>
      </c>
      <c r="C88" s="3" t="s">
        <v>2395</v>
      </c>
      <c r="D88" s="3" t="s">
        <v>2398</v>
      </c>
      <c r="E88" s="3" t="s">
        <v>928</v>
      </c>
      <c r="F88" s="26">
        <v>44256</v>
      </c>
      <c r="G88" s="1">
        <v>2021</v>
      </c>
      <c r="H88" s="1" t="s">
        <v>61</v>
      </c>
      <c r="I88" s="3" t="s">
        <v>3180</v>
      </c>
      <c r="J88" s="1" t="s">
        <v>2515</v>
      </c>
      <c r="K88" s="1" t="s">
        <v>2397</v>
      </c>
      <c r="L88" s="1" t="b">
        <v>1</v>
      </c>
    </row>
    <row r="89" spans="1:12" ht="315.35000000000002" x14ac:dyDescent="0.5">
      <c r="A89" s="1" t="s">
        <v>3181</v>
      </c>
      <c r="B89" s="3" t="s">
        <v>1705</v>
      </c>
      <c r="C89" s="3" t="s">
        <v>1704</v>
      </c>
      <c r="D89" s="3" t="s">
        <v>1707</v>
      </c>
      <c r="E89" s="3" t="s">
        <v>996</v>
      </c>
      <c r="F89" s="26">
        <v>45383</v>
      </c>
      <c r="G89" s="1">
        <v>2024</v>
      </c>
      <c r="H89" s="1" t="s">
        <v>61</v>
      </c>
      <c r="I89" s="3" t="s">
        <v>3182</v>
      </c>
      <c r="J89" s="1" t="s">
        <v>2515</v>
      </c>
      <c r="K89" s="1" t="s">
        <v>1706</v>
      </c>
      <c r="L89" s="1" t="b">
        <v>1</v>
      </c>
    </row>
    <row r="90" spans="1:12" ht="172" x14ac:dyDescent="0.5">
      <c r="A90" s="1" t="s">
        <v>3183</v>
      </c>
      <c r="B90" s="3" t="s">
        <v>1958</v>
      </c>
      <c r="C90" s="3" t="s">
        <v>1957</v>
      </c>
      <c r="D90" s="3" t="s">
        <v>1960</v>
      </c>
      <c r="E90" s="3" t="s">
        <v>1113</v>
      </c>
      <c r="F90" s="26">
        <v>44927</v>
      </c>
      <c r="G90" s="1">
        <v>2023</v>
      </c>
      <c r="H90" s="1" t="s">
        <v>61</v>
      </c>
      <c r="I90" s="3" t="s">
        <v>3184</v>
      </c>
      <c r="J90" s="1" t="s">
        <v>2515</v>
      </c>
      <c r="K90" s="1" t="s">
        <v>1959</v>
      </c>
      <c r="L90" s="1" t="b">
        <v>1</v>
      </c>
    </row>
    <row r="91" spans="1:12" ht="243.7" x14ac:dyDescent="0.5">
      <c r="A91" s="1" t="s">
        <v>3185</v>
      </c>
      <c r="B91" s="3" t="s">
        <v>971</v>
      </c>
      <c r="C91" s="3" t="s">
        <v>972</v>
      </c>
      <c r="D91" s="3" t="s">
        <v>969</v>
      </c>
      <c r="E91" s="3" t="s">
        <v>968</v>
      </c>
      <c r="F91" s="26">
        <v>45306</v>
      </c>
      <c r="G91" s="1">
        <v>2024</v>
      </c>
      <c r="H91" s="1" t="s">
        <v>61</v>
      </c>
      <c r="I91" s="3" t="s">
        <v>3186</v>
      </c>
      <c r="J91" s="1" t="s">
        <v>2515</v>
      </c>
      <c r="K91" s="1" t="s">
        <v>970</v>
      </c>
      <c r="L91" s="1" t="b">
        <v>1</v>
      </c>
    </row>
    <row r="92" spans="1:12" ht="272.35000000000002" x14ac:dyDescent="0.5">
      <c r="A92" s="1" t="s">
        <v>3187</v>
      </c>
      <c r="B92" s="3" t="s">
        <v>2368</v>
      </c>
      <c r="C92" s="3" t="s">
        <v>2367</v>
      </c>
      <c r="D92" s="3" t="s">
        <v>2370</v>
      </c>
      <c r="E92" s="3" t="s">
        <v>955</v>
      </c>
      <c r="F92" s="26">
        <v>44621</v>
      </c>
      <c r="G92" s="1">
        <v>2022</v>
      </c>
      <c r="H92" s="1" t="s">
        <v>61</v>
      </c>
      <c r="I92" s="3" t="s">
        <v>3188</v>
      </c>
      <c r="J92" s="1" t="s">
        <v>2515</v>
      </c>
      <c r="K92" s="1" t="s">
        <v>2369</v>
      </c>
      <c r="L92" s="1" t="b">
        <v>1</v>
      </c>
    </row>
    <row r="93" spans="1:12" ht="243.7" x14ac:dyDescent="0.5">
      <c r="A93" s="1" t="s">
        <v>3189</v>
      </c>
      <c r="B93" s="3" t="s">
        <v>1876</v>
      </c>
      <c r="C93" s="3" t="s">
        <v>1875</v>
      </c>
      <c r="D93" s="3" t="s">
        <v>1878</v>
      </c>
      <c r="E93" s="3" t="s">
        <v>939</v>
      </c>
      <c r="F93" s="26">
        <v>45214</v>
      </c>
      <c r="G93" s="1">
        <v>2023</v>
      </c>
      <c r="H93" s="1" t="s">
        <v>61</v>
      </c>
      <c r="I93" s="3" t="s">
        <v>3190</v>
      </c>
      <c r="J93" s="1" t="s">
        <v>2515</v>
      </c>
      <c r="K93" s="1" t="s">
        <v>1877</v>
      </c>
      <c r="L93" s="1" t="b">
        <v>1</v>
      </c>
    </row>
    <row r="94" spans="1:12" ht="243.7" x14ac:dyDescent="0.5">
      <c r="A94" s="1" t="s">
        <v>3191</v>
      </c>
      <c r="B94" s="3" t="s">
        <v>1804</v>
      </c>
      <c r="C94" s="3" t="s">
        <v>1803</v>
      </c>
      <c r="D94" s="3" t="s">
        <v>1806</v>
      </c>
      <c r="E94" s="3" t="s">
        <v>936</v>
      </c>
      <c r="F94" s="26">
        <v>45536</v>
      </c>
      <c r="G94" s="1">
        <v>2024</v>
      </c>
      <c r="H94" s="1" t="s">
        <v>61</v>
      </c>
      <c r="I94" s="3" t="s">
        <v>3192</v>
      </c>
      <c r="J94" s="1" t="s">
        <v>2515</v>
      </c>
      <c r="K94" s="1" t="s">
        <v>1805</v>
      </c>
      <c r="L94" s="1" t="b">
        <v>1</v>
      </c>
    </row>
    <row r="95" spans="1:12" ht="286.7" x14ac:dyDescent="0.5">
      <c r="A95" s="1" t="s">
        <v>3193</v>
      </c>
      <c r="B95" s="3" t="s">
        <v>1792</v>
      </c>
      <c r="C95" s="3" t="s">
        <v>1791</v>
      </c>
      <c r="D95" s="3" t="s">
        <v>1794</v>
      </c>
      <c r="E95" s="3" t="s">
        <v>918</v>
      </c>
      <c r="F95" s="26">
        <v>45519</v>
      </c>
      <c r="G95" s="1">
        <v>2024</v>
      </c>
      <c r="H95" s="1" t="s">
        <v>61</v>
      </c>
      <c r="I95" s="3" t="s">
        <v>3194</v>
      </c>
      <c r="J95" s="1" t="s">
        <v>2515</v>
      </c>
      <c r="K95" s="1" t="s">
        <v>1793</v>
      </c>
      <c r="L95" s="1" t="b">
        <v>1</v>
      </c>
    </row>
    <row r="96" spans="1:12" ht="200.7" x14ac:dyDescent="0.5">
      <c r="A96" s="1" t="s">
        <v>3195</v>
      </c>
      <c r="B96" s="3" t="s">
        <v>1231</v>
      </c>
      <c r="C96" s="3" t="s">
        <v>1230</v>
      </c>
      <c r="D96" s="3" t="s">
        <v>1233</v>
      </c>
      <c r="E96" s="3" t="s">
        <v>1113</v>
      </c>
      <c r="F96" s="26">
        <v>44788</v>
      </c>
      <c r="G96" s="1">
        <v>2022</v>
      </c>
      <c r="H96" s="1" t="s">
        <v>61</v>
      </c>
      <c r="I96" s="3" t="s">
        <v>3196</v>
      </c>
      <c r="J96" s="1" t="s">
        <v>2515</v>
      </c>
      <c r="K96" s="1" t="s">
        <v>1232</v>
      </c>
      <c r="L96" s="1" t="b">
        <v>1</v>
      </c>
    </row>
    <row r="97" spans="1:12" ht="272.35000000000002" x14ac:dyDescent="0.5">
      <c r="A97" s="1" t="s">
        <v>3197</v>
      </c>
      <c r="B97" s="3" t="s">
        <v>2351</v>
      </c>
      <c r="C97" s="3" t="s">
        <v>2350</v>
      </c>
      <c r="D97" s="3" t="s">
        <v>2353</v>
      </c>
      <c r="E97" s="3" t="s">
        <v>950</v>
      </c>
      <c r="F97" s="26">
        <v>45611</v>
      </c>
      <c r="G97" s="1">
        <v>2024</v>
      </c>
      <c r="H97" s="1" t="s">
        <v>61</v>
      </c>
      <c r="I97" s="3" t="s">
        <v>3198</v>
      </c>
      <c r="J97" s="1" t="s">
        <v>2515</v>
      </c>
      <c r="K97" s="1" t="s">
        <v>2352</v>
      </c>
      <c r="L97" s="1" t="b">
        <v>1</v>
      </c>
    </row>
    <row r="98" spans="1:12" ht="315.35000000000002" x14ac:dyDescent="0.5">
      <c r="A98" s="1" t="s">
        <v>3199</v>
      </c>
      <c r="B98" s="3" t="s">
        <v>1266</v>
      </c>
      <c r="C98" s="3" t="s">
        <v>1265</v>
      </c>
      <c r="D98" s="3" t="s">
        <v>1268</v>
      </c>
      <c r="E98" s="3" t="s">
        <v>956</v>
      </c>
      <c r="F98" s="26">
        <v>44743</v>
      </c>
      <c r="G98" s="1">
        <v>2022</v>
      </c>
      <c r="H98" s="1" t="s">
        <v>61</v>
      </c>
      <c r="I98" s="3" t="s">
        <v>3200</v>
      </c>
      <c r="J98" s="1" t="s">
        <v>2515</v>
      </c>
      <c r="K98" s="1" t="s">
        <v>1267</v>
      </c>
      <c r="L98" s="1" t="b">
        <v>1</v>
      </c>
    </row>
    <row r="99" spans="1:12" ht="200.7" x14ac:dyDescent="0.5">
      <c r="A99" s="1" t="s">
        <v>3201</v>
      </c>
      <c r="B99" s="3" t="s">
        <v>2155</v>
      </c>
      <c r="C99" s="3" t="s">
        <v>2154</v>
      </c>
      <c r="D99" s="3" t="s">
        <v>2157</v>
      </c>
      <c r="E99" s="3" t="s">
        <v>1006</v>
      </c>
      <c r="F99" s="26">
        <v>43191</v>
      </c>
      <c r="G99" s="1">
        <v>2018</v>
      </c>
      <c r="H99" s="1" t="s">
        <v>61</v>
      </c>
      <c r="I99" s="3" t="s">
        <v>3202</v>
      </c>
      <c r="J99" s="1" t="s">
        <v>2515</v>
      </c>
      <c r="K99" s="1" t="s">
        <v>2156</v>
      </c>
      <c r="L99" s="1" t="b">
        <v>1</v>
      </c>
    </row>
    <row r="100" spans="1:12" ht="243.7" x14ac:dyDescent="0.5">
      <c r="A100" s="1" t="s">
        <v>3203</v>
      </c>
      <c r="B100" s="3" t="s">
        <v>2130</v>
      </c>
      <c r="C100" s="3" t="s">
        <v>2129</v>
      </c>
      <c r="D100" s="3" t="s">
        <v>2132</v>
      </c>
      <c r="E100" s="3" t="s">
        <v>920</v>
      </c>
      <c r="F100" s="26">
        <v>44382</v>
      </c>
      <c r="G100" s="1">
        <v>2021</v>
      </c>
      <c r="H100" s="1" t="s">
        <v>61</v>
      </c>
      <c r="I100" s="3" t="s">
        <v>3204</v>
      </c>
      <c r="J100" s="1" t="s">
        <v>2515</v>
      </c>
      <c r="K100" s="1" t="s">
        <v>2131</v>
      </c>
      <c r="L100" s="1" t="b">
        <v>1</v>
      </c>
    </row>
    <row r="101" spans="1:12" ht="229.35" x14ac:dyDescent="0.5">
      <c r="A101" s="1" t="s">
        <v>3205</v>
      </c>
      <c r="B101" s="3" t="s">
        <v>1689</v>
      </c>
      <c r="C101" s="3" t="s">
        <v>1688</v>
      </c>
      <c r="D101" s="3" t="s">
        <v>1691</v>
      </c>
      <c r="E101" s="3" t="s">
        <v>1122</v>
      </c>
      <c r="F101" s="26">
        <v>42064</v>
      </c>
      <c r="G101" s="1">
        <v>2015</v>
      </c>
      <c r="H101" s="1" t="s">
        <v>61</v>
      </c>
      <c r="I101" s="3" t="s">
        <v>3206</v>
      </c>
      <c r="J101" s="1" t="s">
        <v>2515</v>
      </c>
      <c r="K101" s="1" t="s">
        <v>1690</v>
      </c>
      <c r="L101" s="1" t="b">
        <v>1</v>
      </c>
    </row>
    <row r="102" spans="1:12" ht="329.7" x14ac:dyDescent="0.5">
      <c r="A102" s="1" t="s">
        <v>3207</v>
      </c>
      <c r="B102" s="3" t="s">
        <v>1930</v>
      </c>
      <c r="C102" s="3" t="s">
        <v>1929</v>
      </c>
      <c r="D102" s="3" t="s">
        <v>1932</v>
      </c>
      <c r="E102" s="3" t="s">
        <v>935</v>
      </c>
      <c r="F102" s="26">
        <v>45306</v>
      </c>
      <c r="G102" s="1">
        <v>2024</v>
      </c>
      <c r="H102" s="1" t="s">
        <v>61</v>
      </c>
      <c r="I102" s="3" t="s">
        <v>3208</v>
      </c>
      <c r="J102" s="1" t="s">
        <v>2515</v>
      </c>
      <c r="K102" s="1" t="s">
        <v>1931</v>
      </c>
      <c r="L102" s="1" t="b">
        <v>1</v>
      </c>
    </row>
    <row r="103" spans="1:12" ht="229.35" x14ac:dyDescent="0.5">
      <c r="A103" s="1" t="s">
        <v>3209</v>
      </c>
      <c r="B103" s="3" t="s">
        <v>1657</v>
      </c>
      <c r="C103" s="3" t="s">
        <v>1656</v>
      </c>
      <c r="D103" s="3" t="s">
        <v>1659</v>
      </c>
      <c r="E103" s="3" t="s">
        <v>1122</v>
      </c>
      <c r="F103" s="26">
        <v>44470</v>
      </c>
      <c r="G103" s="1">
        <v>2021</v>
      </c>
      <c r="H103" s="1" t="s">
        <v>61</v>
      </c>
      <c r="I103" s="3" t="s">
        <v>3210</v>
      </c>
      <c r="J103" s="1" t="s">
        <v>2515</v>
      </c>
      <c r="K103" s="1" t="s">
        <v>1658</v>
      </c>
      <c r="L103" s="1" t="b">
        <v>1</v>
      </c>
    </row>
    <row r="104" spans="1:12" ht="243.7" x14ac:dyDescent="0.5">
      <c r="A104" s="1" t="s">
        <v>3211</v>
      </c>
      <c r="B104" s="3" t="s">
        <v>2192</v>
      </c>
      <c r="C104" s="3" t="s">
        <v>2191</v>
      </c>
      <c r="D104" s="3" t="s">
        <v>2194</v>
      </c>
      <c r="E104" s="3" t="s">
        <v>921</v>
      </c>
      <c r="F104" s="26">
        <v>44256</v>
      </c>
      <c r="G104" s="1">
        <v>2021</v>
      </c>
      <c r="H104" s="1" t="s">
        <v>61</v>
      </c>
      <c r="I104" s="3" t="s">
        <v>3212</v>
      </c>
      <c r="J104" s="1" t="s">
        <v>2515</v>
      </c>
      <c r="K104" s="1" t="s">
        <v>2193</v>
      </c>
      <c r="L104" s="1" t="b">
        <v>1</v>
      </c>
    </row>
    <row r="105" spans="1:12" ht="157.69999999999999" x14ac:dyDescent="0.5">
      <c r="A105" s="1" t="s">
        <v>3213</v>
      </c>
      <c r="B105" s="3" t="s">
        <v>976</v>
      </c>
      <c r="C105" s="3" t="s">
        <v>977</v>
      </c>
      <c r="D105" s="3" t="s">
        <v>974</v>
      </c>
      <c r="E105" s="3" t="s">
        <v>954</v>
      </c>
      <c r="F105" s="26">
        <v>45631</v>
      </c>
      <c r="G105" s="1">
        <v>2024</v>
      </c>
      <c r="H105" s="1" t="s">
        <v>61</v>
      </c>
      <c r="I105" s="3" t="s">
        <v>3214</v>
      </c>
      <c r="J105" s="1" t="s">
        <v>2515</v>
      </c>
      <c r="K105" s="1" t="s">
        <v>975</v>
      </c>
      <c r="L105" s="1" t="b">
        <v>1</v>
      </c>
    </row>
    <row r="106" spans="1:12" ht="229.35" x14ac:dyDescent="0.5">
      <c r="A106" s="1" t="s">
        <v>3215</v>
      </c>
      <c r="B106" s="3" t="s">
        <v>1064</v>
      </c>
      <c r="C106" s="3" t="s">
        <v>1063</v>
      </c>
      <c r="D106" s="3" t="s">
        <v>1066</v>
      </c>
      <c r="E106" s="3" t="s">
        <v>922</v>
      </c>
      <c r="F106" s="26">
        <v>44515</v>
      </c>
      <c r="G106" s="1">
        <v>2021</v>
      </c>
      <c r="H106" s="1" t="s">
        <v>61</v>
      </c>
      <c r="I106" s="3" t="s">
        <v>3216</v>
      </c>
      <c r="J106" s="1" t="s">
        <v>2515</v>
      </c>
      <c r="K106" s="1" t="s">
        <v>1065</v>
      </c>
      <c r="L106" s="1" t="b">
        <v>1</v>
      </c>
    </row>
    <row r="107" spans="1:12" ht="186.35" x14ac:dyDescent="0.5">
      <c r="A107" s="1" t="s">
        <v>3217</v>
      </c>
      <c r="B107" s="3" t="s">
        <v>1148</v>
      </c>
      <c r="C107" s="3" t="s">
        <v>1147</v>
      </c>
      <c r="D107" s="3" t="s">
        <v>1151</v>
      </c>
      <c r="E107" s="3" t="s">
        <v>1149</v>
      </c>
      <c r="F107" s="26">
        <v>43983</v>
      </c>
      <c r="G107" s="1">
        <v>2020</v>
      </c>
      <c r="H107" s="1" t="s">
        <v>61</v>
      </c>
      <c r="I107" s="3" t="s">
        <v>3218</v>
      </c>
      <c r="J107" s="1" t="s">
        <v>2515</v>
      </c>
      <c r="K107" s="1" t="s">
        <v>1150</v>
      </c>
      <c r="L107" s="1" t="b">
        <v>1</v>
      </c>
    </row>
    <row r="108" spans="1:12" ht="301" x14ac:dyDescent="0.5">
      <c r="A108" s="1" t="s">
        <v>3219</v>
      </c>
      <c r="B108" s="3" t="s">
        <v>1784</v>
      </c>
      <c r="C108" s="3" t="s">
        <v>1783</v>
      </c>
      <c r="D108" s="3" t="s">
        <v>1786</v>
      </c>
      <c r="E108" s="3" t="s">
        <v>960</v>
      </c>
      <c r="F108" s="26">
        <v>44515</v>
      </c>
      <c r="G108" s="1">
        <v>2021</v>
      </c>
      <c r="H108" s="1" t="s">
        <v>61</v>
      </c>
      <c r="I108" s="3" t="s">
        <v>3220</v>
      </c>
      <c r="J108" s="1" t="s">
        <v>2515</v>
      </c>
      <c r="K108" s="1" t="s">
        <v>1785</v>
      </c>
      <c r="L108" s="1" t="b">
        <v>1</v>
      </c>
    </row>
    <row r="109" spans="1:12" ht="243.7" x14ac:dyDescent="0.5">
      <c r="A109" s="1" t="s">
        <v>3221</v>
      </c>
      <c r="B109" s="3" t="s">
        <v>1056</v>
      </c>
      <c r="C109" s="3" t="s">
        <v>1055</v>
      </c>
      <c r="D109" s="3" t="s">
        <v>1058</v>
      </c>
      <c r="E109" s="3" t="s">
        <v>973</v>
      </c>
      <c r="F109" s="26">
        <v>44531</v>
      </c>
      <c r="G109" s="1">
        <v>2021</v>
      </c>
      <c r="H109" s="1" t="s">
        <v>61</v>
      </c>
      <c r="I109" s="3" t="s">
        <v>3222</v>
      </c>
      <c r="J109" s="1" t="s">
        <v>2515</v>
      </c>
      <c r="K109" s="1" t="s">
        <v>1057</v>
      </c>
      <c r="L109" s="1" t="b">
        <v>1</v>
      </c>
    </row>
    <row r="110" spans="1:12" ht="229.35" x14ac:dyDescent="0.5">
      <c r="A110" s="1" t="s">
        <v>3223</v>
      </c>
      <c r="B110" s="3" t="s">
        <v>1652</v>
      </c>
      <c r="C110" s="3" t="s">
        <v>1651</v>
      </c>
      <c r="D110" s="3" t="s">
        <v>1655</v>
      </c>
      <c r="E110" s="3" t="s">
        <v>1653</v>
      </c>
      <c r="F110" s="26">
        <v>44713</v>
      </c>
      <c r="G110" s="1">
        <v>2022</v>
      </c>
      <c r="H110" s="1" t="s">
        <v>61</v>
      </c>
      <c r="I110" s="3" t="s">
        <v>3224</v>
      </c>
      <c r="J110" s="1" t="s">
        <v>2515</v>
      </c>
      <c r="K110" s="1" t="s">
        <v>1654</v>
      </c>
      <c r="L110" s="1" t="b">
        <v>1</v>
      </c>
    </row>
    <row r="111" spans="1:12" ht="186.35" x14ac:dyDescent="0.5">
      <c r="A111" s="1" t="s">
        <v>3225</v>
      </c>
      <c r="B111" s="3" t="s">
        <v>2235</v>
      </c>
      <c r="C111" s="3" t="s">
        <v>2234</v>
      </c>
      <c r="D111" s="3" t="s">
        <v>2238</v>
      </c>
      <c r="E111" s="3" t="s">
        <v>2236</v>
      </c>
      <c r="F111" s="26">
        <v>40695</v>
      </c>
      <c r="G111" s="1">
        <v>2011</v>
      </c>
      <c r="H111" s="1" t="s">
        <v>61</v>
      </c>
      <c r="I111" s="3" t="s">
        <v>3226</v>
      </c>
      <c r="J111" s="1" t="s">
        <v>2515</v>
      </c>
      <c r="K111" s="1" t="s">
        <v>2237</v>
      </c>
      <c r="L111" s="1" t="b">
        <v>1</v>
      </c>
    </row>
    <row r="112" spans="1:12" ht="157.69999999999999" x14ac:dyDescent="0.5">
      <c r="A112" s="1" t="s">
        <v>3227</v>
      </c>
      <c r="B112" s="3" t="s">
        <v>2134</v>
      </c>
      <c r="C112" s="3" t="s">
        <v>2133</v>
      </c>
      <c r="D112" s="3" t="s">
        <v>2137</v>
      </c>
      <c r="E112" s="3" t="s">
        <v>2135</v>
      </c>
      <c r="F112" s="26">
        <v>40210</v>
      </c>
      <c r="G112" s="1">
        <v>2010</v>
      </c>
      <c r="H112" s="1" t="s">
        <v>61</v>
      </c>
      <c r="I112" s="3" t="s">
        <v>3228</v>
      </c>
      <c r="J112" s="1" t="s">
        <v>2515</v>
      </c>
      <c r="K112" s="1" t="s">
        <v>2136</v>
      </c>
      <c r="L112" s="1" t="b">
        <v>1</v>
      </c>
    </row>
    <row r="113" spans="1:12" ht="301" x14ac:dyDescent="0.5">
      <c r="A113" s="1" t="s">
        <v>3229</v>
      </c>
      <c r="B113" s="3" t="s">
        <v>1377</v>
      </c>
      <c r="C113" s="3" t="s">
        <v>1376</v>
      </c>
      <c r="D113" s="3" t="s">
        <v>1379</v>
      </c>
      <c r="E113" s="3" t="s">
        <v>938</v>
      </c>
      <c r="F113" s="26">
        <v>45627</v>
      </c>
      <c r="G113" s="1">
        <v>2024</v>
      </c>
      <c r="H113" s="1" t="s">
        <v>61</v>
      </c>
      <c r="I113" s="3" t="s">
        <v>3230</v>
      </c>
      <c r="J113" s="1" t="s">
        <v>2515</v>
      </c>
      <c r="K113" s="1" t="s">
        <v>1378</v>
      </c>
      <c r="L113" s="1" t="b">
        <v>1</v>
      </c>
    </row>
    <row r="114" spans="1:12" ht="243.7" x14ac:dyDescent="0.5">
      <c r="A114" s="1" t="s">
        <v>3231</v>
      </c>
      <c r="B114" s="3" t="s">
        <v>1068</v>
      </c>
      <c r="C114" s="3" t="s">
        <v>1067</v>
      </c>
      <c r="D114" s="3" t="s">
        <v>1071</v>
      </c>
      <c r="E114" s="3" t="s">
        <v>1069</v>
      </c>
      <c r="F114" s="26">
        <v>44927</v>
      </c>
      <c r="G114" s="1">
        <v>2023</v>
      </c>
      <c r="H114" s="1" t="s">
        <v>61</v>
      </c>
      <c r="I114" s="3" t="s">
        <v>3232</v>
      </c>
      <c r="J114" s="1" t="s">
        <v>2515</v>
      </c>
      <c r="K114" s="1" t="s">
        <v>1070</v>
      </c>
      <c r="L114" s="1" t="b">
        <v>1</v>
      </c>
    </row>
    <row r="115" spans="1:12" ht="215" x14ac:dyDescent="0.5">
      <c r="A115" s="1" t="s">
        <v>3233</v>
      </c>
      <c r="B115" s="3" t="s">
        <v>1095</v>
      </c>
      <c r="C115" s="3" t="s">
        <v>1094</v>
      </c>
      <c r="D115" s="3" t="s">
        <v>1097</v>
      </c>
      <c r="E115" s="3" t="s">
        <v>942</v>
      </c>
      <c r="F115" s="26">
        <v>44995</v>
      </c>
      <c r="G115" s="1">
        <v>2023</v>
      </c>
      <c r="H115" s="1" t="s">
        <v>61</v>
      </c>
      <c r="I115" s="3" t="s">
        <v>3234</v>
      </c>
      <c r="J115" s="1" t="s">
        <v>2515</v>
      </c>
      <c r="K115" s="1" t="s">
        <v>1096</v>
      </c>
      <c r="L115" s="1" t="b">
        <v>1</v>
      </c>
    </row>
    <row r="116" spans="1:12" ht="272.35000000000002" x14ac:dyDescent="0.5">
      <c r="A116" s="1" t="s">
        <v>3235</v>
      </c>
      <c r="B116" s="3" t="s">
        <v>1138</v>
      </c>
      <c r="C116" s="3" t="s">
        <v>1137</v>
      </c>
      <c r="D116" s="3" t="s">
        <v>1141</v>
      </c>
      <c r="E116" s="3" t="s">
        <v>1139</v>
      </c>
      <c r="F116" s="26">
        <v>43922</v>
      </c>
      <c r="G116" s="1">
        <v>2020</v>
      </c>
      <c r="H116" s="1" t="s">
        <v>61</v>
      </c>
      <c r="I116" s="3" t="s">
        <v>3236</v>
      </c>
      <c r="J116" s="1" t="s">
        <v>2515</v>
      </c>
      <c r="K116" s="1" t="s">
        <v>1140</v>
      </c>
      <c r="L116" s="1" t="b">
        <v>1</v>
      </c>
    </row>
    <row r="117" spans="1:12" ht="229.35" x14ac:dyDescent="0.5">
      <c r="A117" s="1" t="s">
        <v>3237</v>
      </c>
      <c r="B117" s="3" t="s">
        <v>1865</v>
      </c>
      <c r="C117" s="3" t="s">
        <v>1864</v>
      </c>
      <c r="D117" s="3" t="s">
        <v>1867</v>
      </c>
      <c r="E117" s="3" t="s">
        <v>957</v>
      </c>
      <c r="F117" s="26">
        <v>44805</v>
      </c>
      <c r="G117" s="1">
        <v>2022</v>
      </c>
      <c r="H117" s="1" t="s">
        <v>61</v>
      </c>
      <c r="I117" s="3" t="s">
        <v>3238</v>
      </c>
      <c r="J117" s="1" t="s">
        <v>2515</v>
      </c>
      <c r="K117" s="1" t="s">
        <v>1866</v>
      </c>
      <c r="L117" s="1" t="b">
        <v>1</v>
      </c>
    </row>
    <row r="118" spans="1:12" ht="272.35000000000002" x14ac:dyDescent="0.5">
      <c r="A118" s="1" t="s">
        <v>3239</v>
      </c>
      <c r="B118" s="3" t="s">
        <v>980</v>
      </c>
      <c r="C118" s="3" t="s">
        <v>981</v>
      </c>
      <c r="D118" s="3" t="s">
        <v>978</v>
      </c>
      <c r="E118" s="3" t="s">
        <v>918</v>
      </c>
      <c r="F118" s="26">
        <v>45413</v>
      </c>
      <c r="G118" s="1">
        <v>2024</v>
      </c>
      <c r="H118" s="1" t="s">
        <v>61</v>
      </c>
      <c r="I118" s="3" t="s">
        <v>3240</v>
      </c>
      <c r="J118" s="1" t="s">
        <v>2515</v>
      </c>
      <c r="K118" s="1" t="s">
        <v>979</v>
      </c>
      <c r="L118" s="1" t="b">
        <v>1</v>
      </c>
    </row>
    <row r="119" spans="1:12" ht="215" x14ac:dyDescent="0.5">
      <c r="A119" s="1" t="s">
        <v>3241</v>
      </c>
      <c r="B119" s="3" t="s">
        <v>1042</v>
      </c>
      <c r="C119" s="3" t="s">
        <v>1041</v>
      </c>
      <c r="D119" s="3" t="s">
        <v>1044</v>
      </c>
      <c r="E119" s="3" t="s">
        <v>948</v>
      </c>
      <c r="F119" s="26">
        <v>45017</v>
      </c>
      <c r="G119" s="1">
        <v>2023</v>
      </c>
      <c r="H119" s="1" t="s">
        <v>61</v>
      </c>
      <c r="I119" s="3" t="s">
        <v>3242</v>
      </c>
      <c r="J119" s="1" t="s">
        <v>2515</v>
      </c>
      <c r="K119" s="1" t="s">
        <v>1043</v>
      </c>
      <c r="L119" s="1" t="b">
        <v>1</v>
      </c>
    </row>
    <row r="120" spans="1:12" ht="243.7" x14ac:dyDescent="0.5">
      <c r="A120" s="1" t="s">
        <v>3243</v>
      </c>
      <c r="B120" s="3" t="s">
        <v>2110</v>
      </c>
      <c r="C120" s="3" t="s">
        <v>2109</v>
      </c>
      <c r="D120" s="3" t="s">
        <v>2112</v>
      </c>
      <c r="E120" s="3" t="s">
        <v>938</v>
      </c>
      <c r="F120" s="26">
        <v>42705</v>
      </c>
      <c r="G120" s="1">
        <v>2016</v>
      </c>
      <c r="H120" s="1" t="s">
        <v>61</v>
      </c>
      <c r="I120" s="3" t="s">
        <v>3244</v>
      </c>
      <c r="J120" s="1" t="s">
        <v>2515</v>
      </c>
      <c r="K120" s="1" t="s">
        <v>2111</v>
      </c>
      <c r="L120" s="1" t="b">
        <v>1</v>
      </c>
    </row>
    <row r="121" spans="1:12" ht="200.7" x14ac:dyDescent="0.5">
      <c r="A121" s="1" t="s">
        <v>3245</v>
      </c>
      <c r="B121" s="3" t="s">
        <v>1037</v>
      </c>
      <c r="C121" s="3" t="s">
        <v>1036</v>
      </c>
      <c r="D121" s="3" t="s">
        <v>1040</v>
      </c>
      <c r="E121" s="3" t="s">
        <v>1038</v>
      </c>
      <c r="F121" s="26">
        <v>43876</v>
      </c>
      <c r="G121" s="1">
        <v>2020</v>
      </c>
      <c r="H121" s="1" t="s">
        <v>61</v>
      </c>
      <c r="I121" s="3" t="s">
        <v>3246</v>
      </c>
      <c r="J121" s="1" t="s">
        <v>2515</v>
      </c>
      <c r="K121" s="1" t="s">
        <v>1039</v>
      </c>
      <c r="L121" s="1" t="b">
        <v>1</v>
      </c>
    </row>
    <row r="122" spans="1:12" ht="243.7" x14ac:dyDescent="0.5">
      <c r="A122" s="1" t="s">
        <v>3247</v>
      </c>
      <c r="B122" s="3" t="s">
        <v>1416</v>
      </c>
      <c r="C122" s="3" t="s">
        <v>1415</v>
      </c>
      <c r="D122" s="3" t="s">
        <v>1419</v>
      </c>
      <c r="E122" s="3" t="s">
        <v>1417</v>
      </c>
      <c r="F122" s="26">
        <v>44713</v>
      </c>
      <c r="G122" s="1">
        <v>2022</v>
      </c>
      <c r="H122" s="1" t="s">
        <v>61</v>
      </c>
      <c r="I122" s="3" t="s">
        <v>3248</v>
      </c>
      <c r="J122" s="1" t="s">
        <v>2515</v>
      </c>
      <c r="K122" s="1" t="s">
        <v>1418</v>
      </c>
      <c r="L122" s="1" t="b">
        <v>1</v>
      </c>
    </row>
    <row r="123" spans="1:12" ht="157.69999999999999" x14ac:dyDescent="0.5">
      <c r="A123" s="1" t="s">
        <v>3249</v>
      </c>
      <c r="B123" s="3" t="s">
        <v>2084</v>
      </c>
      <c r="C123" s="3" t="s">
        <v>2083</v>
      </c>
      <c r="D123" s="3" t="s">
        <v>2086</v>
      </c>
      <c r="E123" s="3" t="s">
        <v>1014</v>
      </c>
      <c r="F123" s="26">
        <v>43252</v>
      </c>
      <c r="G123" s="1">
        <v>2018</v>
      </c>
      <c r="H123" s="1" t="s">
        <v>61</v>
      </c>
      <c r="I123" s="3" t="s">
        <v>3250</v>
      </c>
      <c r="J123" s="1" t="s">
        <v>2515</v>
      </c>
      <c r="K123" s="1" t="s">
        <v>2085</v>
      </c>
      <c r="L123" s="1" t="b">
        <v>1</v>
      </c>
    </row>
    <row r="124" spans="1:12" ht="258" x14ac:dyDescent="0.5">
      <c r="A124" s="1" t="s">
        <v>3251</v>
      </c>
      <c r="B124" s="3" t="s">
        <v>1849</v>
      </c>
      <c r="C124" s="3" t="s">
        <v>1848</v>
      </c>
      <c r="D124" s="3" t="s">
        <v>1851</v>
      </c>
      <c r="E124" s="3" t="s">
        <v>996</v>
      </c>
      <c r="F124" s="26">
        <v>44348</v>
      </c>
      <c r="G124" s="1">
        <v>2021</v>
      </c>
      <c r="H124" s="1" t="s">
        <v>61</v>
      </c>
      <c r="I124" s="3" t="s">
        <v>3252</v>
      </c>
      <c r="J124" s="1" t="s">
        <v>2515</v>
      </c>
      <c r="K124" s="1" t="s">
        <v>1850</v>
      </c>
      <c r="L124" s="1" t="b">
        <v>1</v>
      </c>
    </row>
    <row r="125" spans="1:12" ht="243.7" x14ac:dyDescent="0.5">
      <c r="A125" s="1" t="s">
        <v>3253</v>
      </c>
      <c r="B125" s="3" t="s">
        <v>1491</v>
      </c>
      <c r="C125" s="3" t="s">
        <v>1490</v>
      </c>
      <c r="D125" s="3" t="s">
        <v>1493</v>
      </c>
      <c r="E125" s="3" t="s">
        <v>939</v>
      </c>
      <c r="F125" s="26">
        <v>44515</v>
      </c>
      <c r="G125" s="1">
        <v>2021</v>
      </c>
      <c r="H125" s="1" t="s">
        <v>61</v>
      </c>
      <c r="I125" s="3" t="s">
        <v>3254</v>
      </c>
      <c r="J125" s="1" t="s">
        <v>2515</v>
      </c>
      <c r="K125" s="1" t="s">
        <v>1492</v>
      </c>
      <c r="L125" s="1" t="b">
        <v>1</v>
      </c>
    </row>
    <row r="126" spans="1:12" ht="258" x14ac:dyDescent="0.5">
      <c r="A126" s="1" t="s">
        <v>3255</v>
      </c>
      <c r="B126" s="3" t="s">
        <v>1326</v>
      </c>
      <c r="C126" s="3" t="s">
        <v>1325</v>
      </c>
      <c r="D126" s="3" t="s">
        <v>1328</v>
      </c>
      <c r="E126" s="3" t="s">
        <v>939</v>
      </c>
      <c r="F126" s="26">
        <v>44774</v>
      </c>
      <c r="G126" s="1">
        <v>2022</v>
      </c>
      <c r="H126" s="1" t="s">
        <v>61</v>
      </c>
      <c r="I126" s="3" t="s">
        <v>3256</v>
      </c>
      <c r="J126" s="1" t="s">
        <v>2515</v>
      </c>
      <c r="K126" s="1" t="s">
        <v>1327</v>
      </c>
      <c r="L126" s="1" t="b">
        <v>1</v>
      </c>
    </row>
    <row r="127" spans="1:12" ht="286.7" x14ac:dyDescent="0.5">
      <c r="A127" s="1" t="s">
        <v>3257</v>
      </c>
      <c r="B127" s="3" t="s">
        <v>1780</v>
      </c>
      <c r="C127" s="3" t="s">
        <v>1779</v>
      </c>
      <c r="D127" s="3" t="s">
        <v>1782</v>
      </c>
      <c r="E127" s="3" t="s">
        <v>932</v>
      </c>
      <c r="F127" s="26">
        <v>44652</v>
      </c>
      <c r="G127" s="1">
        <v>2022</v>
      </c>
      <c r="H127" s="1" t="s">
        <v>61</v>
      </c>
      <c r="I127" s="3" t="s">
        <v>3258</v>
      </c>
      <c r="J127" s="1" t="s">
        <v>2515</v>
      </c>
      <c r="K127" s="1" t="s">
        <v>1781</v>
      </c>
      <c r="L127" s="1" t="b">
        <v>1</v>
      </c>
    </row>
    <row r="128" spans="1:12" ht="409.6" x14ac:dyDescent="0.5">
      <c r="A128" s="1" t="s">
        <v>3259</v>
      </c>
      <c r="B128" s="3" t="s">
        <v>2275</v>
      </c>
      <c r="C128" s="3" t="s">
        <v>2274</v>
      </c>
      <c r="D128" s="3" t="s">
        <v>2278</v>
      </c>
      <c r="E128" s="3" t="s">
        <v>2276</v>
      </c>
      <c r="F128" s="26">
        <v>42309</v>
      </c>
      <c r="G128" s="1">
        <v>2015</v>
      </c>
      <c r="H128" s="1" t="s">
        <v>61</v>
      </c>
      <c r="I128" s="3" t="s">
        <v>3260</v>
      </c>
      <c r="J128" s="1" t="s">
        <v>2515</v>
      </c>
      <c r="K128" s="1" t="s">
        <v>2277</v>
      </c>
      <c r="L128" s="1" t="b">
        <v>1</v>
      </c>
    </row>
    <row r="129" spans="1:12" ht="200.7" x14ac:dyDescent="0.5">
      <c r="A129" s="1" t="s">
        <v>3261</v>
      </c>
      <c r="B129" s="3" t="s">
        <v>1339</v>
      </c>
      <c r="C129" s="3" t="s">
        <v>1338</v>
      </c>
      <c r="D129" s="3" t="s">
        <v>1341</v>
      </c>
      <c r="E129" s="3" t="s">
        <v>949</v>
      </c>
      <c r="F129" s="26">
        <v>45200</v>
      </c>
      <c r="G129" s="1">
        <v>2023</v>
      </c>
      <c r="H129" s="1" t="s">
        <v>61</v>
      </c>
      <c r="I129" s="3" t="s">
        <v>3262</v>
      </c>
      <c r="J129" s="1" t="s">
        <v>2515</v>
      </c>
      <c r="K129" s="1" t="s">
        <v>1340</v>
      </c>
      <c r="L129" s="1" t="b">
        <v>1</v>
      </c>
    </row>
    <row r="130" spans="1:12" ht="286.7" x14ac:dyDescent="0.5">
      <c r="A130" s="1" t="s">
        <v>3263</v>
      </c>
      <c r="B130" s="3" t="s">
        <v>2180</v>
      </c>
      <c r="C130" s="3" t="s">
        <v>2179</v>
      </c>
      <c r="D130" s="3" t="s">
        <v>2182</v>
      </c>
      <c r="E130" s="3" t="s">
        <v>1006</v>
      </c>
      <c r="F130" s="26">
        <v>44317</v>
      </c>
      <c r="G130" s="1">
        <v>2021</v>
      </c>
      <c r="H130" s="1" t="s">
        <v>61</v>
      </c>
      <c r="I130" s="3" t="s">
        <v>3264</v>
      </c>
      <c r="J130" s="1" t="s">
        <v>2515</v>
      </c>
      <c r="K130" s="1" t="s">
        <v>2181</v>
      </c>
      <c r="L130" s="1" t="b">
        <v>1</v>
      </c>
    </row>
    <row r="131" spans="1:12" ht="243.7" x14ac:dyDescent="0.5">
      <c r="A131" s="1" t="s">
        <v>3390</v>
      </c>
      <c r="B131" s="3" t="s">
        <v>1411</v>
      </c>
      <c r="C131" s="3" t="s">
        <v>1410</v>
      </c>
      <c r="D131" s="3" t="s">
        <v>1414</v>
      </c>
      <c r="E131" s="3" t="s">
        <v>1412</v>
      </c>
      <c r="F131" s="26">
        <v>45413</v>
      </c>
      <c r="G131" s="1">
        <v>2024</v>
      </c>
      <c r="H131" s="1" t="s">
        <v>61</v>
      </c>
      <c r="I131" s="3" t="s">
        <v>3391</v>
      </c>
      <c r="J131" s="1" t="s">
        <v>2515</v>
      </c>
      <c r="K131" s="1" t="s">
        <v>1413</v>
      </c>
      <c r="L131" s="1" t="b">
        <v>1</v>
      </c>
    </row>
    <row r="132" spans="1:12" ht="186.35" x14ac:dyDescent="0.5">
      <c r="A132" s="1" t="s">
        <v>3392</v>
      </c>
      <c r="B132" s="3" t="s">
        <v>1748</v>
      </c>
      <c r="C132" s="3" t="s">
        <v>1747</v>
      </c>
      <c r="D132" s="3" t="s">
        <v>1750</v>
      </c>
      <c r="E132" s="3" t="s">
        <v>954</v>
      </c>
      <c r="F132" s="26">
        <v>43771</v>
      </c>
      <c r="G132" s="1">
        <v>2019</v>
      </c>
      <c r="H132" s="1" t="s">
        <v>61</v>
      </c>
      <c r="I132" s="3" t="s">
        <v>3393</v>
      </c>
      <c r="J132" s="1" t="s">
        <v>2515</v>
      </c>
      <c r="K132" s="1" t="s">
        <v>1749</v>
      </c>
      <c r="L132" s="1" t="b">
        <v>1</v>
      </c>
    </row>
    <row r="133" spans="1:12" ht="286.7" x14ac:dyDescent="0.5">
      <c r="A133" s="1" t="s">
        <v>3394</v>
      </c>
      <c r="B133" s="3" t="s">
        <v>1450</v>
      </c>
      <c r="C133" s="3" t="s">
        <v>1449</v>
      </c>
      <c r="D133" s="3" t="s">
        <v>1452</v>
      </c>
      <c r="E133" s="3" t="s">
        <v>985</v>
      </c>
      <c r="F133" s="26">
        <v>43862</v>
      </c>
      <c r="G133" s="1">
        <v>2020</v>
      </c>
      <c r="H133" s="1" t="s">
        <v>61</v>
      </c>
      <c r="I133" s="3" t="s">
        <v>3395</v>
      </c>
      <c r="J133" s="1" t="s">
        <v>2515</v>
      </c>
      <c r="K133" s="1" t="s">
        <v>1451</v>
      </c>
      <c r="L133" s="1" t="b">
        <v>1</v>
      </c>
    </row>
    <row r="134" spans="1:12" ht="272.35000000000002" x14ac:dyDescent="0.5">
      <c r="A134" s="1" t="s">
        <v>3396</v>
      </c>
      <c r="B134" s="3" t="s">
        <v>1677</v>
      </c>
      <c r="C134" s="3" t="s">
        <v>1676</v>
      </c>
      <c r="D134" s="3" t="s">
        <v>1679</v>
      </c>
      <c r="E134" s="3" t="s">
        <v>960</v>
      </c>
      <c r="F134" s="26">
        <v>44389</v>
      </c>
      <c r="G134" s="1">
        <v>2021</v>
      </c>
      <c r="H134" s="1" t="s">
        <v>61</v>
      </c>
      <c r="I134" s="3" t="s">
        <v>3397</v>
      </c>
      <c r="J134" s="1" t="s">
        <v>2515</v>
      </c>
      <c r="K134" s="1" t="s">
        <v>1678</v>
      </c>
      <c r="L134" s="1" t="b">
        <v>1</v>
      </c>
    </row>
    <row r="135" spans="1:12" ht="172" x14ac:dyDescent="0.5">
      <c r="A135" s="1" t="s">
        <v>3398</v>
      </c>
      <c r="B135" s="3" t="s">
        <v>2364</v>
      </c>
      <c r="C135" s="3" t="s">
        <v>2363</v>
      </c>
      <c r="D135" s="3" t="s">
        <v>2366</v>
      </c>
      <c r="E135" s="3" t="s">
        <v>943</v>
      </c>
      <c r="F135" s="26">
        <v>40299</v>
      </c>
      <c r="G135" s="1">
        <v>2010</v>
      </c>
      <c r="H135" s="1" t="s">
        <v>61</v>
      </c>
      <c r="I135" s="3" t="s">
        <v>3399</v>
      </c>
      <c r="J135" s="1" t="s">
        <v>2515</v>
      </c>
      <c r="K135" s="1" t="s">
        <v>2365</v>
      </c>
      <c r="L135" s="1" t="b">
        <v>1</v>
      </c>
    </row>
    <row r="136" spans="1:12" ht="200.7" x14ac:dyDescent="0.5">
      <c r="A136" s="1" t="s">
        <v>3400</v>
      </c>
      <c r="B136" s="3" t="s">
        <v>1586</v>
      </c>
      <c r="C136" s="3" t="s">
        <v>1585</v>
      </c>
      <c r="D136" s="3" t="s">
        <v>1588</v>
      </c>
      <c r="E136" s="3" t="s">
        <v>1245</v>
      </c>
      <c r="F136" s="26">
        <v>44197</v>
      </c>
      <c r="G136" s="1">
        <v>2021</v>
      </c>
      <c r="H136" s="1" t="s">
        <v>61</v>
      </c>
      <c r="I136" s="3" t="s">
        <v>3401</v>
      </c>
      <c r="J136" s="1" t="s">
        <v>2515</v>
      </c>
      <c r="K136" s="1" t="s">
        <v>1587</v>
      </c>
      <c r="L136" s="1" t="b">
        <v>1</v>
      </c>
    </row>
    <row r="137" spans="1:12" ht="186.35" x14ac:dyDescent="0.5">
      <c r="A137" s="1" t="s">
        <v>3402</v>
      </c>
      <c r="B137" s="3" t="s">
        <v>1921</v>
      </c>
      <c r="C137" s="3" t="s">
        <v>1920</v>
      </c>
      <c r="D137" s="3" t="s">
        <v>1924</v>
      </c>
      <c r="E137" s="3" t="s">
        <v>1922</v>
      </c>
      <c r="F137" s="26">
        <v>44531</v>
      </c>
      <c r="G137" s="1">
        <v>2021</v>
      </c>
      <c r="H137" s="1" t="s">
        <v>61</v>
      </c>
      <c r="I137" s="3" t="s">
        <v>3403</v>
      </c>
      <c r="J137" s="1" t="s">
        <v>2515</v>
      </c>
      <c r="K137" s="1" t="s">
        <v>1923</v>
      </c>
      <c r="L137" s="1" t="b">
        <v>1</v>
      </c>
    </row>
    <row r="138" spans="1:12" ht="200.7" x14ac:dyDescent="0.5">
      <c r="A138" s="1" t="s">
        <v>3404</v>
      </c>
      <c r="B138" s="3" t="s">
        <v>1697</v>
      </c>
      <c r="C138" s="3" t="s">
        <v>1696</v>
      </c>
      <c r="D138" s="3" t="s">
        <v>1699</v>
      </c>
      <c r="E138" s="3" t="s">
        <v>929</v>
      </c>
      <c r="F138" s="26">
        <v>43252</v>
      </c>
      <c r="G138" s="1">
        <v>2018</v>
      </c>
      <c r="H138" s="1" t="s">
        <v>61</v>
      </c>
      <c r="I138" s="3" t="s">
        <v>3405</v>
      </c>
      <c r="J138" s="1" t="s">
        <v>2515</v>
      </c>
      <c r="K138" s="1" t="s">
        <v>1698</v>
      </c>
      <c r="L138" s="1" t="b">
        <v>1</v>
      </c>
    </row>
    <row r="139" spans="1:12" ht="229.35" x14ac:dyDescent="0.5">
      <c r="A139" s="1" t="s">
        <v>3406</v>
      </c>
      <c r="B139" s="3" t="s">
        <v>1582</v>
      </c>
      <c r="C139" s="3" t="s">
        <v>1581</v>
      </c>
      <c r="D139" s="3" t="s">
        <v>1584</v>
      </c>
      <c r="E139" s="3" t="s">
        <v>996</v>
      </c>
      <c r="F139" s="26">
        <v>45383</v>
      </c>
      <c r="G139" s="1">
        <v>2024</v>
      </c>
      <c r="H139" s="1" t="s">
        <v>61</v>
      </c>
      <c r="I139" s="3" t="s">
        <v>3407</v>
      </c>
      <c r="J139" s="1" t="s">
        <v>2515</v>
      </c>
      <c r="K139" s="1" t="s">
        <v>1583</v>
      </c>
      <c r="L139" s="1" t="b">
        <v>1</v>
      </c>
    </row>
    <row r="140" spans="1:12" ht="229.35" x14ac:dyDescent="0.5">
      <c r="A140" s="1" t="s">
        <v>3408</v>
      </c>
      <c r="B140" s="3" t="s">
        <v>1743</v>
      </c>
      <c r="C140" s="3" t="s">
        <v>1742</v>
      </c>
      <c r="D140" s="3" t="s">
        <v>1746</v>
      </c>
      <c r="E140" s="3" t="s">
        <v>1744</v>
      </c>
      <c r="F140" s="26">
        <v>45352</v>
      </c>
      <c r="G140" s="1">
        <v>2024</v>
      </c>
      <c r="H140" s="1" t="s">
        <v>61</v>
      </c>
      <c r="I140" s="3" t="s">
        <v>3409</v>
      </c>
      <c r="J140" s="1" t="s">
        <v>2515</v>
      </c>
      <c r="K140" s="1" t="s">
        <v>1745</v>
      </c>
      <c r="L140" s="1" t="b">
        <v>1</v>
      </c>
    </row>
    <row r="141" spans="1:12" ht="157.69999999999999" x14ac:dyDescent="0.5">
      <c r="A141" s="1" t="s">
        <v>3410</v>
      </c>
      <c r="B141" s="3" t="s">
        <v>2376</v>
      </c>
      <c r="C141" s="3" t="s">
        <v>2375</v>
      </c>
      <c r="D141" s="3" t="s">
        <v>2378</v>
      </c>
      <c r="E141" s="3" t="s">
        <v>929</v>
      </c>
      <c r="F141" s="26">
        <v>40695</v>
      </c>
      <c r="G141" s="1">
        <v>2011</v>
      </c>
      <c r="H141" s="1" t="s">
        <v>61</v>
      </c>
      <c r="I141" s="3" t="s">
        <v>3411</v>
      </c>
      <c r="J141" s="1" t="s">
        <v>2515</v>
      </c>
      <c r="K141" s="1" t="s">
        <v>2377</v>
      </c>
      <c r="L141" s="1" t="b">
        <v>1</v>
      </c>
    </row>
    <row r="142" spans="1:12" ht="215" x14ac:dyDescent="0.5">
      <c r="A142" s="1" t="s">
        <v>3412</v>
      </c>
      <c r="B142" s="3" t="s">
        <v>1211</v>
      </c>
      <c r="C142" s="3" t="s">
        <v>1210</v>
      </c>
      <c r="D142" s="3" t="s">
        <v>1213</v>
      </c>
      <c r="E142" s="3" t="s">
        <v>925</v>
      </c>
      <c r="F142" s="26">
        <v>45200</v>
      </c>
      <c r="G142" s="1">
        <v>2023</v>
      </c>
      <c r="H142" s="1" t="s">
        <v>61</v>
      </c>
      <c r="I142" s="3" t="s">
        <v>3413</v>
      </c>
      <c r="J142" s="1" t="s">
        <v>2515</v>
      </c>
      <c r="K142" s="1" t="s">
        <v>1212</v>
      </c>
      <c r="L142" s="1" t="b">
        <v>1</v>
      </c>
    </row>
    <row r="143" spans="1:12" ht="329.7" x14ac:dyDescent="0.5">
      <c r="A143" s="1" t="s">
        <v>3414</v>
      </c>
      <c r="B143" s="3" t="s">
        <v>2200</v>
      </c>
      <c r="C143" s="3" t="s">
        <v>2199</v>
      </c>
      <c r="D143" s="3" t="s">
        <v>2202</v>
      </c>
      <c r="E143" s="3" t="s">
        <v>1014</v>
      </c>
      <c r="F143" s="26">
        <v>43070</v>
      </c>
      <c r="G143" s="1">
        <v>2017</v>
      </c>
      <c r="H143" s="1" t="s">
        <v>61</v>
      </c>
      <c r="I143" s="3" t="s">
        <v>3415</v>
      </c>
      <c r="J143" s="1" t="s">
        <v>2515</v>
      </c>
      <c r="K143" s="1" t="s">
        <v>2201</v>
      </c>
      <c r="L143" s="1" t="b">
        <v>1</v>
      </c>
    </row>
    <row r="144" spans="1:12" ht="286.7" x14ac:dyDescent="0.5">
      <c r="A144" s="1" t="s">
        <v>3416</v>
      </c>
      <c r="B144" s="3" t="s">
        <v>1983</v>
      </c>
      <c r="C144" s="3" t="s">
        <v>1982</v>
      </c>
      <c r="D144" s="3" t="s">
        <v>1985</v>
      </c>
      <c r="E144" s="3" t="s">
        <v>929</v>
      </c>
      <c r="F144" s="26">
        <v>45306</v>
      </c>
      <c r="G144" s="1">
        <v>2024</v>
      </c>
      <c r="H144" s="1" t="s">
        <v>61</v>
      </c>
      <c r="I144" s="3" t="s">
        <v>3417</v>
      </c>
      <c r="J144" s="1" t="s">
        <v>2515</v>
      </c>
      <c r="K144" s="1" t="s">
        <v>1984</v>
      </c>
      <c r="L144" s="1" t="b">
        <v>1</v>
      </c>
    </row>
    <row r="145" spans="1:12" ht="329.7" x14ac:dyDescent="0.5">
      <c r="A145" s="1" t="s">
        <v>3418</v>
      </c>
      <c r="B145" s="3" t="s">
        <v>1126</v>
      </c>
      <c r="C145" s="3" t="s">
        <v>1125</v>
      </c>
      <c r="D145" s="3" t="s">
        <v>1128</v>
      </c>
      <c r="E145" s="3" t="s">
        <v>917</v>
      </c>
      <c r="F145" s="26">
        <v>44454</v>
      </c>
      <c r="G145" s="1">
        <v>2021</v>
      </c>
      <c r="H145" s="1" t="s">
        <v>61</v>
      </c>
      <c r="I145" s="3" t="s">
        <v>3419</v>
      </c>
      <c r="J145" s="1" t="s">
        <v>2515</v>
      </c>
      <c r="K145" s="1" t="s">
        <v>1127</v>
      </c>
      <c r="L145" s="1" t="b">
        <v>1</v>
      </c>
    </row>
    <row r="146" spans="1:12" ht="258" x14ac:dyDescent="0.5">
      <c r="A146" s="1" t="s">
        <v>3420</v>
      </c>
      <c r="B146" s="3" t="s">
        <v>1471</v>
      </c>
      <c r="C146" s="3" t="s">
        <v>1470</v>
      </c>
      <c r="D146" s="3" t="s">
        <v>1473</v>
      </c>
      <c r="E146" s="3" t="s">
        <v>985</v>
      </c>
      <c r="F146" s="26">
        <v>42248</v>
      </c>
      <c r="G146" s="1">
        <v>2015</v>
      </c>
      <c r="H146" s="1" t="s">
        <v>61</v>
      </c>
      <c r="I146" s="3" t="s">
        <v>3421</v>
      </c>
      <c r="J146" s="1" t="s">
        <v>2515</v>
      </c>
      <c r="K146" s="1" t="s">
        <v>1472</v>
      </c>
      <c r="L146" s="1" t="b">
        <v>1</v>
      </c>
    </row>
    <row r="147" spans="1:12" ht="186.35" x14ac:dyDescent="0.5">
      <c r="A147" s="1" t="s">
        <v>3422</v>
      </c>
      <c r="B147" s="3" t="s">
        <v>2093</v>
      </c>
      <c r="C147" s="3" t="s">
        <v>2092</v>
      </c>
      <c r="D147" s="3" t="s">
        <v>2095</v>
      </c>
      <c r="E147" s="3" t="s">
        <v>1139</v>
      </c>
      <c r="F147" s="26">
        <v>43800</v>
      </c>
      <c r="G147" s="1">
        <v>2019</v>
      </c>
      <c r="H147" s="1" t="s">
        <v>61</v>
      </c>
      <c r="I147" s="3" t="s">
        <v>3423</v>
      </c>
      <c r="J147" s="1" t="s">
        <v>2515</v>
      </c>
      <c r="K147" s="1" t="s">
        <v>2094</v>
      </c>
      <c r="L147" s="1" t="b">
        <v>1</v>
      </c>
    </row>
    <row r="148" spans="1:12" ht="243.7" x14ac:dyDescent="0.5">
      <c r="A148" s="1" t="s">
        <v>3424</v>
      </c>
      <c r="B148" s="3" t="s">
        <v>2196</v>
      </c>
      <c r="C148" s="3" t="s">
        <v>2195</v>
      </c>
      <c r="D148" s="3" t="s">
        <v>2198</v>
      </c>
      <c r="E148" s="3" t="s">
        <v>941</v>
      </c>
      <c r="F148" s="26">
        <v>44593</v>
      </c>
      <c r="G148" s="1">
        <v>2022</v>
      </c>
      <c r="H148" s="1" t="s">
        <v>61</v>
      </c>
      <c r="I148" s="3" t="s">
        <v>3425</v>
      </c>
      <c r="J148" s="1" t="s">
        <v>2515</v>
      </c>
      <c r="K148" s="1" t="s">
        <v>2197</v>
      </c>
      <c r="L148" s="1" t="b">
        <v>1</v>
      </c>
    </row>
    <row r="149" spans="1:12" ht="28.7" x14ac:dyDescent="0.5">
      <c r="A149" s="1" t="s">
        <v>3426</v>
      </c>
      <c r="B149" s="3" t="s">
        <v>1558</v>
      </c>
      <c r="C149" s="3" t="s">
        <v>3427</v>
      </c>
      <c r="D149" s="3" t="s">
        <v>123</v>
      </c>
      <c r="E149" s="3" t="s">
        <v>983</v>
      </c>
      <c r="F149" s="26">
        <v>44958</v>
      </c>
      <c r="G149" s="1">
        <v>2023</v>
      </c>
      <c r="H149" s="1" t="s">
        <v>61</v>
      </c>
      <c r="I149" s="3" t="s">
        <v>3428</v>
      </c>
      <c r="J149" s="1" t="s">
        <v>2515</v>
      </c>
      <c r="K149" s="1" t="s">
        <v>1559</v>
      </c>
      <c r="L149" s="1" t="b">
        <v>1</v>
      </c>
    </row>
    <row r="150" spans="1:12" ht="409.6" x14ac:dyDescent="0.5">
      <c r="A150" s="1" t="s">
        <v>3429</v>
      </c>
      <c r="B150" s="3" t="s">
        <v>1636</v>
      </c>
      <c r="C150" s="3" t="s">
        <v>1635</v>
      </c>
      <c r="D150" s="3" t="s">
        <v>1638</v>
      </c>
      <c r="E150" s="3" t="s">
        <v>917</v>
      </c>
      <c r="F150" s="26">
        <v>44175</v>
      </c>
      <c r="G150" s="1">
        <v>2020</v>
      </c>
      <c r="H150" s="1" t="s">
        <v>61</v>
      </c>
      <c r="I150" s="3" t="s">
        <v>3430</v>
      </c>
      <c r="J150" s="1" t="s">
        <v>2515</v>
      </c>
      <c r="K150" s="1" t="s">
        <v>1637</v>
      </c>
      <c r="L150" s="1" t="b">
        <v>1</v>
      </c>
    </row>
    <row r="151" spans="1:12" ht="329.7" x14ac:dyDescent="0.5">
      <c r="A151" s="1" t="s">
        <v>3431</v>
      </c>
      <c r="B151" s="3" t="s">
        <v>1000</v>
      </c>
      <c r="C151" s="3" t="s">
        <v>1001</v>
      </c>
      <c r="D151" s="3" t="s">
        <v>998</v>
      </c>
      <c r="E151" s="3" t="s">
        <v>997</v>
      </c>
      <c r="F151" s="26">
        <v>44941</v>
      </c>
      <c r="G151" s="1">
        <v>2023</v>
      </c>
      <c r="H151" s="1" t="s">
        <v>61</v>
      </c>
      <c r="I151" s="3" t="s">
        <v>3432</v>
      </c>
      <c r="J151" s="1" t="s">
        <v>2515</v>
      </c>
      <c r="K151" s="1" t="s">
        <v>999</v>
      </c>
      <c r="L151" s="1" t="b">
        <v>1</v>
      </c>
    </row>
    <row r="152" spans="1:12" ht="186.35" x14ac:dyDescent="0.5">
      <c r="A152" s="1" t="s">
        <v>3433</v>
      </c>
      <c r="B152" s="3" t="s">
        <v>2226</v>
      </c>
      <c r="C152" s="3" t="s">
        <v>2225</v>
      </c>
      <c r="D152" s="3" t="s">
        <v>2229</v>
      </c>
      <c r="E152" s="3" t="s">
        <v>2227</v>
      </c>
      <c r="F152" s="26">
        <v>43313</v>
      </c>
      <c r="G152" s="1">
        <v>2018</v>
      </c>
      <c r="H152" s="1" t="s">
        <v>61</v>
      </c>
      <c r="I152" s="3" t="s">
        <v>3434</v>
      </c>
      <c r="J152" s="1" t="s">
        <v>2515</v>
      </c>
      <c r="K152" s="1" t="s">
        <v>2228</v>
      </c>
      <c r="L152" s="1" t="b">
        <v>1</v>
      </c>
    </row>
    <row r="153" spans="1:12" ht="172" x14ac:dyDescent="0.5">
      <c r="A153" s="1" t="s">
        <v>3435</v>
      </c>
      <c r="B153" s="3" t="s">
        <v>2343</v>
      </c>
      <c r="C153" s="3" t="s">
        <v>2342</v>
      </c>
      <c r="D153" s="3" t="s">
        <v>2345</v>
      </c>
      <c r="E153" s="3" t="s">
        <v>951</v>
      </c>
      <c r="F153" s="26">
        <v>43952</v>
      </c>
      <c r="G153" s="1">
        <v>2020</v>
      </c>
      <c r="H153" s="1" t="s">
        <v>61</v>
      </c>
      <c r="I153" s="3" t="s">
        <v>3436</v>
      </c>
      <c r="J153" s="1" t="s">
        <v>2515</v>
      </c>
      <c r="K153" s="1" t="s">
        <v>2344</v>
      </c>
      <c r="L153" s="1" t="b">
        <v>1</v>
      </c>
    </row>
    <row r="154" spans="1:12" ht="172" x14ac:dyDescent="0.5">
      <c r="A154" s="1" t="s">
        <v>3437</v>
      </c>
      <c r="B154" s="3" t="s">
        <v>1970</v>
      </c>
      <c r="C154" s="3" t="s">
        <v>1969</v>
      </c>
      <c r="D154" s="3" t="s">
        <v>1972</v>
      </c>
      <c r="E154" s="3" t="s">
        <v>945</v>
      </c>
      <c r="F154" s="26">
        <v>45017</v>
      </c>
      <c r="G154" s="1">
        <v>2023</v>
      </c>
      <c r="H154" s="1" t="s">
        <v>61</v>
      </c>
      <c r="I154" s="3" t="s">
        <v>3438</v>
      </c>
      <c r="J154" s="1" t="s">
        <v>2515</v>
      </c>
      <c r="K154" s="1" t="s">
        <v>1971</v>
      </c>
      <c r="L154" s="1" t="b">
        <v>1</v>
      </c>
    </row>
    <row r="155" spans="1:12" ht="272.35000000000002" x14ac:dyDescent="0.5">
      <c r="A155" s="1" t="s">
        <v>3439</v>
      </c>
      <c r="B155" s="3" t="s">
        <v>1108</v>
      </c>
      <c r="C155" s="3" t="s">
        <v>1107</v>
      </c>
      <c r="D155" s="3" t="s">
        <v>1110</v>
      </c>
      <c r="E155" s="3" t="s">
        <v>922</v>
      </c>
      <c r="F155" s="26">
        <v>42004</v>
      </c>
      <c r="G155" s="1">
        <v>2014</v>
      </c>
      <c r="H155" s="1" t="s">
        <v>61</v>
      </c>
      <c r="I155" s="3" t="s">
        <v>3440</v>
      </c>
      <c r="J155" s="1" t="s">
        <v>2515</v>
      </c>
      <c r="K155" s="1" t="s">
        <v>1109</v>
      </c>
      <c r="L155" s="1" t="b">
        <v>1</v>
      </c>
    </row>
    <row r="156" spans="1:12" ht="258" x14ac:dyDescent="0.5">
      <c r="A156" s="1" t="s">
        <v>3441</v>
      </c>
      <c r="B156" s="3" t="s">
        <v>1112</v>
      </c>
      <c r="C156" s="3" t="s">
        <v>1111</v>
      </c>
      <c r="D156" s="3" t="s">
        <v>1115</v>
      </c>
      <c r="E156" s="3" t="s">
        <v>1113</v>
      </c>
      <c r="F156" s="26">
        <v>44180</v>
      </c>
      <c r="G156" s="1">
        <v>2020</v>
      </c>
      <c r="H156" s="1" t="s">
        <v>61</v>
      </c>
      <c r="I156" s="3" t="s">
        <v>3442</v>
      </c>
      <c r="J156" s="1" t="s">
        <v>2515</v>
      </c>
      <c r="K156" s="1" t="s">
        <v>1114</v>
      </c>
      <c r="L156" s="1" t="b">
        <v>1</v>
      </c>
    </row>
    <row r="157" spans="1:12" ht="229.35" x14ac:dyDescent="0.5">
      <c r="A157" s="1" t="s">
        <v>3443</v>
      </c>
      <c r="B157" s="3" t="s">
        <v>311</v>
      </c>
      <c r="C157" s="3" t="s">
        <v>336</v>
      </c>
      <c r="D157" s="3" t="s">
        <v>361</v>
      </c>
      <c r="E157" s="3" t="s">
        <v>937</v>
      </c>
      <c r="F157" s="26">
        <v>43556</v>
      </c>
      <c r="G157" s="1">
        <v>2019</v>
      </c>
      <c r="H157" s="1" t="s">
        <v>61</v>
      </c>
      <c r="I157" s="3" t="s">
        <v>3444</v>
      </c>
      <c r="J157" s="1" t="s">
        <v>2515</v>
      </c>
      <c r="K157" s="1" t="s">
        <v>386</v>
      </c>
      <c r="L157" s="1" t="b">
        <v>1</v>
      </c>
    </row>
    <row r="158" spans="1:12" ht="409.6" x14ac:dyDescent="0.5">
      <c r="A158" s="1" t="s">
        <v>3445</v>
      </c>
      <c r="B158" s="3" t="s">
        <v>1086</v>
      </c>
      <c r="C158" s="3" t="s">
        <v>1085</v>
      </c>
      <c r="D158" s="3" t="s">
        <v>1089</v>
      </c>
      <c r="E158" s="3" t="s">
        <v>1087</v>
      </c>
      <c r="F158" s="26">
        <v>41214</v>
      </c>
      <c r="G158" s="1">
        <v>2012</v>
      </c>
      <c r="H158" s="1" t="s">
        <v>61</v>
      </c>
      <c r="I158" s="3" t="s">
        <v>3446</v>
      </c>
      <c r="J158" s="1" t="s">
        <v>2515</v>
      </c>
      <c r="K158" s="1" t="s">
        <v>1088</v>
      </c>
      <c r="L158" s="1" t="b">
        <v>1</v>
      </c>
    </row>
    <row r="159" spans="1:12" ht="200.7" x14ac:dyDescent="0.5">
      <c r="A159" s="1" t="s">
        <v>3447</v>
      </c>
      <c r="B159" s="3" t="s">
        <v>1360</v>
      </c>
      <c r="C159" s="3" t="s">
        <v>1359</v>
      </c>
      <c r="D159" s="3" t="s">
        <v>1363</v>
      </c>
      <c r="E159" s="3" t="s">
        <v>1361</v>
      </c>
      <c r="F159" s="26">
        <v>45437</v>
      </c>
      <c r="G159" s="1">
        <v>2024</v>
      </c>
      <c r="H159" s="1" t="s">
        <v>61</v>
      </c>
      <c r="I159" s="3" t="s">
        <v>3448</v>
      </c>
      <c r="J159" s="1" t="s">
        <v>2515</v>
      </c>
      <c r="K159" s="1" t="s">
        <v>1362</v>
      </c>
      <c r="L159" s="1" t="b">
        <v>1</v>
      </c>
    </row>
    <row r="160" spans="1:12" ht="358.35" x14ac:dyDescent="0.5">
      <c r="A160" s="1" t="s">
        <v>3449</v>
      </c>
      <c r="B160" s="3" t="s">
        <v>1833</v>
      </c>
      <c r="C160" s="3" t="s">
        <v>1832</v>
      </c>
      <c r="D160" s="3" t="s">
        <v>1835</v>
      </c>
      <c r="E160" s="3" t="s">
        <v>953</v>
      </c>
      <c r="F160" s="26">
        <v>44835</v>
      </c>
      <c r="G160" s="1">
        <v>2022</v>
      </c>
      <c r="H160" s="1" t="s">
        <v>61</v>
      </c>
      <c r="I160" s="3" t="s">
        <v>3450</v>
      </c>
      <c r="J160" s="1" t="s">
        <v>2515</v>
      </c>
      <c r="K160" s="1" t="s">
        <v>1834</v>
      </c>
      <c r="L160" s="1" t="b">
        <v>1</v>
      </c>
    </row>
    <row r="161" spans="1:12" ht="229.35" x14ac:dyDescent="0.5">
      <c r="A161" s="1" t="s">
        <v>3451</v>
      </c>
      <c r="B161" s="3" t="s">
        <v>1966</v>
      </c>
      <c r="C161" s="3" t="s">
        <v>1965</v>
      </c>
      <c r="D161" s="3" t="s">
        <v>1968</v>
      </c>
      <c r="E161" s="3" t="s">
        <v>937</v>
      </c>
      <c r="F161" s="26">
        <v>41000</v>
      </c>
      <c r="G161" s="1">
        <v>2012</v>
      </c>
      <c r="H161" s="1" t="s">
        <v>61</v>
      </c>
      <c r="I161" s="3" t="s">
        <v>3452</v>
      </c>
      <c r="J161" s="1" t="s">
        <v>2515</v>
      </c>
      <c r="K161" s="1" t="s">
        <v>1967</v>
      </c>
      <c r="L161" s="1" t="b">
        <v>1</v>
      </c>
    </row>
    <row r="162" spans="1:12" ht="215" x14ac:dyDescent="0.5">
      <c r="A162" s="1" t="s">
        <v>3453</v>
      </c>
      <c r="B162" s="3" t="s">
        <v>1466</v>
      </c>
      <c r="C162" s="3" t="s">
        <v>1465</v>
      </c>
      <c r="D162" s="3" t="s">
        <v>1469</v>
      </c>
      <c r="E162" s="3" t="s">
        <v>1467</v>
      </c>
      <c r="F162" s="26">
        <v>43800</v>
      </c>
      <c r="G162" s="1">
        <v>2019</v>
      </c>
      <c r="H162" s="1" t="s">
        <v>61</v>
      </c>
      <c r="I162" s="3" t="s">
        <v>3454</v>
      </c>
      <c r="J162" s="1" t="s">
        <v>2515</v>
      </c>
      <c r="K162" s="1" t="s">
        <v>1468</v>
      </c>
      <c r="L162" s="1" t="b">
        <v>1</v>
      </c>
    </row>
    <row r="163" spans="1:12" ht="186.35" x14ac:dyDescent="0.5">
      <c r="A163" s="1" t="s">
        <v>3455</v>
      </c>
      <c r="B163" s="3" t="s">
        <v>1143</v>
      </c>
      <c r="C163" s="3" t="s">
        <v>1142</v>
      </c>
      <c r="D163" s="3" t="s">
        <v>1146</v>
      </c>
      <c r="E163" s="3" t="s">
        <v>1144</v>
      </c>
      <c r="F163" s="26">
        <v>44562</v>
      </c>
      <c r="G163" s="1">
        <v>2022</v>
      </c>
      <c r="H163" s="1" t="s">
        <v>61</v>
      </c>
      <c r="I163" s="3" t="s">
        <v>3456</v>
      </c>
      <c r="J163" s="1" t="s">
        <v>2515</v>
      </c>
      <c r="K163" s="1" t="s">
        <v>1145</v>
      </c>
      <c r="L163" s="1" t="b">
        <v>1</v>
      </c>
    </row>
    <row r="164" spans="1:12" ht="301" x14ac:dyDescent="0.5">
      <c r="A164" s="1" t="s">
        <v>3457</v>
      </c>
      <c r="B164" s="3" t="s">
        <v>2106</v>
      </c>
      <c r="C164" s="3" t="s">
        <v>2105</v>
      </c>
      <c r="D164" s="3" t="s">
        <v>2108</v>
      </c>
      <c r="E164" s="3" t="s">
        <v>921</v>
      </c>
      <c r="F164" s="26">
        <v>44044</v>
      </c>
      <c r="G164" s="1">
        <v>2020</v>
      </c>
      <c r="H164" s="1" t="s">
        <v>61</v>
      </c>
      <c r="I164" s="3" t="s">
        <v>3458</v>
      </c>
      <c r="J164" s="1" t="s">
        <v>2515</v>
      </c>
      <c r="K164" s="1" t="s">
        <v>2107</v>
      </c>
      <c r="L164" s="1" t="b">
        <v>1</v>
      </c>
    </row>
    <row r="165" spans="1:12" ht="229.35" x14ac:dyDescent="0.5">
      <c r="A165" s="1" t="s">
        <v>3459</v>
      </c>
      <c r="B165" s="3" t="s">
        <v>2222</v>
      </c>
      <c r="C165" s="3" t="s">
        <v>2221</v>
      </c>
      <c r="D165" s="3" t="s">
        <v>2224</v>
      </c>
      <c r="E165" s="3" t="s">
        <v>919</v>
      </c>
      <c r="F165" s="26">
        <v>44331</v>
      </c>
      <c r="G165" s="1">
        <v>2021</v>
      </c>
      <c r="H165" s="1" t="s">
        <v>61</v>
      </c>
      <c r="I165" s="3" t="s">
        <v>3460</v>
      </c>
      <c r="J165" s="1" t="s">
        <v>2515</v>
      </c>
      <c r="K165" s="1" t="s">
        <v>2223</v>
      </c>
      <c r="L165" s="1" t="b">
        <v>1</v>
      </c>
    </row>
    <row r="166" spans="1:12" ht="272.35000000000002" x14ac:dyDescent="0.5">
      <c r="A166" s="1" t="s">
        <v>3461</v>
      </c>
      <c r="B166" s="3" t="s">
        <v>1717</v>
      </c>
      <c r="C166" s="3" t="s">
        <v>1716</v>
      </c>
      <c r="D166" s="3" t="s">
        <v>1719</v>
      </c>
      <c r="E166" s="3" t="s">
        <v>941</v>
      </c>
      <c r="F166" s="26">
        <v>45397</v>
      </c>
      <c r="G166" s="1">
        <v>2024</v>
      </c>
      <c r="H166" s="1" t="s">
        <v>61</v>
      </c>
      <c r="I166" s="3" t="s">
        <v>3462</v>
      </c>
      <c r="J166" s="1" t="s">
        <v>2515</v>
      </c>
      <c r="K166" s="1" t="s">
        <v>1718</v>
      </c>
      <c r="L166" s="1" t="b">
        <v>1</v>
      </c>
    </row>
    <row r="167" spans="1:12" ht="329.7" x14ac:dyDescent="0.5">
      <c r="A167" s="1" t="s">
        <v>3463</v>
      </c>
      <c r="B167" s="3" t="s">
        <v>1365</v>
      </c>
      <c r="C167" s="3" t="s">
        <v>1364</v>
      </c>
      <c r="D167" s="3" t="s">
        <v>1367</v>
      </c>
      <c r="E167" s="3" t="s">
        <v>954</v>
      </c>
      <c r="F167" s="26">
        <v>45601</v>
      </c>
      <c r="G167" s="1">
        <v>2024</v>
      </c>
      <c r="H167" s="1" t="s">
        <v>61</v>
      </c>
      <c r="I167" s="3" t="s">
        <v>3464</v>
      </c>
      <c r="J167" s="1" t="s">
        <v>2515</v>
      </c>
      <c r="K167" s="1" t="s">
        <v>1366</v>
      </c>
      <c r="L167" s="1" t="b">
        <v>1</v>
      </c>
    </row>
    <row r="168" spans="1:12" ht="186.35" x14ac:dyDescent="0.5">
      <c r="A168" s="1" t="s">
        <v>3465</v>
      </c>
      <c r="B168" s="3" t="s">
        <v>1369</v>
      </c>
      <c r="C168" s="3" t="s">
        <v>1368</v>
      </c>
      <c r="D168" s="3" t="s">
        <v>1371</v>
      </c>
      <c r="E168" s="3" t="s">
        <v>1113</v>
      </c>
      <c r="F168" s="26">
        <v>42705</v>
      </c>
      <c r="G168" s="1">
        <v>2016</v>
      </c>
      <c r="H168" s="1" t="s">
        <v>61</v>
      </c>
      <c r="I168" s="3" t="s">
        <v>3466</v>
      </c>
      <c r="J168" s="1" t="s">
        <v>2515</v>
      </c>
      <c r="K168" s="1" t="s">
        <v>1370</v>
      </c>
      <c r="L168" s="1" t="b">
        <v>1</v>
      </c>
    </row>
    <row r="169" spans="1:12" ht="301" x14ac:dyDescent="0.5">
      <c r="A169" s="1" t="s">
        <v>3467</v>
      </c>
      <c r="B169" s="3" t="s">
        <v>2240</v>
      </c>
      <c r="C169" s="3" t="s">
        <v>2239</v>
      </c>
      <c r="D169" s="3" t="s">
        <v>2242</v>
      </c>
      <c r="E169" s="3" t="s">
        <v>1014</v>
      </c>
      <c r="F169" s="26">
        <v>41883</v>
      </c>
      <c r="G169" s="1">
        <v>2014</v>
      </c>
      <c r="H169" s="1" t="s">
        <v>61</v>
      </c>
      <c r="I169" s="3" t="s">
        <v>3468</v>
      </c>
      <c r="J169" s="1" t="s">
        <v>2515</v>
      </c>
      <c r="K169" s="1" t="s">
        <v>2241</v>
      </c>
      <c r="L169" s="1" t="b">
        <v>1</v>
      </c>
    </row>
    <row r="170" spans="1:12" ht="200.7" x14ac:dyDescent="0.5">
      <c r="A170" s="1" t="s">
        <v>3469</v>
      </c>
      <c r="B170" s="3" t="s">
        <v>1611</v>
      </c>
      <c r="C170" s="3" t="s">
        <v>1610</v>
      </c>
      <c r="D170" s="3" t="s">
        <v>1613</v>
      </c>
      <c r="E170" s="3" t="s">
        <v>996</v>
      </c>
      <c r="F170" s="26">
        <v>45627</v>
      </c>
      <c r="G170" s="1">
        <v>2024</v>
      </c>
      <c r="H170" s="1" t="s">
        <v>61</v>
      </c>
      <c r="I170" s="3" t="s">
        <v>3470</v>
      </c>
      <c r="J170" s="1" t="s">
        <v>2515</v>
      </c>
      <c r="K170" s="1" t="s">
        <v>1612</v>
      </c>
      <c r="L170" s="1" t="b">
        <v>1</v>
      </c>
    </row>
    <row r="171" spans="1:12" ht="200.7" x14ac:dyDescent="0.5">
      <c r="A171" s="1" t="s">
        <v>3471</v>
      </c>
      <c r="B171" s="3" t="s">
        <v>1905</v>
      </c>
      <c r="C171" s="3" t="s">
        <v>1904</v>
      </c>
      <c r="D171" s="3" t="s">
        <v>1907</v>
      </c>
      <c r="E171" s="3" t="s">
        <v>1113</v>
      </c>
      <c r="F171" s="26">
        <v>45245</v>
      </c>
      <c r="G171" s="1">
        <v>2023</v>
      </c>
      <c r="H171" s="1" t="s">
        <v>61</v>
      </c>
      <c r="I171" s="3" t="s">
        <v>3472</v>
      </c>
      <c r="J171" s="1" t="s">
        <v>2515</v>
      </c>
      <c r="K171" s="1" t="s">
        <v>1906</v>
      </c>
      <c r="L171" s="1" t="b">
        <v>1</v>
      </c>
    </row>
    <row r="172" spans="1:12" ht="143.35" x14ac:dyDescent="0.5">
      <c r="A172" s="1" t="s">
        <v>3473</v>
      </c>
      <c r="B172" s="3" t="s">
        <v>2080</v>
      </c>
      <c r="C172" s="3" t="s">
        <v>2079</v>
      </c>
      <c r="D172" s="3" t="s">
        <v>2082</v>
      </c>
      <c r="E172" s="3" t="s">
        <v>1122</v>
      </c>
      <c r="F172" s="26">
        <v>43800</v>
      </c>
      <c r="G172" s="1">
        <v>2019</v>
      </c>
      <c r="H172" s="1" t="s">
        <v>61</v>
      </c>
      <c r="I172" s="3" t="s">
        <v>3474</v>
      </c>
      <c r="J172" s="1" t="s">
        <v>2515</v>
      </c>
      <c r="K172" s="1" t="s">
        <v>2081</v>
      </c>
      <c r="L172" s="1" t="b">
        <v>1</v>
      </c>
    </row>
    <row r="173" spans="1:12" ht="344" x14ac:dyDescent="0.5">
      <c r="A173" s="1" t="s">
        <v>3475</v>
      </c>
      <c r="B173" s="3" t="s">
        <v>1768</v>
      </c>
      <c r="C173" s="3" t="s">
        <v>1767</v>
      </c>
      <c r="D173" s="3" t="s">
        <v>1770</v>
      </c>
      <c r="E173" s="3" t="s">
        <v>1052</v>
      </c>
      <c r="F173" s="26">
        <v>45112</v>
      </c>
      <c r="G173" s="1">
        <v>2023</v>
      </c>
      <c r="H173" s="1" t="s">
        <v>61</v>
      </c>
      <c r="I173" s="3" t="s">
        <v>3476</v>
      </c>
      <c r="J173" s="1" t="s">
        <v>2515</v>
      </c>
      <c r="K173" s="1" t="s">
        <v>1769</v>
      </c>
      <c r="L173" s="1" t="b">
        <v>1</v>
      </c>
    </row>
    <row r="174" spans="1:12" ht="272.35000000000002" x14ac:dyDescent="0.5">
      <c r="A174" s="1" t="s">
        <v>3477</v>
      </c>
      <c r="B174" s="3" t="s">
        <v>1974</v>
      </c>
      <c r="C174" s="3" t="s">
        <v>1973</v>
      </c>
      <c r="D174" s="3" t="s">
        <v>1977</v>
      </c>
      <c r="E174" s="3" t="s">
        <v>1975</v>
      </c>
      <c r="F174" s="26">
        <v>44470</v>
      </c>
      <c r="G174" s="1">
        <v>2021</v>
      </c>
      <c r="H174" s="1" t="s">
        <v>61</v>
      </c>
      <c r="I174" s="3" t="s">
        <v>3478</v>
      </c>
      <c r="J174" s="1" t="s">
        <v>2515</v>
      </c>
      <c r="K174" s="1" t="s">
        <v>1976</v>
      </c>
      <c r="L174" s="1" t="b">
        <v>1</v>
      </c>
    </row>
    <row r="175" spans="1:12" ht="329.7" x14ac:dyDescent="0.5">
      <c r="A175" s="1" t="s">
        <v>3479</v>
      </c>
      <c r="B175" s="3" t="s">
        <v>1837</v>
      </c>
      <c r="C175" s="3" t="s">
        <v>1836</v>
      </c>
      <c r="D175" s="3" t="s">
        <v>1839</v>
      </c>
      <c r="E175" s="3" t="s">
        <v>996</v>
      </c>
      <c r="F175" s="26">
        <v>44470</v>
      </c>
      <c r="G175" s="1">
        <v>2021</v>
      </c>
      <c r="H175" s="1" t="s">
        <v>61</v>
      </c>
      <c r="I175" s="3" t="s">
        <v>3480</v>
      </c>
      <c r="J175" s="1" t="s">
        <v>2515</v>
      </c>
      <c r="K175" s="1" t="s">
        <v>1838</v>
      </c>
      <c r="L175" s="1" t="b">
        <v>1</v>
      </c>
    </row>
    <row r="176" spans="1:12" ht="229.35" x14ac:dyDescent="0.5">
      <c r="A176" s="1" t="s">
        <v>3481</v>
      </c>
      <c r="B176" s="3" t="s">
        <v>1607</v>
      </c>
      <c r="C176" s="3" t="s">
        <v>1606</v>
      </c>
      <c r="D176" s="3" t="s">
        <v>1609</v>
      </c>
      <c r="E176" s="3" t="s">
        <v>925</v>
      </c>
      <c r="F176" s="26">
        <v>44501</v>
      </c>
      <c r="G176" s="1">
        <v>2021</v>
      </c>
      <c r="H176" s="1" t="s">
        <v>61</v>
      </c>
      <c r="I176" s="3" t="s">
        <v>3482</v>
      </c>
      <c r="J176" s="1" t="s">
        <v>2515</v>
      </c>
      <c r="K176" s="1" t="s">
        <v>1608</v>
      </c>
      <c r="L176" s="1" t="b">
        <v>1</v>
      </c>
    </row>
    <row r="177" spans="1:12" ht="229.35" x14ac:dyDescent="0.5">
      <c r="A177" s="1" t="s">
        <v>3483</v>
      </c>
      <c r="B177" s="3" t="s">
        <v>1739</v>
      </c>
      <c r="C177" s="3" t="s">
        <v>1738</v>
      </c>
      <c r="D177" s="3" t="s">
        <v>1741</v>
      </c>
      <c r="E177" s="3" t="s">
        <v>939</v>
      </c>
      <c r="F177" s="26">
        <v>44197</v>
      </c>
      <c r="G177" s="1">
        <v>2021</v>
      </c>
      <c r="H177" s="1" t="s">
        <v>61</v>
      </c>
      <c r="I177" s="3" t="s">
        <v>3484</v>
      </c>
      <c r="J177" s="1" t="s">
        <v>2515</v>
      </c>
      <c r="K177" s="1" t="s">
        <v>1740</v>
      </c>
      <c r="L177" s="1" t="b">
        <v>1</v>
      </c>
    </row>
    <row r="178" spans="1:12" ht="172" x14ac:dyDescent="0.5">
      <c r="A178" s="1" t="s">
        <v>3485</v>
      </c>
      <c r="B178" s="3" t="s">
        <v>1330</v>
      </c>
      <c r="C178" s="3" t="s">
        <v>1329</v>
      </c>
      <c r="D178" s="3" t="s">
        <v>1333</v>
      </c>
      <c r="E178" s="3" t="s">
        <v>1331</v>
      </c>
      <c r="F178" s="26">
        <v>45458</v>
      </c>
      <c r="G178" s="1">
        <v>2024</v>
      </c>
      <c r="H178" s="1" t="s">
        <v>61</v>
      </c>
      <c r="I178" s="3" t="s">
        <v>3486</v>
      </c>
      <c r="J178" s="1" t="s">
        <v>2515</v>
      </c>
      <c r="K178" s="1" t="s">
        <v>1332</v>
      </c>
      <c r="L178" s="1" t="b">
        <v>1</v>
      </c>
    </row>
    <row r="179" spans="1:12" ht="243.7" x14ac:dyDescent="0.5">
      <c r="A179" s="1" t="s">
        <v>3487</v>
      </c>
      <c r="B179" s="3" t="s">
        <v>317</v>
      </c>
      <c r="C179" s="3" t="s">
        <v>342</v>
      </c>
      <c r="D179" s="3" t="s">
        <v>367</v>
      </c>
      <c r="E179" s="3" t="s">
        <v>959</v>
      </c>
      <c r="F179" s="26">
        <v>44470</v>
      </c>
      <c r="G179" s="1">
        <v>2021</v>
      </c>
      <c r="H179" s="1" t="s">
        <v>61</v>
      </c>
      <c r="I179" s="3" t="s">
        <v>3488</v>
      </c>
      <c r="J179" s="1" t="s">
        <v>2515</v>
      </c>
      <c r="K179" s="1" t="s">
        <v>392</v>
      </c>
      <c r="L179" s="1" t="b">
        <v>1</v>
      </c>
    </row>
    <row r="180" spans="1:12" ht="315.35000000000002" x14ac:dyDescent="0.5">
      <c r="A180" s="1" t="s">
        <v>3489</v>
      </c>
      <c r="B180" s="3" t="s">
        <v>2284</v>
      </c>
      <c r="C180" s="3" t="s">
        <v>2283</v>
      </c>
      <c r="D180" s="3" t="s">
        <v>2286</v>
      </c>
      <c r="E180" s="3" t="s">
        <v>919</v>
      </c>
      <c r="F180" s="26">
        <v>45214</v>
      </c>
      <c r="G180" s="1">
        <v>2023</v>
      </c>
      <c r="H180" s="1" t="s">
        <v>61</v>
      </c>
      <c r="I180" s="3" t="s">
        <v>3490</v>
      </c>
      <c r="J180" s="1" t="s">
        <v>2515</v>
      </c>
      <c r="K180" s="1" t="s">
        <v>2285</v>
      </c>
      <c r="L180" s="1" t="b">
        <v>1</v>
      </c>
    </row>
    <row r="181" spans="1:12" ht="172" x14ac:dyDescent="0.5">
      <c r="A181" s="1" t="s">
        <v>3491</v>
      </c>
      <c r="B181" s="3" t="s">
        <v>325</v>
      </c>
      <c r="C181" s="3" t="s">
        <v>347</v>
      </c>
      <c r="D181" s="3" t="s">
        <v>375</v>
      </c>
      <c r="E181" s="3" t="s">
        <v>954</v>
      </c>
      <c r="F181" s="26">
        <v>44577</v>
      </c>
      <c r="G181" s="1">
        <v>2022</v>
      </c>
      <c r="H181" s="1" t="s">
        <v>61</v>
      </c>
      <c r="I181" s="3" t="s">
        <v>3492</v>
      </c>
      <c r="J181" s="1" t="s">
        <v>2515</v>
      </c>
      <c r="K181" s="1" t="s">
        <v>400</v>
      </c>
      <c r="L181" s="1" t="b">
        <v>1</v>
      </c>
    </row>
    <row r="182" spans="1:12" ht="143.35" x14ac:dyDescent="0.5">
      <c r="A182" s="1" t="s">
        <v>3493</v>
      </c>
      <c r="B182" s="3" t="s">
        <v>2288</v>
      </c>
      <c r="C182" s="3" t="s">
        <v>2287</v>
      </c>
      <c r="D182" s="3" t="s">
        <v>2290</v>
      </c>
      <c r="E182" s="3" t="s">
        <v>939</v>
      </c>
      <c r="F182" s="26">
        <v>40725</v>
      </c>
      <c r="G182" s="1">
        <v>2011</v>
      </c>
      <c r="H182" s="1" t="s">
        <v>61</v>
      </c>
      <c r="I182" s="3" t="s">
        <v>3494</v>
      </c>
      <c r="J182" s="1" t="s">
        <v>2515</v>
      </c>
      <c r="K182" s="1" t="s">
        <v>2289</v>
      </c>
      <c r="L182" s="1" t="b">
        <v>1</v>
      </c>
    </row>
    <row r="183" spans="1:12" ht="258" x14ac:dyDescent="0.5">
      <c r="A183" s="1" t="s">
        <v>3495</v>
      </c>
      <c r="B183" s="3" t="s">
        <v>2213</v>
      </c>
      <c r="C183" s="3" t="s">
        <v>2212</v>
      </c>
      <c r="D183" s="3" t="s">
        <v>2216</v>
      </c>
      <c r="E183" s="3" t="s">
        <v>2214</v>
      </c>
      <c r="F183" s="26">
        <v>41309</v>
      </c>
      <c r="G183" s="1">
        <v>2013</v>
      </c>
      <c r="H183" s="1" t="s">
        <v>61</v>
      </c>
      <c r="I183" s="3" t="s">
        <v>123</v>
      </c>
      <c r="J183" s="1" t="s">
        <v>2515</v>
      </c>
      <c r="K183" s="1" t="s">
        <v>2215</v>
      </c>
      <c r="L183" s="1" t="b">
        <v>1</v>
      </c>
    </row>
    <row r="184" spans="1:12" ht="358.35" x14ac:dyDescent="0.5">
      <c r="A184" s="1" t="s">
        <v>3496</v>
      </c>
      <c r="B184" s="3" t="s">
        <v>1261</v>
      </c>
      <c r="C184" s="3" t="s">
        <v>1260</v>
      </c>
      <c r="D184" s="3" t="s">
        <v>1264</v>
      </c>
      <c r="E184" s="3" t="s">
        <v>1262</v>
      </c>
      <c r="F184" s="26">
        <v>45261</v>
      </c>
      <c r="G184" s="1">
        <v>2023</v>
      </c>
      <c r="H184" s="1" t="s">
        <v>61</v>
      </c>
      <c r="I184" s="3" t="s">
        <v>3497</v>
      </c>
      <c r="J184" s="1" t="s">
        <v>2515</v>
      </c>
      <c r="K184" s="1" t="s">
        <v>1263</v>
      </c>
      <c r="L184" s="1" t="b">
        <v>1</v>
      </c>
    </row>
    <row r="185" spans="1:12" ht="200.7" x14ac:dyDescent="0.5">
      <c r="A185" s="1" t="s">
        <v>3498</v>
      </c>
      <c r="B185" s="3" t="s">
        <v>1511</v>
      </c>
      <c r="C185" s="3" t="s">
        <v>1510</v>
      </c>
      <c r="D185" s="3" t="s">
        <v>1513</v>
      </c>
      <c r="E185" s="3" t="s">
        <v>1008</v>
      </c>
      <c r="F185" s="26">
        <v>45536</v>
      </c>
      <c r="G185" s="1">
        <v>2024</v>
      </c>
      <c r="H185" s="1" t="s">
        <v>61</v>
      </c>
      <c r="I185" s="3" t="s">
        <v>3499</v>
      </c>
      <c r="J185" s="1" t="s">
        <v>2515</v>
      </c>
      <c r="K185" s="1" t="s">
        <v>1512</v>
      </c>
      <c r="L185" s="1" t="b">
        <v>1</v>
      </c>
    </row>
    <row r="186" spans="1:12" ht="301" x14ac:dyDescent="0.5">
      <c r="A186" s="1" t="s">
        <v>3500</v>
      </c>
      <c r="B186" s="3" t="s">
        <v>1853</v>
      </c>
      <c r="C186" s="3" t="s">
        <v>1852</v>
      </c>
      <c r="D186" s="3" t="s">
        <v>1855</v>
      </c>
      <c r="E186" s="3" t="s">
        <v>1002</v>
      </c>
      <c r="F186" s="26">
        <v>45108</v>
      </c>
      <c r="G186" s="1">
        <v>2023</v>
      </c>
      <c r="H186" s="1" t="s">
        <v>61</v>
      </c>
      <c r="I186" s="3" t="s">
        <v>3501</v>
      </c>
      <c r="J186" s="1" t="s">
        <v>2515</v>
      </c>
      <c r="K186" s="1" t="s">
        <v>1854</v>
      </c>
      <c r="L186" s="1" t="b">
        <v>1</v>
      </c>
    </row>
    <row r="187" spans="1:12" ht="243.7" x14ac:dyDescent="0.5">
      <c r="A187" s="1" t="s">
        <v>3502</v>
      </c>
      <c r="B187" s="3" t="s">
        <v>2323</v>
      </c>
      <c r="C187" s="3" t="s">
        <v>2322</v>
      </c>
      <c r="D187" s="3" t="s">
        <v>2325</v>
      </c>
      <c r="E187" s="3" t="s">
        <v>1005</v>
      </c>
      <c r="F187" s="26">
        <v>41609</v>
      </c>
      <c r="G187" s="1">
        <v>2013</v>
      </c>
      <c r="H187" s="1" t="s">
        <v>61</v>
      </c>
      <c r="I187" s="3" t="s">
        <v>3503</v>
      </c>
      <c r="J187" s="1" t="s">
        <v>2515</v>
      </c>
      <c r="K187" s="1" t="s">
        <v>2324</v>
      </c>
      <c r="L187" s="1" t="b">
        <v>1</v>
      </c>
    </row>
    <row r="188" spans="1:12" ht="200.7" x14ac:dyDescent="0.5">
      <c r="A188" s="1" t="s">
        <v>3504</v>
      </c>
      <c r="B188" s="3" t="s">
        <v>1203</v>
      </c>
      <c r="C188" s="3" t="s">
        <v>1202</v>
      </c>
      <c r="D188" s="3" t="s">
        <v>1205</v>
      </c>
      <c r="E188" s="3" t="s">
        <v>1113</v>
      </c>
      <c r="F188" s="26">
        <v>44501</v>
      </c>
      <c r="G188" s="1">
        <v>2021</v>
      </c>
      <c r="H188" s="1" t="s">
        <v>61</v>
      </c>
      <c r="I188" s="3" t="s">
        <v>3505</v>
      </c>
      <c r="J188" s="1" t="s">
        <v>2515</v>
      </c>
      <c r="K188" s="1" t="s">
        <v>1204</v>
      </c>
      <c r="L188" s="1" t="b">
        <v>1</v>
      </c>
    </row>
    <row r="189" spans="1:12" ht="315.35000000000002" x14ac:dyDescent="0.5">
      <c r="A189" s="1" t="s">
        <v>3506</v>
      </c>
      <c r="B189" s="3" t="s">
        <v>2413</v>
      </c>
      <c r="C189" s="3" t="s">
        <v>2412</v>
      </c>
      <c r="D189" s="3" t="s">
        <v>2415</v>
      </c>
      <c r="E189" s="3" t="s">
        <v>954</v>
      </c>
      <c r="F189" s="26">
        <v>40725</v>
      </c>
      <c r="G189" s="1">
        <v>2011</v>
      </c>
      <c r="H189" s="1" t="s">
        <v>61</v>
      </c>
      <c r="I189" s="3" t="s">
        <v>3507</v>
      </c>
      <c r="J189" s="1" t="s">
        <v>2515</v>
      </c>
      <c r="K189" s="1" t="s">
        <v>2414</v>
      </c>
      <c r="L189" s="1" t="b">
        <v>1</v>
      </c>
    </row>
    <row r="190" spans="1:12" ht="172" x14ac:dyDescent="0.5">
      <c r="A190" s="1" t="s">
        <v>3508</v>
      </c>
      <c r="B190" s="3" t="s">
        <v>315</v>
      </c>
      <c r="C190" s="3" t="s">
        <v>340</v>
      </c>
      <c r="D190" s="3" t="s">
        <v>365</v>
      </c>
      <c r="E190" s="3" t="s">
        <v>956</v>
      </c>
      <c r="F190" s="26">
        <v>41579</v>
      </c>
      <c r="G190" s="1">
        <v>2013</v>
      </c>
      <c r="H190" s="1" t="s">
        <v>61</v>
      </c>
      <c r="I190" s="3" t="s">
        <v>3509</v>
      </c>
      <c r="J190" s="1" t="s">
        <v>2515</v>
      </c>
      <c r="K190" s="1" t="s">
        <v>390</v>
      </c>
      <c r="L190" s="1" t="b">
        <v>1</v>
      </c>
    </row>
    <row r="191" spans="1:12" ht="229.35" x14ac:dyDescent="0.5">
      <c r="A191" s="1" t="s">
        <v>3510</v>
      </c>
      <c r="B191" s="3" t="s">
        <v>1356</v>
      </c>
      <c r="C191" s="3" t="s">
        <v>1355</v>
      </c>
      <c r="D191" s="3" t="s">
        <v>1358</v>
      </c>
      <c r="E191" s="3" t="s">
        <v>943</v>
      </c>
      <c r="F191" s="26">
        <v>45627</v>
      </c>
      <c r="G191" s="1">
        <v>2024</v>
      </c>
      <c r="H191" s="1" t="s">
        <v>61</v>
      </c>
      <c r="I191" s="3" t="s">
        <v>3511</v>
      </c>
      <c r="J191" s="1" t="s">
        <v>2515</v>
      </c>
      <c r="K191" s="1" t="s">
        <v>1357</v>
      </c>
      <c r="L191" s="1" t="b">
        <v>1</v>
      </c>
    </row>
    <row r="192" spans="1:12" ht="229.35" x14ac:dyDescent="0.5">
      <c r="A192" s="1" t="s">
        <v>3512</v>
      </c>
      <c r="B192" s="3" t="s">
        <v>1191</v>
      </c>
      <c r="C192" s="3" t="s">
        <v>1190</v>
      </c>
      <c r="D192" s="3" t="s">
        <v>1193</v>
      </c>
      <c r="E192" s="3" t="s">
        <v>937</v>
      </c>
      <c r="F192" s="26">
        <v>44972</v>
      </c>
      <c r="G192" s="1">
        <v>2023</v>
      </c>
      <c r="H192" s="1" t="s">
        <v>61</v>
      </c>
      <c r="I192" s="3" t="s">
        <v>3513</v>
      </c>
      <c r="J192" s="1" t="s">
        <v>2515</v>
      </c>
      <c r="K192" s="1" t="s">
        <v>1192</v>
      </c>
      <c r="L192" s="1" t="b">
        <v>1</v>
      </c>
    </row>
    <row r="193" spans="1:12" ht="286.7" x14ac:dyDescent="0.5">
      <c r="A193" s="1" t="s">
        <v>3514</v>
      </c>
      <c r="B193" s="3" t="s">
        <v>1709</v>
      </c>
      <c r="C193" s="3" t="s">
        <v>1708</v>
      </c>
      <c r="D193" s="3" t="s">
        <v>1711</v>
      </c>
      <c r="E193" s="3" t="s">
        <v>950</v>
      </c>
      <c r="F193" s="26">
        <v>44927</v>
      </c>
      <c r="G193" s="1">
        <v>2023</v>
      </c>
      <c r="H193" s="1" t="s">
        <v>61</v>
      </c>
      <c r="I193" s="3" t="s">
        <v>3515</v>
      </c>
      <c r="J193" s="1" t="s">
        <v>2515</v>
      </c>
      <c r="K193" s="1" t="s">
        <v>1710</v>
      </c>
      <c r="L193" s="1" t="b">
        <v>1</v>
      </c>
    </row>
    <row r="194" spans="1:12" ht="272.35000000000002" x14ac:dyDescent="0.5">
      <c r="A194" s="1" t="s">
        <v>3516</v>
      </c>
      <c r="B194" s="3" t="s">
        <v>1381</v>
      </c>
      <c r="C194" s="3" t="s">
        <v>1380</v>
      </c>
      <c r="D194" s="3" t="s">
        <v>1383</v>
      </c>
      <c r="E194" s="3" t="s">
        <v>926</v>
      </c>
      <c r="F194" s="26">
        <v>44531</v>
      </c>
      <c r="G194" s="1">
        <v>2021</v>
      </c>
      <c r="H194" s="1" t="s">
        <v>61</v>
      </c>
      <c r="I194" s="3" t="s">
        <v>3517</v>
      </c>
      <c r="J194" s="1" t="s">
        <v>2515</v>
      </c>
      <c r="K194" s="1" t="s">
        <v>1382</v>
      </c>
      <c r="L194" s="1" t="b">
        <v>1</v>
      </c>
    </row>
    <row r="195" spans="1:12" ht="200.7" x14ac:dyDescent="0.5">
      <c r="A195" s="1" t="s">
        <v>3518</v>
      </c>
      <c r="B195" s="3" t="s">
        <v>1215</v>
      </c>
      <c r="C195" s="3" t="s">
        <v>1214</v>
      </c>
      <c r="D195" s="3" t="s">
        <v>1217</v>
      </c>
      <c r="E195" s="3" t="s">
        <v>1005</v>
      </c>
      <c r="F195" s="26">
        <v>45139</v>
      </c>
      <c r="G195" s="1">
        <v>2023</v>
      </c>
      <c r="H195" s="1" t="s">
        <v>61</v>
      </c>
      <c r="I195" s="3" t="s">
        <v>3519</v>
      </c>
      <c r="J195" s="1" t="s">
        <v>2515</v>
      </c>
      <c r="K195" s="1" t="s">
        <v>1216</v>
      </c>
      <c r="L195" s="1" t="b">
        <v>1</v>
      </c>
    </row>
    <row r="196" spans="1:12" ht="229.35" x14ac:dyDescent="0.5">
      <c r="A196" s="1" t="s">
        <v>3520</v>
      </c>
      <c r="B196" s="3" t="s">
        <v>1824</v>
      </c>
      <c r="C196" s="3" t="s">
        <v>1823</v>
      </c>
      <c r="D196" s="3" t="s">
        <v>1826</v>
      </c>
      <c r="E196" s="3" t="s">
        <v>1004</v>
      </c>
      <c r="F196" s="26">
        <v>40210</v>
      </c>
      <c r="G196" s="1">
        <v>2010</v>
      </c>
      <c r="H196" s="1" t="s">
        <v>61</v>
      </c>
      <c r="I196" s="3" t="s">
        <v>3521</v>
      </c>
      <c r="J196" s="1" t="s">
        <v>2515</v>
      </c>
      <c r="K196" s="1" t="s">
        <v>1825</v>
      </c>
      <c r="L196" s="1" t="b">
        <v>1</v>
      </c>
    </row>
    <row r="197" spans="1:12" ht="272.35000000000002" x14ac:dyDescent="0.5">
      <c r="A197" s="1" t="s">
        <v>3522</v>
      </c>
      <c r="B197" s="3" t="s">
        <v>1547</v>
      </c>
      <c r="C197" s="3" t="s">
        <v>1546</v>
      </c>
      <c r="D197" s="3" t="s">
        <v>1549</v>
      </c>
      <c r="E197" s="3" t="s">
        <v>973</v>
      </c>
      <c r="F197" s="26">
        <v>44378</v>
      </c>
      <c r="G197" s="1">
        <v>2021</v>
      </c>
      <c r="H197" s="1" t="s">
        <v>61</v>
      </c>
      <c r="I197" s="3" t="s">
        <v>3523</v>
      </c>
      <c r="J197" s="1" t="s">
        <v>2515</v>
      </c>
      <c r="K197" s="1" t="s">
        <v>1548</v>
      </c>
      <c r="L197" s="1" t="b">
        <v>1</v>
      </c>
    </row>
    <row r="198" spans="1:12" ht="186.35" x14ac:dyDescent="0.5">
      <c r="A198" s="1" t="s">
        <v>3524</v>
      </c>
      <c r="B198" s="3" t="s">
        <v>308</v>
      </c>
      <c r="C198" s="3" t="s">
        <v>333</v>
      </c>
      <c r="D198" s="3" t="s">
        <v>358</v>
      </c>
      <c r="E198" s="3" t="s">
        <v>995</v>
      </c>
      <c r="F198" s="26">
        <v>44666</v>
      </c>
      <c r="G198" s="1">
        <v>2022</v>
      </c>
      <c r="H198" s="1" t="s">
        <v>61</v>
      </c>
      <c r="I198" s="3" t="s">
        <v>3525</v>
      </c>
      <c r="J198" s="1" t="s">
        <v>2515</v>
      </c>
      <c r="K198" s="1" t="s">
        <v>383</v>
      </c>
      <c r="L198" s="1" t="b">
        <v>1</v>
      </c>
    </row>
    <row r="199" spans="1:12" ht="114.7" x14ac:dyDescent="0.5">
      <c r="A199" s="1" t="s">
        <v>3526</v>
      </c>
      <c r="B199" s="3" t="s">
        <v>2248</v>
      </c>
      <c r="C199" s="3" t="s">
        <v>2247</v>
      </c>
      <c r="D199" s="3" t="s">
        <v>2250</v>
      </c>
      <c r="E199" s="3" t="s">
        <v>2022</v>
      </c>
      <c r="F199" s="26">
        <v>44866</v>
      </c>
      <c r="G199" s="1">
        <v>2022</v>
      </c>
      <c r="H199" s="1" t="s">
        <v>61</v>
      </c>
      <c r="I199" s="3" t="s">
        <v>3527</v>
      </c>
      <c r="J199" s="1" t="s">
        <v>2515</v>
      </c>
      <c r="K199" s="1" t="s">
        <v>2249</v>
      </c>
      <c r="L199" s="1" t="b">
        <v>1</v>
      </c>
    </row>
    <row r="200" spans="1:12" ht="258" x14ac:dyDescent="0.5">
      <c r="A200" s="1" t="s">
        <v>3528</v>
      </c>
      <c r="B200" s="3" t="s">
        <v>1316</v>
      </c>
      <c r="C200" s="3" t="s">
        <v>1315</v>
      </c>
      <c r="D200" s="3" t="s">
        <v>1318</v>
      </c>
      <c r="E200" s="3" t="s">
        <v>927</v>
      </c>
      <c r="F200" s="26">
        <v>45413</v>
      </c>
      <c r="G200" s="1">
        <v>2024</v>
      </c>
      <c r="H200" s="1" t="s">
        <v>61</v>
      </c>
      <c r="I200" s="3" t="s">
        <v>3529</v>
      </c>
      <c r="J200" s="1" t="s">
        <v>2515</v>
      </c>
      <c r="K200" s="1" t="s">
        <v>1317</v>
      </c>
      <c r="L200" s="1" t="b">
        <v>1</v>
      </c>
    </row>
    <row r="201" spans="1:12" ht="272.35000000000002" x14ac:dyDescent="0.5">
      <c r="A201" s="1" t="s">
        <v>3530</v>
      </c>
      <c r="B201" s="3" t="s">
        <v>1249</v>
      </c>
      <c r="C201" s="3" t="s">
        <v>1248</v>
      </c>
      <c r="D201" s="3" t="s">
        <v>1251</v>
      </c>
      <c r="E201" s="3" t="s">
        <v>945</v>
      </c>
      <c r="F201" s="26">
        <v>45474</v>
      </c>
      <c r="G201" s="1">
        <v>2024</v>
      </c>
      <c r="H201" s="1" t="s">
        <v>61</v>
      </c>
      <c r="I201" s="3" t="s">
        <v>3531</v>
      </c>
      <c r="J201" s="1" t="s">
        <v>2515</v>
      </c>
      <c r="K201" s="1" t="s">
        <v>1250</v>
      </c>
      <c r="L201" s="1" t="b">
        <v>1</v>
      </c>
    </row>
    <row r="202" spans="1:12" ht="143.35" x14ac:dyDescent="0.5">
      <c r="A202" s="1" t="s">
        <v>3532</v>
      </c>
      <c r="B202" s="3" t="s">
        <v>2016</v>
      </c>
      <c r="C202" s="3" t="s">
        <v>2015</v>
      </c>
      <c r="D202" s="3" t="s">
        <v>2019</v>
      </c>
      <c r="E202" s="3" t="s">
        <v>2017</v>
      </c>
      <c r="F202" s="26">
        <v>40228</v>
      </c>
      <c r="G202" s="1">
        <v>2010</v>
      </c>
      <c r="H202" s="1" t="s">
        <v>61</v>
      </c>
      <c r="I202" s="3" t="s">
        <v>3533</v>
      </c>
      <c r="J202" s="1" t="s">
        <v>2515</v>
      </c>
      <c r="K202" s="1" t="s">
        <v>2018</v>
      </c>
      <c r="L202" s="1" t="b">
        <v>1</v>
      </c>
    </row>
    <row r="203" spans="1:12" ht="272.35000000000002" x14ac:dyDescent="0.5">
      <c r="A203" s="1" t="s">
        <v>3534</v>
      </c>
      <c r="B203" s="3" t="s">
        <v>1235</v>
      </c>
      <c r="C203" s="3" t="s">
        <v>1234</v>
      </c>
      <c r="D203" s="3" t="s">
        <v>1238</v>
      </c>
      <c r="E203" s="3" t="s">
        <v>1236</v>
      </c>
      <c r="F203" s="26">
        <v>45078</v>
      </c>
      <c r="G203" s="1">
        <v>2023</v>
      </c>
      <c r="H203" s="1" t="s">
        <v>61</v>
      </c>
      <c r="I203" s="3" t="s">
        <v>3535</v>
      </c>
      <c r="J203" s="1" t="s">
        <v>2515</v>
      </c>
      <c r="K203" s="1" t="s">
        <v>1237</v>
      </c>
      <c r="L203" s="1" t="b">
        <v>1</v>
      </c>
    </row>
    <row r="204" spans="1:12" ht="301" x14ac:dyDescent="0.5">
      <c r="A204" s="1" t="s">
        <v>3536</v>
      </c>
      <c r="B204" s="3" t="s">
        <v>1495</v>
      </c>
      <c r="C204" s="3" t="s">
        <v>1494</v>
      </c>
      <c r="D204" s="3" t="s">
        <v>1497</v>
      </c>
      <c r="E204" s="3" t="s">
        <v>939</v>
      </c>
      <c r="F204" s="26">
        <v>44896</v>
      </c>
      <c r="G204" s="1">
        <v>2022</v>
      </c>
      <c r="H204" s="1" t="s">
        <v>61</v>
      </c>
      <c r="I204" s="3" t="s">
        <v>3537</v>
      </c>
      <c r="J204" s="1" t="s">
        <v>2515</v>
      </c>
      <c r="K204" s="1" t="s">
        <v>1496</v>
      </c>
      <c r="L204" s="1" t="b">
        <v>1</v>
      </c>
    </row>
    <row r="205" spans="1:12" ht="272.35000000000002" x14ac:dyDescent="0.5">
      <c r="A205" s="1" t="s">
        <v>3538</v>
      </c>
      <c r="B205" s="3" t="s">
        <v>1954</v>
      </c>
      <c r="C205" s="3" t="s">
        <v>1953</v>
      </c>
      <c r="D205" s="3" t="s">
        <v>1956</v>
      </c>
      <c r="E205" s="3" t="s">
        <v>956</v>
      </c>
      <c r="F205" s="26">
        <v>41699</v>
      </c>
      <c r="G205" s="1">
        <v>2014</v>
      </c>
      <c r="H205" s="1" t="s">
        <v>61</v>
      </c>
      <c r="I205" s="3" t="s">
        <v>3539</v>
      </c>
      <c r="J205" s="1" t="s">
        <v>2515</v>
      </c>
      <c r="K205" s="1" t="s">
        <v>1955</v>
      </c>
      <c r="L205" s="1" t="b">
        <v>1</v>
      </c>
    </row>
    <row r="206" spans="1:12" ht="215" x14ac:dyDescent="0.5">
      <c r="A206" s="1" t="s">
        <v>3540</v>
      </c>
      <c r="B206" s="3" t="s">
        <v>1648</v>
      </c>
      <c r="C206" s="3" t="s">
        <v>1647</v>
      </c>
      <c r="D206" s="3" t="s">
        <v>1650</v>
      </c>
      <c r="E206" s="3" t="s">
        <v>1006</v>
      </c>
      <c r="F206" s="26">
        <v>44409</v>
      </c>
      <c r="G206" s="1">
        <v>2021</v>
      </c>
      <c r="H206" s="1" t="s">
        <v>61</v>
      </c>
      <c r="I206" s="3" t="s">
        <v>3541</v>
      </c>
      <c r="J206" s="1" t="s">
        <v>2515</v>
      </c>
      <c r="K206" s="1" t="s">
        <v>1649</v>
      </c>
      <c r="L206" s="1" t="b">
        <v>1</v>
      </c>
    </row>
    <row r="207" spans="1:12" ht="272.35000000000002" x14ac:dyDescent="0.5">
      <c r="A207" s="1" t="s">
        <v>3542</v>
      </c>
      <c r="B207" s="3" t="s">
        <v>1573</v>
      </c>
      <c r="C207" s="3" t="s">
        <v>1572</v>
      </c>
      <c r="D207" s="3" t="s">
        <v>1575</v>
      </c>
      <c r="E207" s="3" t="s">
        <v>939</v>
      </c>
      <c r="F207" s="26">
        <v>41532</v>
      </c>
      <c r="G207" s="1">
        <v>2013</v>
      </c>
      <c r="H207" s="1" t="s">
        <v>61</v>
      </c>
      <c r="I207" s="3" t="s">
        <v>3543</v>
      </c>
      <c r="J207" s="1" t="s">
        <v>2515</v>
      </c>
      <c r="K207" s="1" t="s">
        <v>1574</v>
      </c>
      <c r="L207" s="1" t="b">
        <v>1</v>
      </c>
    </row>
    <row r="208" spans="1:12" ht="243.7" x14ac:dyDescent="0.5">
      <c r="A208" s="1" t="s">
        <v>3544</v>
      </c>
      <c r="B208" s="3" t="s">
        <v>2114</v>
      </c>
      <c r="C208" s="3" t="s">
        <v>2113</v>
      </c>
      <c r="D208" s="3" t="s">
        <v>2116</v>
      </c>
      <c r="E208" s="3" t="s">
        <v>939</v>
      </c>
      <c r="F208" s="26">
        <v>43449</v>
      </c>
      <c r="G208" s="1">
        <v>2018</v>
      </c>
      <c r="H208" s="1" t="s">
        <v>61</v>
      </c>
      <c r="I208" s="3" t="s">
        <v>3545</v>
      </c>
      <c r="J208" s="1" t="s">
        <v>2515</v>
      </c>
      <c r="K208" s="1" t="s">
        <v>2115</v>
      </c>
      <c r="L208" s="1" t="b">
        <v>1</v>
      </c>
    </row>
    <row r="209" spans="1:12" ht="258" x14ac:dyDescent="0.5">
      <c r="A209" s="1" t="s">
        <v>3546</v>
      </c>
      <c r="B209" s="3" t="s">
        <v>1756</v>
      </c>
      <c r="C209" s="3" t="s">
        <v>1755</v>
      </c>
      <c r="D209" s="3" t="s">
        <v>1758</v>
      </c>
      <c r="E209" s="3" t="s">
        <v>1236</v>
      </c>
      <c r="F209" s="26">
        <v>44652</v>
      </c>
      <c r="G209" s="1">
        <v>2022</v>
      </c>
      <c r="H209" s="1" t="s">
        <v>61</v>
      </c>
      <c r="I209" s="3" t="s">
        <v>3547</v>
      </c>
      <c r="J209" s="1" t="s">
        <v>2515</v>
      </c>
      <c r="K209" s="1" t="s">
        <v>1757</v>
      </c>
      <c r="L209" s="1" t="b">
        <v>1</v>
      </c>
    </row>
    <row r="210" spans="1:12" ht="229.35" x14ac:dyDescent="0.5">
      <c r="A210" s="1" t="s">
        <v>3548</v>
      </c>
      <c r="B210" s="3" t="s">
        <v>2164</v>
      </c>
      <c r="C210" s="3" t="s">
        <v>2163</v>
      </c>
      <c r="D210" s="3" t="s">
        <v>2166</v>
      </c>
      <c r="E210" s="3" t="s">
        <v>939</v>
      </c>
      <c r="F210" s="26">
        <v>45200</v>
      </c>
      <c r="G210" s="1">
        <v>2023</v>
      </c>
      <c r="H210" s="1" t="s">
        <v>61</v>
      </c>
      <c r="I210" s="3" t="s">
        <v>3549</v>
      </c>
      <c r="J210" s="1" t="s">
        <v>2515</v>
      </c>
      <c r="K210" s="1" t="s">
        <v>2165</v>
      </c>
      <c r="L210" s="1" t="b">
        <v>1</v>
      </c>
    </row>
    <row r="211" spans="1:12" ht="172" x14ac:dyDescent="0.5">
      <c r="A211" s="1" t="s">
        <v>3550</v>
      </c>
      <c r="B211" s="3" t="s">
        <v>2143</v>
      </c>
      <c r="C211" s="3" t="s">
        <v>2142</v>
      </c>
      <c r="D211" s="3" t="s">
        <v>2145</v>
      </c>
      <c r="E211" s="3" t="s">
        <v>1007</v>
      </c>
      <c r="F211" s="26">
        <v>44013</v>
      </c>
      <c r="G211" s="1">
        <v>2020</v>
      </c>
      <c r="H211" s="1" t="s">
        <v>61</v>
      </c>
      <c r="I211" s="3" t="s">
        <v>3551</v>
      </c>
      <c r="J211" s="1" t="s">
        <v>2515</v>
      </c>
      <c r="K211" s="1" t="s">
        <v>2144</v>
      </c>
      <c r="L211" s="1" t="b">
        <v>1</v>
      </c>
    </row>
    <row r="212" spans="1:12" ht="243.7" x14ac:dyDescent="0.5">
      <c r="A212" s="1" t="s">
        <v>3552</v>
      </c>
      <c r="B212" s="3" t="s">
        <v>1628</v>
      </c>
      <c r="C212" s="3" t="s">
        <v>1627</v>
      </c>
      <c r="D212" s="3" t="s">
        <v>1630</v>
      </c>
      <c r="E212" s="3" t="s">
        <v>1002</v>
      </c>
      <c r="F212" s="26">
        <v>44470</v>
      </c>
      <c r="G212" s="1">
        <v>2021</v>
      </c>
      <c r="H212" s="1" t="s">
        <v>61</v>
      </c>
      <c r="I212" s="3" t="s">
        <v>3553</v>
      </c>
      <c r="J212" s="1" t="s">
        <v>2515</v>
      </c>
      <c r="K212" s="1" t="s">
        <v>1629</v>
      </c>
      <c r="L212" s="1" t="b">
        <v>1</v>
      </c>
    </row>
    <row r="213" spans="1:12" ht="200.7" x14ac:dyDescent="0.5">
      <c r="A213" s="1" t="s">
        <v>3554</v>
      </c>
      <c r="B213" s="3" t="s">
        <v>1681</v>
      </c>
      <c r="C213" s="3" t="s">
        <v>1680</v>
      </c>
      <c r="D213" s="3" t="s">
        <v>1683</v>
      </c>
      <c r="E213" s="3" t="s">
        <v>955</v>
      </c>
      <c r="F213" s="26">
        <v>42339</v>
      </c>
      <c r="G213" s="1">
        <v>2015</v>
      </c>
      <c r="H213" s="1" t="s">
        <v>61</v>
      </c>
      <c r="I213" s="3" t="s">
        <v>3555</v>
      </c>
      <c r="J213" s="1" t="s">
        <v>2515</v>
      </c>
      <c r="K213" s="1" t="s">
        <v>1682</v>
      </c>
      <c r="L213" s="1" t="b">
        <v>1</v>
      </c>
    </row>
    <row r="214" spans="1:12" ht="200.7" x14ac:dyDescent="0.5">
      <c r="A214" s="1" t="s">
        <v>3556</v>
      </c>
      <c r="B214" s="3" t="s">
        <v>1430</v>
      </c>
      <c r="C214" s="3" t="s">
        <v>1429</v>
      </c>
      <c r="D214" s="3" t="s">
        <v>1432</v>
      </c>
      <c r="E214" s="3" t="s">
        <v>1002</v>
      </c>
      <c r="F214" s="26">
        <v>45413</v>
      </c>
      <c r="G214" s="1">
        <v>2024</v>
      </c>
      <c r="H214" s="1" t="s">
        <v>61</v>
      </c>
      <c r="I214" s="3" t="s">
        <v>3557</v>
      </c>
      <c r="J214" s="1" t="s">
        <v>2515</v>
      </c>
      <c r="K214" s="1" t="s">
        <v>1431</v>
      </c>
      <c r="L214" s="1" t="b">
        <v>1</v>
      </c>
    </row>
    <row r="215" spans="1:12" ht="344" x14ac:dyDescent="0.5">
      <c r="A215" s="1" t="s">
        <v>3558</v>
      </c>
      <c r="B215" s="3" t="s">
        <v>1434</v>
      </c>
      <c r="C215" s="3" t="s">
        <v>1433</v>
      </c>
      <c r="D215" s="3" t="s">
        <v>1436</v>
      </c>
      <c r="E215" s="3" t="s">
        <v>1144</v>
      </c>
      <c r="F215" s="26">
        <v>43927</v>
      </c>
      <c r="G215" s="1">
        <v>2020</v>
      </c>
      <c r="H215" s="1" t="s">
        <v>61</v>
      </c>
      <c r="I215" s="3" t="s">
        <v>3559</v>
      </c>
      <c r="J215" s="1" t="s">
        <v>2515</v>
      </c>
      <c r="K215" s="1" t="s">
        <v>1435</v>
      </c>
      <c r="L215" s="1" t="b">
        <v>1</v>
      </c>
    </row>
    <row r="216" spans="1:12" ht="229.35" x14ac:dyDescent="0.5">
      <c r="A216" s="1" t="s">
        <v>3560</v>
      </c>
      <c r="B216" s="3" t="s">
        <v>1390</v>
      </c>
      <c r="C216" s="3" t="s">
        <v>1389</v>
      </c>
      <c r="D216" s="3" t="s">
        <v>1392</v>
      </c>
      <c r="E216" s="3" t="s">
        <v>1104</v>
      </c>
      <c r="F216" s="26">
        <v>42583</v>
      </c>
      <c r="G216" s="1">
        <v>2016</v>
      </c>
      <c r="H216" s="1" t="s">
        <v>61</v>
      </c>
      <c r="I216" s="3" t="s">
        <v>3561</v>
      </c>
      <c r="J216" s="1" t="s">
        <v>2515</v>
      </c>
      <c r="K216" s="1" t="s">
        <v>1391</v>
      </c>
      <c r="L216" s="1" t="b">
        <v>1</v>
      </c>
    </row>
    <row r="217" spans="1:12" ht="286.7" x14ac:dyDescent="0.5">
      <c r="A217" s="1" t="s">
        <v>3562</v>
      </c>
      <c r="B217" s="3" t="s">
        <v>2270</v>
      </c>
      <c r="C217" s="3" t="s">
        <v>2269</v>
      </c>
      <c r="D217" s="3" t="s">
        <v>2273</v>
      </c>
      <c r="E217" s="3" t="s">
        <v>2271</v>
      </c>
      <c r="F217" s="26">
        <v>44270</v>
      </c>
      <c r="G217" s="1">
        <v>2021</v>
      </c>
      <c r="H217" s="1" t="s">
        <v>61</v>
      </c>
      <c r="I217" s="3" t="s">
        <v>3563</v>
      </c>
      <c r="J217" s="1" t="s">
        <v>2515</v>
      </c>
      <c r="K217" s="1" t="s">
        <v>2272</v>
      </c>
      <c r="L217" s="1" t="b">
        <v>1</v>
      </c>
    </row>
    <row r="218" spans="1:12" ht="258" x14ac:dyDescent="0.5">
      <c r="A218" s="1" t="s">
        <v>3564</v>
      </c>
      <c r="B218" s="3" t="s">
        <v>1816</v>
      </c>
      <c r="C218" s="3" t="s">
        <v>1815</v>
      </c>
      <c r="D218" s="3" t="s">
        <v>1818</v>
      </c>
      <c r="E218" s="3" t="s">
        <v>1002</v>
      </c>
      <c r="F218" s="26">
        <v>45261</v>
      </c>
      <c r="G218" s="1">
        <v>2023</v>
      </c>
      <c r="H218" s="1" t="s">
        <v>61</v>
      </c>
      <c r="I218" s="3" t="s">
        <v>3565</v>
      </c>
      <c r="J218" s="1" t="s">
        <v>2515</v>
      </c>
      <c r="K218" s="1" t="s">
        <v>1817</v>
      </c>
      <c r="L218" s="1" t="b">
        <v>1</v>
      </c>
    </row>
    <row r="219" spans="1:12" ht="157.69999999999999" x14ac:dyDescent="0.5">
      <c r="A219" s="1" t="s">
        <v>3566</v>
      </c>
      <c r="B219" s="3" t="s">
        <v>1555</v>
      </c>
      <c r="C219" s="3" t="s">
        <v>1554</v>
      </c>
      <c r="D219" s="3" t="s">
        <v>1557</v>
      </c>
      <c r="E219" s="3" t="s">
        <v>941</v>
      </c>
      <c r="F219" s="26">
        <v>42566</v>
      </c>
      <c r="G219" s="1">
        <v>2016</v>
      </c>
      <c r="H219" s="1" t="s">
        <v>61</v>
      </c>
      <c r="I219" s="3" t="s">
        <v>3567</v>
      </c>
      <c r="J219" s="1" t="s">
        <v>2515</v>
      </c>
      <c r="K219" s="1" t="s">
        <v>1556</v>
      </c>
      <c r="L219" s="1" t="b">
        <v>1</v>
      </c>
    </row>
    <row r="220" spans="1:12" ht="229.35" x14ac:dyDescent="0.5">
      <c r="A220" s="1" t="s">
        <v>3568</v>
      </c>
      <c r="B220" s="3" t="s">
        <v>1772</v>
      </c>
      <c r="C220" s="3" t="s">
        <v>1771</v>
      </c>
      <c r="D220" s="3" t="s">
        <v>1774</v>
      </c>
      <c r="E220" s="3" t="s">
        <v>927</v>
      </c>
      <c r="F220" s="26">
        <v>44743</v>
      </c>
      <c r="G220" s="1">
        <v>2022</v>
      </c>
      <c r="H220" s="1" t="s">
        <v>61</v>
      </c>
      <c r="I220" s="3" t="s">
        <v>3569</v>
      </c>
      <c r="J220" s="1" t="s">
        <v>2515</v>
      </c>
      <c r="K220" s="1" t="s">
        <v>1773</v>
      </c>
      <c r="L220" s="1" t="b">
        <v>1</v>
      </c>
    </row>
    <row r="221" spans="1:12" ht="286.7" x14ac:dyDescent="0.5">
      <c r="A221" s="1" t="s">
        <v>3570</v>
      </c>
      <c r="B221" s="3" t="s">
        <v>2335</v>
      </c>
      <c r="C221" s="3" t="s">
        <v>2334</v>
      </c>
      <c r="D221" s="3" t="s">
        <v>2337</v>
      </c>
      <c r="E221" s="3" t="s">
        <v>951</v>
      </c>
      <c r="F221" s="26">
        <v>45383</v>
      </c>
      <c r="G221" s="1">
        <v>2024</v>
      </c>
      <c r="H221" s="1" t="s">
        <v>61</v>
      </c>
      <c r="I221" s="3" t="s">
        <v>3571</v>
      </c>
      <c r="J221" s="1" t="s">
        <v>2515</v>
      </c>
      <c r="K221" s="1" t="s">
        <v>2336</v>
      </c>
      <c r="L221" s="1" t="b">
        <v>1</v>
      </c>
    </row>
    <row r="222" spans="1:12" ht="229.35" x14ac:dyDescent="0.5">
      <c r="A222" s="1" t="s">
        <v>3572</v>
      </c>
      <c r="B222" s="3" t="s">
        <v>2360</v>
      </c>
      <c r="C222" s="3" t="s">
        <v>2359</v>
      </c>
      <c r="D222" s="3" t="s">
        <v>2362</v>
      </c>
      <c r="E222" s="3" t="s">
        <v>923</v>
      </c>
      <c r="F222" s="26">
        <v>42085</v>
      </c>
      <c r="G222" s="1">
        <v>2015</v>
      </c>
      <c r="H222" s="1" t="s">
        <v>61</v>
      </c>
      <c r="I222" s="3" t="s">
        <v>3573</v>
      </c>
      <c r="J222" s="1" t="s">
        <v>2515</v>
      </c>
      <c r="K222" s="1" t="s">
        <v>2361</v>
      </c>
      <c r="L222" s="1" t="b">
        <v>1</v>
      </c>
    </row>
    <row r="223" spans="1:12" ht="229.35" x14ac:dyDescent="0.5">
      <c r="A223" s="1" t="s">
        <v>3574</v>
      </c>
      <c r="B223" s="3" t="s">
        <v>1320</v>
      </c>
      <c r="C223" s="3" t="s">
        <v>1319</v>
      </c>
      <c r="D223" s="3" t="s">
        <v>1322</v>
      </c>
      <c r="E223" s="3" t="s">
        <v>968</v>
      </c>
      <c r="F223" s="26">
        <v>40816</v>
      </c>
      <c r="G223" s="1">
        <v>2011</v>
      </c>
      <c r="H223" s="1" t="s">
        <v>61</v>
      </c>
      <c r="I223" s="3" t="s">
        <v>3575</v>
      </c>
      <c r="J223" s="1" t="s">
        <v>2515</v>
      </c>
      <c r="K223" s="1" t="s">
        <v>1321</v>
      </c>
      <c r="L223" s="1" t="b">
        <v>1</v>
      </c>
    </row>
    <row r="224" spans="1:12" ht="229.35" x14ac:dyDescent="0.5">
      <c r="A224" s="1" t="s">
        <v>3576</v>
      </c>
      <c r="B224" s="3" t="s">
        <v>1713</v>
      </c>
      <c r="C224" s="3" t="s">
        <v>1712</v>
      </c>
      <c r="D224" s="3" t="s">
        <v>1715</v>
      </c>
      <c r="E224" s="3" t="s">
        <v>928</v>
      </c>
      <c r="F224" s="26">
        <v>44562</v>
      </c>
      <c r="G224" s="1">
        <v>2022</v>
      </c>
      <c r="H224" s="1" t="s">
        <v>61</v>
      </c>
      <c r="I224" s="3" t="s">
        <v>3577</v>
      </c>
      <c r="J224" s="1" t="s">
        <v>2515</v>
      </c>
      <c r="K224" s="1" t="s">
        <v>1714</v>
      </c>
      <c r="L224" s="1" t="b">
        <v>1</v>
      </c>
    </row>
    <row r="225" spans="1:12" ht="200.7" x14ac:dyDescent="0.5">
      <c r="A225" s="1" t="s">
        <v>3578</v>
      </c>
      <c r="B225" s="3" t="s">
        <v>2088</v>
      </c>
      <c r="C225" s="3" t="s">
        <v>2087</v>
      </c>
      <c r="D225" s="3" t="s">
        <v>2091</v>
      </c>
      <c r="E225" s="3" t="s">
        <v>2089</v>
      </c>
      <c r="F225" s="26">
        <v>44896</v>
      </c>
      <c r="G225" s="1">
        <v>2022</v>
      </c>
      <c r="H225" s="1" t="s">
        <v>61</v>
      </c>
      <c r="I225" s="3" t="s">
        <v>3579</v>
      </c>
      <c r="J225" s="1" t="s">
        <v>2515</v>
      </c>
      <c r="K225" s="1" t="s">
        <v>2090</v>
      </c>
      <c r="L225" s="1" t="b">
        <v>1</v>
      </c>
    </row>
    <row r="226" spans="1:12" ht="301" x14ac:dyDescent="0.5">
      <c r="A226" s="1" t="s">
        <v>3580</v>
      </c>
      <c r="B226" s="3" t="s">
        <v>2280</v>
      </c>
      <c r="C226" s="3" t="s">
        <v>2279</v>
      </c>
      <c r="D226" s="3" t="s">
        <v>2282</v>
      </c>
      <c r="E226" s="3" t="s">
        <v>942</v>
      </c>
      <c r="F226" s="26">
        <v>43388</v>
      </c>
      <c r="G226" s="1">
        <v>2018</v>
      </c>
      <c r="H226" s="1" t="s">
        <v>61</v>
      </c>
      <c r="I226" s="3" t="s">
        <v>3581</v>
      </c>
      <c r="J226" s="1" t="s">
        <v>2515</v>
      </c>
      <c r="K226" s="1" t="s">
        <v>2281</v>
      </c>
      <c r="L226" s="1" t="b">
        <v>1</v>
      </c>
    </row>
    <row r="227" spans="1:12" ht="409.6" x14ac:dyDescent="0.5">
      <c r="A227" s="1" t="s">
        <v>3582</v>
      </c>
      <c r="B227" s="3" t="s">
        <v>302</v>
      </c>
      <c r="C227" s="3" t="s">
        <v>327</v>
      </c>
      <c r="D227" s="3" t="s">
        <v>352</v>
      </c>
      <c r="E227" s="3" t="s">
        <v>1016</v>
      </c>
      <c r="F227" s="26">
        <v>42675</v>
      </c>
      <c r="G227" s="1">
        <v>2016</v>
      </c>
      <c r="H227" s="1" t="s">
        <v>61</v>
      </c>
      <c r="I227" s="3" t="s">
        <v>3583</v>
      </c>
      <c r="J227" s="1" t="s">
        <v>2515</v>
      </c>
      <c r="K227" s="1" t="s">
        <v>377</v>
      </c>
      <c r="L227" s="1" t="b">
        <v>1</v>
      </c>
    </row>
    <row r="228" spans="1:12" ht="315.35000000000002" x14ac:dyDescent="0.5">
      <c r="A228" s="1" t="s">
        <v>3584</v>
      </c>
      <c r="B228" s="3" t="s">
        <v>1590</v>
      </c>
      <c r="C228" s="3" t="s">
        <v>1589</v>
      </c>
      <c r="D228" s="3" t="s">
        <v>1592</v>
      </c>
      <c r="E228" s="3" t="s">
        <v>960</v>
      </c>
      <c r="F228" s="26">
        <v>45387</v>
      </c>
      <c r="G228" s="1">
        <v>2024</v>
      </c>
      <c r="H228" s="1" t="s">
        <v>61</v>
      </c>
      <c r="I228" s="3" t="s">
        <v>3585</v>
      </c>
      <c r="J228" s="1" t="s">
        <v>2515</v>
      </c>
      <c r="K228" s="1" t="s">
        <v>1591</v>
      </c>
      <c r="L228" s="1" t="b">
        <v>1</v>
      </c>
    </row>
    <row r="229" spans="1:12" ht="272.35000000000002" x14ac:dyDescent="0.5">
      <c r="A229" s="1" t="s">
        <v>3586</v>
      </c>
      <c r="B229" s="3" t="s">
        <v>2256</v>
      </c>
      <c r="C229" s="3" t="s">
        <v>2255</v>
      </c>
      <c r="D229" s="3" t="s">
        <v>2259</v>
      </c>
      <c r="E229" s="3" t="s">
        <v>2257</v>
      </c>
      <c r="F229" s="26">
        <v>44520</v>
      </c>
      <c r="G229" s="1">
        <v>2021</v>
      </c>
      <c r="H229" s="1" t="s">
        <v>61</v>
      </c>
      <c r="I229" s="3" t="s">
        <v>3587</v>
      </c>
      <c r="J229" s="1" t="s">
        <v>2515</v>
      </c>
      <c r="K229" s="1" t="s">
        <v>2258</v>
      </c>
      <c r="L229" s="1" t="b">
        <v>1</v>
      </c>
    </row>
    <row r="230" spans="1:12" ht="315.35000000000002" x14ac:dyDescent="0.5">
      <c r="A230" s="1" t="s">
        <v>3588</v>
      </c>
      <c r="B230" s="3" t="s">
        <v>2301</v>
      </c>
      <c r="C230" s="3" t="s">
        <v>2300</v>
      </c>
      <c r="D230" s="3" t="s">
        <v>2304</v>
      </c>
      <c r="E230" s="3" t="s">
        <v>2302</v>
      </c>
      <c r="F230" s="26">
        <v>42614</v>
      </c>
      <c r="G230" s="1">
        <v>2016</v>
      </c>
      <c r="H230" s="1" t="s">
        <v>61</v>
      </c>
      <c r="I230" s="3" t="s">
        <v>3589</v>
      </c>
      <c r="J230" s="1" t="s">
        <v>2515</v>
      </c>
      <c r="K230" s="1" t="s">
        <v>2303</v>
      </c>
      <c r="L230" s="1" t="b">
        <v>1</v>
      </c>
    </row>
    <row r="231" spans="1:12" ht="157.69999999999999" x14ac:dyDescent="0.5">
      <c r="A231" s="1" t="s">
        <v>3590</v>
      </c>
      <c r="B231" s="3" t="s">
        <v>1223</v>
      </c>
      <c r="C231" s="3" t="s">
        <v>1222</v>
      </c>
      <c r="D231" s="3" t="s">
        <v>1225</v>
      </c>
      <c r="E231" s="3" t="s">
        <v>1004</v>
      </c>
      <c r="F231" s="26">
        <v>44866</v>
      </c>
      <c r="G231" s="1">
        <v>2022</v>
      </c>
      <c r="H231" s="1" t="s">
        <v>61</v>
      </c>
      <c r="I231" s="3" t="s">
        <v>3591</v>
      </c>
      <c r="J231" s="1" t="s">
        <v>642</v>
      </c>
      <c r="K231" s="1" t="s">
        <v>1224</v>
      </c>
      <c r="L231" s="1" t="b">
        <v>1</v>
      </c>
    </row>
    <row r="232" spans="1:12" ht="229.35" x14ac:dyDescent="0.5">
      <c r="A232" s="1" t="s">
        <v>3592</v>
      </c>
      <c r="B232" s="3" t="s">
        <v>321</v>
      </c>
      <c r="C232" s="3" t="s">
        <v>346</v>
      </c>
      <c r="D232" s="3" t="s">
        <v>371</v>
      </c>
      <c r="E232" s="3" t="s">
        <v>948</v>
      </c>
      <c r="F232" s="26">
        <v>42036</v>
      </c>
      <c r="G232" s="1">
        <v>2015</v>
      </c>
      <c r="H232" s="1" t="s">
        <v>61</v>
      </c>
      <c r="I232" s="3" t="s">
        <v>3593</v>
      </c>
      <c r="J232" s="1" t="s">
        <v>2515</v>
      </c>
      <c r="K232" s="1" t="s">
        <v>396</v>
      </c>
      <c r="L232" s="1" t="b">
        <v>1</v>
      </c>
    </row>
    <row r="233" spans="1:12" ht="243.7" x14ac:dyDescent="0.5">
      <c r="A233" s="1" t="s">
        <v>3594</v>
      </c>
      <c r="B233" s="3" t="s">
        <v>2055</v>
      </c>
      <c r="C233" s="3" t="s">
        <v>2054</v>
      </c>
      <c r="D233" s="3" t="s">
        <v>2057</v>
      </c>
      <c r="E233" s="3" t="s">
        <v>956</v>
      </c>
      <c r="F233" s="26">
        <v>45505</v>
      </c>
      <c r="G233" s="1">
        <v>2024</v>
      </c>
      <c r="H233" s="1" t="s">
        <v>61</v>
      </c>
      <c r="I233" s="3" t="s">
        <v>3595</v>
      </c>
      <c r="J233" s="1" t="s">
        <v>2515</v>
      </c>
      <c r="K233" s="1" t="s">
        <v>2056</v>
      </c>
      <c r="L233" s="1" t="b">
        <v>1</v>
      </c>
    </row>
    <row r="234" spans="1:12" ht="114.7" x14ac:dyDescent="0.5">
      <c r="A234" s="1" t="s">
        <v>3596</v>
      </c>
      <c r="B234" s="3" t="s">
        <v>1812</v>
      </c>
      <c r="C234" s="3" t="s">
        <v>1811</v>
      </c>
      <c r="D234" s="3" t="s">
        <v>1814</v>
      </c>
      <c r="E234" s="3" t="s">
        <v>1006</v>
      </c>
      <c r="F234" s="26">
        <v>40422</v>
      </c>
      <c r="G234" s="1">
        <v>2010</v>
      </c>
      <c r="H234" s="1" t="s">
        <v>61</v>
      </c>
      <c r="I234" s="3" t="s">
        <v>3597</v>
      </c>
      <c r="J234" s="1" t="s">
        <v>2515</v>
      </c>
      <c r="K234" s="1" t="s">
        <v>1813</v>
      </c>
      <c r="L234" s="1" t="b">
        <v>1</v>
      </c>
    </row>
    <row r="235" spans="1:12" ht="229.35" x14ac:dyDescent="0.5">
      <c r="A235" s="1" t="s">
        <v>3598</v>
      </c>
      <c r="B235" s="3" t="s">
        <v>310</v>
      </c>
      <c r="C235" s="3" t="s">
        <v>335</v>
      </c>
      <c r="D235" s="3" t="s">
        <v>360</v>
      </c>
      <c r="E235" s="3" t="s">
        <v>937</v>
      </c>
      <c r="F235" s="26">
        <v>43952</v>
      </c>
      <c r="G235" s="1">
        <v>2020</v>
      </c>
      <c r="H235" s="1" t="s">
        <v>61</v>
      </c>
      <c r="I235" s="3" t="s">
        <v>3599</v>
      </c>
      <c r="J235" s="1" t="s">
        <v>2515</v>
      </c>
      <c r="K235" s="1" t="s">
        <v>385</v>
      </c>
      <c r="L235" s="1" t="b">
        <v>1</v>
      </c>
    </row>
    <row r="236" spans="1:12" ht="215" x14ac:dyDescent="0.5">
      <c r="A236" s="1" t="s">
        <v>3600</v>
      </c>
      <c r="B236" s="3" t="s">
        <v>1385</v>
      </c>
      <c r="C236" s="3" t="s">
        <v>1384</v>
      </c>
      <c r="D236" s="3" t="s">
        <v>1388</v>
      </c>
      <c r="E236" s="3" t="s">
        <v>1386</v>
      </c>
      <c r="F236" s="26">
        <v>45536</v>
      </c>
      <c r="G236" s="1">
        <v>2024</v>
      </c>
      <c r="H236" s="1" t="s">
        <v>61</v>
      </c>
      <c r="I236" s="3" t="s">
        <v>3601</v>
      </c>
      <c r="J236" s="1" t="s">
        <v>2515</v>
      </c>
      <c r="K236" s="1" t="s">
        <v>1387</v>
      </c>
      <c r="L236" s="1" t="b">
        <v>1</v>
      </c>
    </row>
    <row r="237" spans="1:12" ht="315.35000000000002" x14ac:dyDescent="0.5">
      <c r="A237" s="1" t="s">
        <v>3602</v>
      </c>
      <c r="B237" s="3" t="s">
        <v>1483</v>
      </c>
      <c r="C237" s="3" t="s">
        <v>1482</v>
      </c>
      <c r="D237" s="3" t="s">
        <v>1485</v>
      </c>
      <c r="E237" s="3" t="s">
        <v>930</v>
      </c>
      <c r="F237" s="26">
        <v>43891</v>
      </c>
      <c r="G237" s="1">
        <v>2020</v>
      </c>
      <c r="H237" s="1" t="s">
        <v>61</v>
      </c>
      <c r="I237" s="3" t="s">
        <v>3603</v>
      </c>
      <c r="J237" s="1" t="s">
        <v>2515</v>
      </c>
      <c r="K237" s="1" t="s">
        <v>1484</v>
      </c>
      <c r="L237" s="1" t="b">
        <v>1</v>
      </c>
    </row>
    <row r="238" spans="1:12" ht="186.35" x14ac:dyDescent="0.5">
      <c r="A238" s="1" t="s">
        <v>3604</v>
      </c>
      <c r="B238" s="3" t="s">
        <v>305</v>
      </c>
      <c r="C238" s="3" t="s">
        <v>329</v>
      </c>
      <c r="D238" s="3" t="s">
        <v>355</v>
      </c>
      <c r="E238" s="3" t="s">
        <v>952</v>
      </c>
      <c r="F238" s="26">
        <v>43101</v>
      </c>
      <c r="G238" s="1">
        <v>2018</v>
      </c>
      <c r="H238" s="1" t="s">
        <v>61</v>
      </c>
      <c r="I238" s="3" t="s">
        <v>3605</v>
      </c>
      <c r="J238" s="1" t="s">
        <v>2515</v>
      </c>
      <c r="K238" s="1" t="s">
        <v>380</v>
      </c>
      <c r="L238" s="1" t="b">
        <v>1</v>
      </c>
    </row>
    <row r="239" spans="1:12" ht="215" x14ac:dyDescent="0.5">
      <c r="A239" s="1" t="s">
        <v>3606</v>
      </c>
      <c r="B239" s="3" t="s">
        <v>1962</v>
      </c>
      <c r="C239" s="3" t="s">
        <v>1961</v>
      </c>
      <c r="D239" s="3" t="s">
        <v>1964</v>
      </c>
      <c r="E239" s="3" t="s">
        <v>947</v>
      </c>
      <c r="F239" s="26">
        <v>45597</v>
      </c>
      <c r="G239" s="1">
        <v>2024</v>
      </c>
      <c r="H239" s="1" t="s">
        <v>61</v>
      </c>
      <c r="I239" s="3" t="s">
        <v>3607</v>
      </c>
      <c r="J239" s="1" t="s">
        <v>2515</v>
      </c>
      <c r="K239" s="1" t="s">
        <v>1963</v>
      </c>
      <c r="L239" s="1" t="b">
        <v>1</v>
      </c>
    </row>
    <row r="240" spans="1:12" ht="200.7" x14ac:dyDescent="0.5">
      <c r="A240" s="1" t="s">
        <v>3608</v>
      </c>
      <c r="B240" s="3" t="s">
        <v>312</v>
      </c>
      <c r="C240" s="3" t="s">
        <v>337</v>
      </c>
      <c r="D240" s="3" t="s">
        <v>362</v>
      </c>
      <c r="E240" s="3" t="s">
        <v>959</v>
      </c>
      <c r="F240" s="26">
        <v>43313</v>
      </c>
      <c r="G240" s="1">
        <v>2018</v>
      </c>
      <c r="H240" s="1" t="s">
        <v>61</v>
      </c>
      <c r="I240" s="3" t="s">
        <v>3609</v>
      </c>
      <c r="J240" s="1" t="s">
        <v>2515</v>
      </c>
      <c r="K240" s="1" t="s">
        <v>387</v>
      </c>
      <c r="L240" s="1" t="b">
        <v>1</v>
      </c>
    </row>
    <row r="241" spans="1:12" ht="272.35000000000002" x14ac:dyDescent="0.5">
      <c r="A241" s="1" t="s">
        <v>3610</v>
      </c>
      <c r="B241" s="3" t="s">
        <v>2355</v>
      </c>
      <c r="C241" s="3" t="s">
        <v>2354</v>
      </c>
      <c r="D241" s="3" t="s">
        <v>2358</v>
      </c>
      <c r="E241" s="3" t="s">
        <v>2356</v>
      </c>
      <c r="F241" s="26">
        <v>43891</v>
      </c>
      <c r="G241" s="1">
        <v>2020</v>
      </c>
      <c r="H241" s="1" t="s">
        <v>61</v>
      </c>
      <c r="I241" s="3" t="s">
        <v>3611</v>
      </c>
      <c r="J241" s="1" t="s">
        <v>2515</v>
      </c>
      <c r="K241" s="1" t="s">
        <v>2357</v>
      </c>
      <c r="L241" s="1" t="b">
        <v>1</v>
      </c>
    </row>
    <row r="242" spans="1:12" ht="129" x14ac:dyDescent="0.5">
      <c r="A242" s="1" t="s">
        <v>3612</v>
      </c>
      <c r="B242" s="3" t="s">
        <v>1892</v>
      </c>
      <c r="C242" s="3" t="s">
        <v>1891</v>
      </c>
      <c r="D242" s="3" t="s">
        <v>1894</v>
      </c>
      <c r="E242" s="3" t="s">
        <v>933</v>
      </c>
      <c r="F242" s="26">
        <v>45108</v>
      </c>
      <c r="G242" s="1">
        <v>2023</v>
      </c>
      <c r="H242" s="1" t="s">
        <v>61</v>
      </c>
      <c r="I242" s="3" t="s">
        <v>3613</v>
      </c>
      <c r="J242" s="1" t="s">
        <v>2515</v>
      </c>
      <c r="K242" s="1" t="s">
        <v>1893</v>
      </c>
      <c r="L242" s="1" t="b">
        <v>1</v>
      </c>
    </row>
    <row r="243" spans="1:12" ht="172" x14ac:dyDescent="0.5">
      <c r="A243" s="1" t="s">
        <v>3614</v>
      </c>
      <c r="B243" s="3" t="s">
        <v>2126</v>
      </c>
      <c r="C243" s="3" t="s">
        <v>2125</v>
      </c>
      <c r="D243" s="3" t="s">
        <v>2128</v>
      </c>
      <c r="E243" s="3" t="s">
        <v>1002</v>
      </c>
      <c r="F243" s="26">
        <v>44228</v>
      </c>
      <c r="G243" s="1">
        <v>2021</v>
      </c>
      <c r="H243" s="1" t="s">
        <v>61</v>
      </c>
      <c r="I243" s="3" t="s">
        <v>3615</v>
      </c>
      <c r="J243" s="1" t="s">
        <v>2515</v>
      </c>
      <c r="K243" s="1" t="s">
        <v>2127</v>
      </c>
      <c r="L243" s="1" t="b">
        <v>1</v>
      </c>
    </row>
    <row r="244" spans="1:12" ht="129" x14ac:dyDescent="0.5">
      <c r="A244" s="1" t="s">
        <v>3616</v>
      </c>
      <c r="B244" s="3" t="s">
        <v>1219</v>
      </c>
      <c r="C244" s="3" t="s">
        <v>1218</v>
      </c>
      <c r="D244" s="3" t="s">
        <v>1221</v>
      </c>
      <c r="E244" s="3" t="s">
        <v>954</v>
      </c>
      <c r="F244" s="26">
        <v>43969</v>
      </c>
      <c r="G244" s="1">
        <v>2020</v>
      </c>
      <c r="H244" s="1" t="s">
        <v>61</v>
      </c>
      <c r="I244" s="3" t="s">
        <v>3617</v>
      </c>
      <c r="J244" s="1" t="s">
        <v>2515</v>
      </c>
      <c r="K244" s="1" t="s">
        <v>1220</v>
      </c>
      <c r="L244" s="1" t="b">
        <v>1</v>
      </c>
    </row>
    <row r="245" spans="1:12" ht="229.35" x14ac:dyDescent="0.5">
      <c r="A245" s="1" t="s">
        <v>3618</v>
      </c>
      <c r="B245" s="3" t="s">
        <v>1529</v>
      </c>
      <c r="C245" s="3" t="s">
        <v>1528</v>
      </c>
      <c r="D245" s="3" t="s">
        <v>1532</v>
      </c>
      <c r="E245" s="3" t="s">
        <v>1530</v>
      </c>
      <c r="F245" s="26">
        <v>42050</v>
      </c>
      <c r="G245" s="1">
        <v>2015</v>
      </c>
      <c r="H245" s="1" t="s">
        <v>61</v>
      </c>
      <c r="I245" s="3" t="s">
        <v>3619</v>
      </c>
      <c r="J245" s="1" t="s">
        <v>2515</v>
      </c>
      <c r="K245" s="1" t="s">
        <v>1531</v>
      </c>
      <c r="L245" s="1" t="b">
        <v>1</v>
      </c>
    </row>
    <row r="246" spans="1:12" ht="243.7" x14ac:dyDescent="0.5">
      <c r="A246" s="1" t="s">
        <v>3620</v>
      </c>
      <c r="B246" s="3" t="s">
        <v>1394</v>
      </c>
      <c r="C246" s="3" t="s">
        <v>1393</v>
      </c>
      <c r="D246" s="3" t="s">
        <v>1396</v>
      </c>
      <c r="E246" s="3" t="s">
        <v>934</v>
      </c>
      <c r="F246" s="26">
        <v>44774</v>
      </c>
      <c r="G246" s="1">
        <v>2022</v>
      </c>
      <c r="H246" s="1" t="s">
        <v>61</v>
      </c>
      <c r="I246" s="3" t="s">
        <v>3621</v>
      </c>
      <c r="J246" s="1" t="s">
        <v>2515</v>
      </c>
      <c r="K246" s="1" t="s">
        <v>1395</v>
      </c>
      <c r="L246" s="1" t="b">
        <v>1</v>
      </c>
    </row>
    <row r="247" spans="1:12" ht="329.7" x14ac:dyDescent="0.5">
      <c r="A247" s="1" t="s">
        <v>3622</v>
      </c>
      <c r="B247" s="3" t="s">
        <v>1073</v>
      </c>
      <c r="C247" s="3" t="s">
        <v>1072</v>
      </c>
      <c r="D247" s="3" t="s">
        <v>1075</v>
      </c>
      <c r="E247" s="3" t="s">
        <v>922</v>
      </c>
      <c r="F247" s="26">
        <v>45641</v>
      </c>
      <c r="G247" s="1">
        <v>2024</v>
      </c>
      <c r="H247" s="1" t="s">
        <v>61</v>
      </c>
      <c r="I247" s="3" t="s">
        <v>3623</v>
      </c>
      <c r="J247" s="1" t="s">
        <v>2515</v>
      </c>
      <c r="K247" s="1" t="s">
        <v>1074</v>
      </c>
      <c r="L247" s="1" t="b">
        <v>1</v>
      </c>
    </row>
    <row r="248" spans="1:12" ht="258" x14ac:dyDescent="0.5">
      <c r="A248" s="1" t="s">
        <v>3624</v>
      </c>
      <c r="B248" s="3" t="s">
        <v>2319</v>
      </c>
      <c r="C248" s="3" t="s">
        <v>2318</v>
      </c>
      <c r="D248" s="3" t="s">
        <v>2321</v>
      </c>
      <c r="E248" s="3" t="s">
        <v>1104</v>
      </c>
      <c r="F248" s="26">
        <v>43101</v>
      </c>
      <c r="G248" s="1">
        <v>2018</v>
      </c>
      <c r="H248" s="1" t="s">
        <v>61</v>
      </c>
      <c r="I248" s="3" t="s">
        <v>3625</v>
      </c>
      <c r="J248" s="1" t="s">
        <v>2515</v>
      </c>
      <c r="K248" s="1" t="s">
        <v>2320</v>
      </c>
      <c r="L248" s="1" t="b">
        <v>1</v>
      </c>
    </row>
    <row r="249" spans="1:12" ht="409.6" x14ac:dyDescent="0.5">
      <c r="A249" s="1" t="s">
        <v>3626</v>
      </c>
      <c r="B249" s="3" t="s">
        <v>1632</v>
      </c>
      <c r="C249" s="3" t="s">
        <v>1631</v>
      </c>
      <c r="D249" s="3" t="s">
        <v>1634</v>
      </c>
      <c r="E249" s="3" t="s">
        <v>921</v>
      </c>
      <c r="F249" s="26">
        <v>44562</v>
      </c>
      <c r="G249" s="1">
        <v>2022</v>
      </c>
      <c r="H249" s="1" t="s">
        <v>61</v>
      </c>
      <c r="I249" s="3" t="s">
        <v>3627</v>
      </c>
      <c r="J249" s="1" t="s">
        <v>2515</v>
      </c>
      <c r="K249" s="1" t="s">
        <v>1633</v>
      </c>
      <c r="L249" s="1" t="b">
        <v>1</v>
      </c>
    </row>
    <row r="250" spans="1:12" ht="258" x14ac:dyDescent="0.5">
      <c r="A250" s="1" t="s">
        <v>3628</v>
      </c>
      <c r="B250" s="3" t="s">
        <v>313</v>
      </c>
      <c r="C250" s="3" t="s">
        <v>338</v>
      </c>
      <c r="D250" s="3" t="s">
        <v>363</v>
      </c>
      <c r="E250" s="3" t="s">
        <v>922</v>
      </c>
      <c r="F250" s="26">
        <v>44531</v>
      </c>
      <c r="G250" s="1">
        <v>2021</v>
      </c>
      <c r="H250" s="1" t="s">
        <v>61</v>
      </c>
      <c r="I250" s="3" t="s">
        <v>3629</v>
      </c>
      <c r="J250" s="1" t="s">
        <v>2515</v>
      </c>
      <c r="K250" s="1" t="s">
        <v>388</v>
      </c>
      <c r="L250" s="1" t="b">
        <v>1</v>
      </c>
    </row>
    <row r="251" spans="1:12" ht="229.35" x14ac:dyDescent="0.5">
      <c r="A251" s="1" t="s">
        <v>3630</v>
      </c>
      <c r="B251" s="3" t="s">
        <v>1828</v>
      </c>
      <c r="C251" s="3" t="s">
        <v>1827</v>
      </c>
      <c r="D251" s="3" t="s">
        <v>1831</v>
      </c>
      <c r="E251" s="3" t="s">
        <v>1829</v>
      </c>
      <c r="F251" s="26">
        <v>45184</v>
      </c>
      <c r="G251" s="1">
        <v>2023</v>
      </c>
      <c r="H251" s="1" t="s">
        <v>61</v>
      </c>
      <c r="I251" s="3" t="s">
        <v>3631</v>
      </c>
      <c r="J251" s="1" t="s">
        <v>2515</v>
      </c>
      <c r="K251" s="1" t="s">
        <v>1830</v>
      </c>
      <c r="L251" s="1" t="b">
        <v>1</v>
      </c>
    </row>
    <row r="252" spans="1:12" ht="215" x14ac:dyDescent="0.5">
      <c r="A252" s="1" t="s">
        <v>3632</v>
      </c>
      <c r="B252" s="3" t="s">
        <v>2051</v>
      </c>
      <c r="C252" s="3" t="s">
        <v>2050</v>
      </c>
      <c r="D252" s="3" t="s">
        <v>2053</v>
      </c>
      <c r="E252" s="3" t="s">
        <v>939</v>
      </c>
      <c r="F252" s="26">
        <v>44713</v>
      </c>
      <c r="G252" s="1">
        <v>2022</v>
      </c>
      <c r="H252" s="1" t="s">
        <v>61</v>
      </c>
      <c r="I252" s="3" t="s">
        <v>3633</v>
      </c>
      <c r="J252" s="1" t="s">
        <v>2515</v>
      </c>
      <c r="K252" s="1" t="s">
        <v>2052</v>
      </c>
      <c r="L252" s="1" t="b">
        <v>1</v>
      </c>
    </row>
    <row r="253" spans="1:12" ht="315.35000000000002" x14ac:dyDescent="0.5">
      <c r="A253" s="1" t="s">
        <v>3634</v>
      </c>
      <c r="B253" s="3" t="s">
        <v>2118</v>
      </c>
      <c r="C253" s="3" t="s">
        <v>2117</v>
      </c>
      <c r="D253" s="3" t="s">
        <v>2120</v>
      </c>
      <c r="E253" s="3" t="s">
        <v>946</v>
      </c>
      <c r="F253" s="26">
        <v>44256</v>
      </c>
      <c r="G253" s="1">
        <v>2021</v>
      </c>
      <c r="H253" s="1" t="s">
        <v>61</v>
      </c>
      <c r="I253" s="3" t="s">
        <v>3635</v>
      </c>
      <c r="J253" s="1" t="s">
        <v>2515</v>
      </c>
      <c r="K253" s="1" t="s">
        <v>2119</v>
      </c>
      <c r="L253" s="1" t="b">
        <v>1</v>
      </c>
    </row>
    <row r="254" spans="1:12" ht="258" x14ac:dyDescent="0.5">
      <c r="A254" s="1" t="s">
        <v>3636</v>
      </c>
      <c r="B254" s="3" t="s">
        <v>1499</v>
      </c>
      <c r="C254" s="3" t="s">
        <v>1498</v>
      </c>
      <c r="D254" s="3" t="s">
        <v>1501</v>
      </c>
      <c r="E254" s="3" t="s">
        <v>945</v>
      </c>
      <c r="F254" s="26">
        <v>43466</v>
      </c>
      <c r="G254" s="1">
        <v>2019</v>
      </c>
      <c r="H254" s="1" t="s">
        <v>61</v>
      </c>
      <c r="I254" s="3" t="s">
        <v>3637</v>
      </c>
      <c r="J254" s="1" t="s">
        <v>2515</v>
      </c>
      <c r="K254" s="1" t="s">
        <v>1500</v>
      </c>
      <c r="L254" s="1" t="b">
        <v>1</v>
      </c>
    </row>
    <row r="255" spans="1:12" ht="200.7" x14ac:dyDescent="0.5">
      <c r="A255" s="1" t="s">
        <v>3638</v>
      </c>
      <c r="B255" s="3" t="s">
        <v>2231</v>
      </c>
      <c r="C255" s="3" t="s">
        <v>2230</v>
      </c>
      <c r="D255" s="3" t="s">
        <v>2233</v>
      </c>
      <c r="E255" s="3" t="s">
        <v>950</v>
      </c>
      <c r="F255" s="26">
        <v>42444</v>
      </c>
      <c r="G255" s="1">
        <v>2016</v>
      </c>
      <c r="H255" s="1" t="s">
        <v>61</v>
      </c>
      <c r="I255" s="3" t="s">
        <v>3639</v>
      </c>
      <c r="J255" s="1" t="s">
        <v>2515</v>
      </c>
      <c r="K255" s="1" t="s">
        <v>2232</v>
      </c>
      <c r="L255" s="1" t="b">
        <v>1</v>
      </c>
    </row>
    <row r="256" spans="1:12" ht="301" x14ac:dyDescent="0.5">
      <c r="A256" s="1" t="s">
        <v>3640</v>
      </c>
      <c r="B256" s="3" t="s">
        <v>2292</v>
      </c>
      <c r="C256" s="3" t="s">
        <v>2291</v>
      </c>
      <c r="D256" s="3" t="s">
        <v>2295</v>
      </c>
      <c r="E256" s="3" t="s">
        <v>2293</v>
      </c>
      <c r="F256" s="26">
        <v>43405</v>
      </c>
      <c r="G256" s="1">
        <v>2018</v>
      </c>
      <c r="H256" s="1" t="s">
        <v>61</v>
      </c>
      <c r="I256" s="3" t="s">
        <v>3641</v>
      </c>
      <c r="J256" s="1" t="s">
        <v>2515</v>
      </c>
      <c r="K256" s="1" t="s">
        <v>2294</v>
      </c>
      <c r="L256" s="1" t="b">
        <v>1</v>
      </c>
    </row>
    <row r="257" spans="1:12" ht="272.35000000000002" x14ac:dyDescent="0.5">
      <c r="A257" s="1" t="s">
        <v>3642</v>
      </c>
      <c r="B257" s="3" t="s">
        <v>1909</v>
      </c>
      <c r="C257" s="3" t="s">
        <v>1908</v>
      </c>
      <c r="D257" s="3" t="s">
        <v>1911</v>
      </c>
      <c r="E257" s="3" t="s">
        <v>997</v>
      </c>
      <c r="F257" s="26">
        <v>45122</v>
      </c>
      <c r="G257" s="1">
        <v>2023</v>
      </c>
      <c r="H257" s="1" t="s">
        <v>61</v>
      </c>
      <c r="I257" s="3" t="s">
        <v>3643</v>
      </c>
      <c r="J257" s="1" t="s">
        <v>2515</v>
      </c>
      <c r="K257" s="1" t="s">
        <v>1910</v>
      </c>
      <c r="L257" s="1" t="b">
        <v>1</v>
      </c>
    </row>
    <row r="258" spans="1:12" ht="315.35000000000002" x14ac:dyDescent="0.5">
      <c r="A258" s="1" t="s">
        <v>3644</v>
      </c>
      <c r="B258" s="3" t="s">
        <v>1287</v>
      </c>
      <c r="C258" s="3" t="s">
        <v>1286</v>
      </c>
      <c r="D258" s="3" t="s">
        <v>1289</v>
      </c>
      <c r="E258" s="3" t="s">
        <v>952</v>
      </c>
      <c r="F258" s="26">
        <v>45444</v>
      </c>
      <c r="G258" s="1">
        <v>2024</v>
      </c>
      <c r="H258" s="1" t="s">
        <v>61</v>
      </c>
      <c r="I258" s="3" t="s">
        <v>3645</v>
      </c>
      <c r="J258" s="1" t="s">
        <v>2515</v>
      </c>
      <c r="K258" s="1" t="s">
        <v>1288</v>
      </c>
      <c r="L258" s="1" t="b">
        <v>1</v>
      </c>
    </row>
    <row r="259" spans="1:12" ht="157.69999999999999" x14ac:dyDescent="0.5">
      <c r="A259" s="1" t="s">
        <v>3646</v>
      </c>
      <c r="B259" s="3" t="s">
        <v>2147</v>
      </c>
      <c r="C259" s="3" t="s">
        <v>2146</v>
      </c>
      <c r="D259" s="3" t="s">
        <v>2149</v>
      </c>
      <c r="E259" s="3" t="s">
        <v>1386</v>
      </c>
      <c r="F259" s="26">
        <v>44378</v>
      </c>
      <c r="G259" s="1">
        <v>2021</v>
      </c>
      <c r="H259" s="1" t="s">
        <v>61</v>
      </c>
      <c r="I259" s="3" t="s">
        <v>3647</v>
      </c>
      <c r="J259" s="1" t="s">
        <v>2515</v>
      </c>
      <c r="K259" s="1" t="s">
        <v>2148</v>
      </c>
      <c r="L259" s="1" t="b">
        <v>1</v>
      </c>
    </row>
    <row r="260" spans="1:12" ht="200.7" x14ac:dyDescent="0.5">
      <c r="A260" s="1" t="s">
        <v>3648</v>
      </c>
      <c r="B260" s="3" t="s">
        <v>1896</v>
      </c>
      <c r="C260" s="3" t="s">
        <v>1895</v>
      </c>
      <c r="D260" s="3" t="s">
        <v>1899</v>
      </c>
      <c r="E260" s="3" t="s">
        <v>1897</v>
      </c>
      <c r="F260" s="26">
        <v>45383</v>
      </c>
      <c r="G260" s="1">
        <v>2024</v>
      </c>
      <c r="H260" s="1" t="s">
        <v>61</v>
      </c>
      <c r="I260" s="3" t="s">
        <v>3649</v>
      </c>
      <c r="J260" s="1" t="s">
        <v>2515</v>
      </c>
      <c r="K260" s="1" t="s">
        <v>1898</v>
      </c>
      <c r="L260" s="1" t="b">
        <v>1</v>
      </c>
    </row>
    <row r="261" spans="1:12" ht="129" x14ac:dyDescent="0.5">
      <c r="A261" s="1" t="s">
        <v>3650</v>
      </c>
      <c r="B261" s="3" t="s">
        <v>1534</v>
      </c>
      <c r="C261" s="3" t="s">
        <v>1533</v>
      </c>
      <c r="D261" s="3" t="s">
        <v>1536</v>
      </c>
      <c r="E261" s="3" t="s">
        <v>933</v>
      </c>
      <c r="F261" s="26">
        <v>43709</v>
      </c>
      <c r="G261" s="1">
        <v>2019</v>
      </c>
      <c r="H261" s="1" t="s">
        <v>61</v>
      </c>
      <c r="I261" s="3" t="s">
        <v>3651</v>
      </c>
      <c r="J261" s="1" t="s">
        <v>2515</v>
      </c>
      <c r="K261" s="1" t="s">
        <v>1535</v>
      </c>
      <c r="L261" s="1" t="b">
        <v>1</v>
      </c>
    </row>
    <row r="262" spans="1:12" ht="143.35" x14ac:dyDescent="0.5">
      <c r="A262" s="1" t="s">
        <v>3652</v>
      </c>
      <c r="B262" s="3" t="s">
        <v>1352</v>
      </c>
      <c r="C262" s="3" t="s">
        <v>1351</v>
      </c>
      <c r="D262" s="3" t="s">
        <v>1354</v>
      </c>
      <c r="E262" s="3" t="s">
        <v>945</v>
      </c>
      <c r="F262" s="26">
        <v>45261</v>
      </c>
      <c r="G262" s="1">
        <v>2023</v>
      </c>
      <c r="H262" s="1" t="s">
        <v>61</v>
      </c>
      <c r="I262" s="3" t="s">
        <v>3653</v>
      </c>
      <c r="J262" s="1" t="s">
        <v>2515</v>
      </c>
      <c r="K262" s="1" t="s">
        <v>1353</v>
      </c>
      <c r="L262" s="1" t="b">
        <v>1</v>
      </c>
    </row>
    <row r="263" spans="1:12" ht="215" x14ac:dyDescent="0.5">
      <c r="A263" s="1" t="s">
        <v>3654</v>
      </c>
      <c r="B263" s="3" t="s">
        <v>2059</v>
      </c>
      <c r="C263" s="3" t="s">
        <v>2058</v>
      </c>
      <c r="D263" s="3" t="s">
        <v>2061</v>
      </c>
      <c r="E263" s="3" t="s">
        <v>1002</v>
      </c>
      <c r="F263" s="26">
        <v>44378</v>
      </c>
      <c r="G263" s="1">
        <v>2021</v>
      </c>
      <c r="H263" s="1" t="s">
        <v>61</v>
      </c>
      <c r="I263" s="3" t="s">
        <v>3655</v>
      </c>
      <c r="J263" s="1" t="s">
        <v>2515</v>
      </c>
      <c r="K263" s="1" t="s">
        <v>2060</v>
      </c>
      <c r="L263" s="1" t="b">
        <v>1</v>
      </c>
    </row>
    <row r="264" spans="1:12" ht="215" x14ac:dyDescent="0.5">
      <c r="A264" s="1" t="s">
        <v>3656</v>
      </c>
      <c r="B264" s="3" t="s">
        <v>2176</v>
      </c>
      <c r="C264" s="3" t="s">
        <v>2175</v>
      </c>
      <c r="D264" s="3" t="s">
        <v>2178</v>
      </c>
      <c r="E264" s="3" t="s">
        <v>954</v>
      </c>
      <c r="F264" s="26">
        <v>42213</v>
      </c>
      <c r="G264" s="1">
        <v>2015</v>
      </c>
      <c r="H264" s="1" t="s">
        <v>61</v>
      </c>
      <c r="I264" s="3" t="s">
        <v>3657</v>
      </c>
      <c r="J264" s="1" t="s">
        <v>2515</v>
      </c>
      <c r="K264" s="1" t="s">
        <v>2177</v>
      </c>
      <c r="L264" s="1" t="b">
        <v>1</v>
      </c>
    </row>
    <row r="265" spans="1:12" ht="186.35" x14ac:dyDescent="0.5">
      <c r="A265" s="1" t="s">
        <v>3658</v>
      </c>
      <c r="B265" s="3" t="s">
        <v>1295</v>
      </c>
      <c r="C265" s="3" t="s">
        <v>1294</v>
      </c>
      <c r="D265" s="3" t="s">
        <v>1297</v>
      </c>
      <c r="E265" s="3" t="s">
        <v>920</v>
      </c>
      <c r="F265" s="26">
        <v>42740</v>
      </c>
      <c r="G265" s="1">
        <v>2017</v>
      </c>
      <c r="H265" s="1" t="s">
        <v>61</v>
      </c>
      <c r="I265" s="3" t="s">
        <v>3659</v>
      </c>
      <c r="J265" s="1" t="s">
        <v>2515</v>
      </c>
      <c r="K265" s="1" t="s">
        <v>1296</v>
      </c>
      <c r="L265" s="1" t="b">
        <v>1</v>
      </c>
    </row>
    <row r="266" spans="1:12" ht="387" x14ac:dyDescent="0.5">
      <c r="A266" s="1" t="s">
        <v>3660</v>
      </c>
      <c r="B266" s="3" t="s">
        <v>2384</v>
      </c>
      <c r="C266" s="3" t="s">
        <v>2383</v>
      </c>
      <c r="D266" s="3" t="s">
        <v>2386</v>
      </c>
      <c r="E266" s="3" t="s">
        <v>951</v>
      </c>
      <c r="F266" s="26">
        <v>43160</v>
      </c>
      <c r="G266" s="1">
        <v>2018</v>
      </c>
      <c r="H266" s="1" t="s">
        <v>61</v>
      </c>
      <c r="I266" s="3" t="s">
        <v>3661</v>
      </c>
      <c r="J266" s="1" t="s">
        <v>2515</v>
      </c>
      <c r="K266" s="1" t="s">
        <v>2385</v>
      </c>
      <c r="L266" s="1" t="b">
        <v>1</v>
      </c>
    </row>
    <row r="267" spans="1:12" ht="358.35" x14ac:dyDescent="0.5">
      <c r="A267" s="1" t="s">
        <v>3662</v>
      </c>
      <c r="B267" s="3" t="s">
        <v>1099</v>
      </c>
      <c r="C267" s="3" t="s">
        <v>1098</v>
      </c>
      <c r="D267" s="3" t="s">
        <v>1101</v>
      </c>
      <c r="E267" s="3" t="s">
        <v>1015</v>
      </c>
      <c r="F267" s="26">
        <v>45231</v>
      </c>
      <c r="G267" s="1">
        <v>2023</v>
      </c>
      <c r="H267" s="1" t="s">
        <v>61</v>
      </c>
      <c r="I267" s="3" t="s">
        <v>3663</v>
      </c>
      <c r="J267" s="1" t="s">
        <v>2515</v>
      </c>
      <c r="K267" s="1" t="s">
        <v>1100</v>
      </c>
      <c r="L267" s="1" t="b">
        <v>1</v>
      </c>
    </row>
    <row r="268" spans="1:12" ht="286.7" x14ac:dyDescent="0.5">
      <c r="A268" s="1" t="s">
        <v>3664</v>
      </c>
      <c r="B268" s="3" t="s">
        <v>1520</v>
      </c>
      <c r="C268" s="3" t="s">
        <v>1519</v>
      </c>
      <c r="D268" s="3" t="s">
        <v>1522</v>
      </c>
      <c r="E268" s="3" t="s">
        <v>1122</v>
      </c>
      <c r="F268" s="26">
        <v>45292</v>
      </c>
      <c r="G268" s="1">
        <v>2024</v>
      </c>
      <c r="H268" s="1" t="s">
        <v>61</v>
      </c>
      <c r="I268" s="3" t="s">
        <v>3665</v>
      </c>
      <c r="J268" s="1" t="s">
        <v>2515</v>
      </c>
      <c r="K268" s="1" t="s">
        <v>1521</v>
      </c>
      <c r="L268" s="1" t="b">
        <v>1</v>
      </c>
    </row>
    <row r="269" spans="1:12" ht="329.7" x14ac:dyDescent="0.5">
      <c r="A269" s="1" t="s">
        <v>3666</v>
      </c>
      <c r="B269" s="3" t="s">
        <v>2067</v>
      </c>
      <c r="C269" s="3" t="s">
        <v>2066</v>
      </c>
      <c r="D269" s="3" t="s">
        <v>2070</v>
      </c>
      <c r="E269" s="3" t="s">
        <v>2068</v>
      </c>
      <c r="F269" s="26">
        <v>44470</v>
      </c>
      <c r="G269" s="1">
        <v>2021</v>
      </c>
      <c r="H269" s="1" t="s">
        <v>61</v>
      </c>
      <c r="I269" s="3" t="s">
        <v>3667</v>
      </c>
      <c r="J269" s="1" t="s">
        <v>2515</v>
      </c>
      <c r="K269" s="1" t="s">
        <v>2069</v>
      </c>
      <c r="L269" s="1" t="b">
        <v>1</v>
      </c>
    </row>
    <row r="270" spans="1:12" ht="157.69999999999999" x14ac:dyDescent="0.5">
      <c r="A270" s="1" t="s">
        <v>3668</v>
      </c>
      <c r="B270" s="3" t="s">
        <v>1442</v>
      </c>
      <c r="C270" s="3" t="s">
        <v>1441</v>
      </c>
      <c r="D270" s="3" t="s">
        <v>1444</v>
      </c>
      <c r="E270" s="3" t="s">
        <v>1144</v>
      </c>
      <c r="F270" s="26">
        <v>40273</v>
      </c>
      <c r="G270" s="1">
        <v>2010</v>
      </c>
      <c r="H270" s="1" t="s">
        <v>61</v>
      </c>
      <c r="I270" s="3" t="s">
        <v>3669</v>
      </c>
      <c r="J270" s="1" t="s">
        <v>2515</v>
      </c>
      <c r="K270" s="1" t="s">
        <v>1443</v>
      </c>
      <c r="L270" s="1" t="b">
        <v>1</v>
      </c>
    </row>
    <row r="271" spans="1:12" ht="315.35000000000002" x14ac:dyDescent="0.5">
      <c r="A271" s="1" t="s">
        <v>3670</v>
      </c>
      <c r="B271" s="3" t="s">
        <v>2188</v>
      </c>
      <c r="C271" s="3" t="s">
        <v>2187</v>
      </c>
      <c r="D271" s="3" t="s">
        <v>2190</v>
      </c>
      <c r="E271" s="3" t="s">
        <v>945</v>
      </c>
      <c r="F271" s="26">
        <v>44256</v>
      </c>
      <c r="G271" s="1">
        <v>2021</v>
      </c>
      <c r="H271" s="1" t="s">
        <v>61</v>
      </c>
      <c r="I271" s="3" t="s">
        <v>3671</v>
      </c>
      <c r="J271" s="1" t="s">
        <v>2515</v>
      </c>
      <c r="K271" s="1" t="s">
        <v>2189</v>
      </c>
      <c r="L271" s="1" t="b">
        <v>1</v>
      </c>
    </row>
    <row r="272" spans="1:12" ht="272.35000000000002" x14ac:dyDescent="0.5">
      <c r="A272" s="1" t="s">
        <v>3672</v>
      </c>
      <c r="B272" s="3" t="s">
        <v>2417</v>
      </c>
      <c r="C272" s="3" t="s">
        <v>2416</v>
      </c>
      <c r="D272" s="3" t="s">
        <v>2420</v>
      </c>
      <c r="E272" s="3" t="s">
        <v>2418</v>
      </c>
      <c r="F272" s="26">
        <v>41852</v>
      </c>
      <c r="G272" s="1">
        <v>2014</v>
      </c>
      <c r="H272" s="1" t="s">
        <v>61</v>
      </c>
      <c r="I272" s="3" t="s">
        <v>3673</v>
      </c>
      <c r="J272" s="1" t="s">
        <v>2515</v>
      </c>
      <c r="K272" s="1" t="s">
        <v>2419</v>
      </c>
      <c r="L272" s="1" t="b">
        <v>1</v>
      </c>
    </row>
    <row r="273" spans="1:12" ht="172" x14ac:dyDescent="0.5">
      <c r="A273" s="1" t="s">
        <v>3674</v>
      </c>
      <c r="B273" s="3" t="s">
        <v>2297</v>
      </c>
      <c r="C273" s="3" t="s">
        <v>2296</v>
      </c>
      <c r="D273" s="3" t="s">
        <v>2299</v>
      </c>
      <c r="E273" s="3" t="s">
        <v>1236</v>
      </c>
      <c r="F273" s="26">
        <v>43435</v>
      </c>
      <c r="G273" s="1">
        <v>2018</v>
      </c>
      <c r="H273" s="1" t="s">
        <v>61</v>
      </c>
      <c r="I273" s="3" t="s">
        <v>3675</v>
      </c>
      <c r="J273" s="1" t="s">
        <v>2515</v>
      </c>
      <c r="K273" s="1" t="s">
        <v>2298</v>
      </c>
      <c r="L273" s="1" t="b">
        <v>1</v>
      </c>
    </row>
    <row r="274" spans="1:12" ht="243.7" x14ac:dyDescent="0.5">
      <c r="A274" s="1" t="s">
        <v>3676</v>
      </c>
      <c r="B274" s="3" t="s">
        <v>1304</v>
      </c>
      <c r="C274" s="3" t="s">
        <v>1303</v>
      </c>
      <c r="D274" s="3" t="s">
        <v>1306</v>
      </c>
      <c r="E274" s="3" t="s">
        <v>924</v>
      </c>
      <c r="F274" s="26">
        <v>44743</v>
      </c>
      <c r="G274" s="1">
        <v>2022</v>
      </c>
      <c r="H274" s="1" t="s">
        <v>61</v>
      </c>
      <c r="I274" s="3" t="s">
        <v>3677</v>
      </c>
      <c r="J274" s="1" t="s">
        <v>2515</v>
      </c>
      <c r="K274" s="1" t="s">
        <v>1305</v>
      </c>
      <c r="L274" s="1" t="b">
        <v>1</v>
      </c>
    </row>
    <row r="275" spans="1:12" ht="186.35" x14ac:dyDescent="0.5">
      <c r="A275" s="1" t="s">
        <v>3678</v>
      </c>
      <c r="B275" s="3" t="s">
        <v>2000</v>
      </c>
      <c r="C275" s="3" t="s">
        <v>1999</v>
      </c>
      <c r="D275" s="3" t="s">
        <v>2002</v>
      </c>
      <c r="E275" s="3" t="s">
        <v>996</v>
      </c>
      <c r="F275" s="26">
        <v>45200</v>
      </c>
      <c r="G275" s="1">
        <v>2023</v>
      </c>
      <c r="H275" s="1" t="s">
        <v>61</v>
      </c>
      <c r="I275" s="3" t="s">
        <v>3679</v>
      </c>
      <c r="J275" s="1" t="s">
        <v>2515</v>
      </c>
      <c r="K275" s="1" t="s">
        <v>2001</v>
      </c>
      <c r="L275" s="1" t="b">
        <v>1</v>
      </c>
    </row>
    <row r="276" spans="1:12" ht="229.35" x14ac:dyDescent="0.5">
      <c r="A276" s="1" t="s">
        <v>3680</v>
      </c>
      <c r="B276" s="3" t="s">
        <v>1179</v>
      </c>
      <c r="C276" s="3" t="s">
        <v>1178</v>
      </c>
      <c r="D276" s="3" t="s">
        <v>1181</v>
      </c>
      <c r="E276" s="3" t="s">
        <v>958</v>
      </c>
      <c r="F276" s="26">
        <v>45337</v>
      </c>
      <c r="G276" s="1">
        <v>2024</v>
      </c>
      <c r="H276" s="1" t="s">
        <v>61</v>
      </c>
      <c r="I276" s="3" t="s">
        <v>3681</v>
      </c>
      <c r="J276" s="1" t="s">
        <v>2515</v>
      </c>
      <c r="K276" s="1" t="s">
        <v>1180</v>
      </c>
      <c r="L276" s="1" t="b">
        <v>1</v>
      </c>
    </row>
    <row r="277" spans="1:12" ht="143.35" x14ac:dyDescent="0.5">
      <c r="A277" s="1" t="s">
        <v>3682</v>
      </c>
      <c r="B277" s="3" t="s">
        <v>1551</v>
      </c>
      <c r="C277" s="3" t="s">
        <v>1550</v>
      </c>
      <c r="D277" s="3" t="s">
        <v>1553</v>
      </c>
      <c r="E277" s="3" t="s">
        <v>1171</v>
      </c>
      <c r="F277" s="26">
        <v>40787</v>
      </c>
      <c r="G277" s="1">
        <v>2011</v>
      </c>
      <c r="H277" s="1" t="s">
        <v>61</v>
      </c>
      <c r="I277" s="3" t="s">
        <v>3683</v>
      </c>
      <c r="J277" s="1" t="s">
        <v>2515</v>
      </c>
      <c r="K277" s="1" t="s">
        <v>1552</v>
      </c>
      <c r="L277" s="1" t="b">
        <v>1</v>
      </c>
    </row>
    <row r="278" spans="1:12" ht="286.7" x14ac:dyDescent="0.5">
      <c r="A278" s="1" t="s">
        <v>3684</v>
      </c>
      <c r="B278" s="3" t="s">
        <v>2097</v>
      </c>
      <c r="C278" s="3" t="s">
        <v>2096</v>
      </c>
      <c r="D278" s="3" t="s">
        <v>2099</v>
      </c>
      <c r="E278" s="3" t="s">
        <v>1016</v>
      </c>
      <c r="F278" s="26">
        <v>44075</v>
      </c>
      <c r="G278" s="1">
        <v>2020</v>
      </c>
      <c r="H278" s="1" t="s">
        <v>61</v>
      </c>
      <c r="I278" s="3" t="s">
        <v>3685</v>
      </c>
      <c r="J278" s="1" t="s">
        <v>2515</v>
      </c>
      <c r="K278" s="1" t="s">
        <v>2098</v>
      </c>
      <c r="L278" s="1" t="b">
        <v>1</v>
      </c>
    </row>
    <row r="279" spans="1:12" ht="186.35" x14ac:dyDescent="0.5">
      <c r="A279" s="1" t="s">
        <v>3686</v>
      </c>
      <c r="B279" s="3" t="s">
        <v>1253</v>
      </c>
      <c r="C279" s="3" t="s">
        <v>1252</v>
      </c>
      <c r="D279" s="3" t="s">
        <v>1255</v>
      </c>
      <c r="E279" s="3" t="s">
        <v>1122</v>
      </c>
      <c r="F279" s="26">
        <v>45627</v>
      </c>
      <c r="G279" s="1">
        <v>2024</v>
      </c>
      <c r="H279" s="1" t="s">
        <v>61</v>
      </c>
      <c r="I279" s="3" t="s">
        <v>3687</v>
      </c>
      <c r="J279" s="1" t="s">
        <v>2515</v>
      </c>
      <c r="K279" s="1" t="s">
        <v>1254</v>
      </c>
      <c r="L279" s="1" t="b">
        <v>1</v>
      </c>
    </row>
    <row r="280" spans="1:12" ht="258" x14ac:dyDescent="0.5">
      <c r="A280" s="1" t="s">
        <v>3688</v>
      </c>
      <c r="B280" s="3" t="s">
        <v>1207</v>
      </c>
      <c r="C280" s="3" t="s">
        <v>1206</v>
      </c>
      <c r="D280" s="3" t="s">
        <v>1209</v>
      </c>
      <c r="E280" s="3" t="s">
        <v>929</v>
      </c>
      <c r="F280" s="26">
        <v>44515</v>
      </c>
      <c r="G280" s="1">
        <v>2021</v>
      </c>
      <c r="H280" s="1" t="s">
        <v>61</v>
      </c>
      <c r="I280" s="3" t="s">
        <v>3689</v>
      </c>
      <c r="J280" s="1" t="s">
        <v>2515</v>
      </c>
      <c r="K280" s="1" t="s">
        <v>1208</v>
      </c>
      <c r="L280" s="1" t="b">
        <v>1</v>
      </c>
    </row>
    <row r="281" spans="1:12" ht="229.35" x14ac:dyDescent="0.5">
      <c r="A281" s="1" t="s">
        <v>3690</v>
      </c>
      <c r="B281" s="3" t="s">
        <v>2426</v>
      </c>
      <c r="C281" s="3" t="s">
        <v>2425</v>
      </c>
      <c r="D281" s="3" t="s">
        <v>2428</v>
      </c>
      <c r="E281" s="3" t="s">
        <v>2418</v>
      </c>
      <c r="F281" s="26">
        <v>45627</v>
      </c>
      <c r="G281" s="1">
        <v>2024</v>
      </c>
      <c r="H281" s="1" t="s">
        <v>61</v>
      </c>
      <c r="I281" s="3" t="s">
        <v>3691</v>
      </c>
      <c r="J281" s="1" t="s">
        <v>2515</v>
      </c>
      <c r="K281" s="1" t="s">
        <v>2427</v>
      </c>
      <c r="L281" s="1" t="b">
        <v>1</v>
      </c>
    </row>
    <row r="282" spans="1:12" ht="258" x14ac:dyDescent="0.5">
      <c r="A282" s="1" t="s">
        <v>3692</v>
      </c>
      <c r="B282" s="3" t="s">
        <v>1157</v>
      </c>
      <c r="C282" s="3" t="s">
        <v>1156</v>
      </c>
      <c r="D282" s="3" t="s">
        <v>1159</v>
      </c>
      <c r="E282" s="3" t="s">
        <v>1113</v>
      </c>
      <c r="F282" s="26">
        <v>44075</v>
      </c>
      <c r="G282" s="1">
        <v>2020</v>
      </c>
      <c r="H282" s="1" t="s">
        <v>61</v>
      </c>
      <c r="I282" s="3" t="s">
        <v>3693</v>
      </c>
      <c r="J282" s="1" t="s">
        <v>2515</v>
      </c>
      <c r="K282" s="1" t="s">
        <v>1158</v>
      </c>
      <c r="L282" s="1" t="b">
        <v>1</v>
      </c>
    </row>
    <row r="283" spans="1:12" ht="329.7" x14ac:dyDescent="0.5">
      <c r="A283" s="1" t="s">
        <v>3694</v>
      </c>
      <c r="B283" s="3" t="s">
        <v>1693</v>
      </c>
      <c r="C283" s="3" t="s">
        <v>1692</v>
      </c>
      <c r="D283" s="3" t="s">
        <v>1695</v>
      </c>
      <c r="E283" s="3" t="s">
        <v>1122</v>
      </c>
      <c r="F283" s="26">
        <v>44621</v>
      </c>
      <c r="G283" s="1">
        <v>2022</v>
      </c>
      <c r="H283" s="1" t="s">
        <v>61</v>
      </c>
      <c r="I283" s="3" t="s">
        <v>3695</v>
      </c>
      <c r="J283" s="1" t="s">
        <v>2515</v>
      </c>
      <c r="K283" s="1" t="s">
        <v>1694</v>
      </c>
      <c r="L283" s="1" t="b">
        <v>1</v>
      </c>
    </row>
    <row r="284" spans="1:12" ht="358.35" x14ac:dyDescent="0.5">
      <c r="A284" s="1" t="s">
        <v>3696</v>
      </c>
      <c r="B284" s="3" t="s">
        <v>1438</v>
      </c>
      <c r="C284" s="3" t="s">
        <v>1437</v>
      </c>
      <c r="D284" s="3" t="s">
        <v>1440</v>
      </c>
      <c r="E284" s="3" t="s">
        <v>947</v>
      </c>
      <c r="F284" s="26">
        <v>44136</v>
      </c>
      <c r="G284" s="1">
        <v>2020</v>
      </c>
      <c r="H284" s="1" t="s">
        <v>61</v>
      </c>
      <c r="I284" s="3" t="s">
        <v>3697</v>
      </c>
      <c r="J284" s="1" t="s">
        <v>2515</v>
      </c>
      <c r="K284" s="1" t="s">
        <v>1439</v>
      </c>
      <c r="L284" s="1" t="b">
        <v>1</v>
      </c>
    </row>
    <row r="285" spans="1:12" ht="215" x14ac:dyDescent="0.5">
      <c r="A285" s="1" t="s">
        <v>3698</v>
      </c>
      <c r="B285" s="3" t="s">
        <v>1685</v>
      </c>
      <c r="C285" s="3" t="s">
        <v>1684</v>
      </c>
      <c r="D285" s="3" t="s">
        <v>1687</v>
      </c>
      <c r="E285" s="3" t="s">
        <v>939</v>
      </c>
      <c r="F285" s="26">
        <v>44819</v>
      </c>
      <c r="G285" s="1">
        <v>2022</v>
      </c>
      <c r="H285" s="1" t="s">
        <v>61</v>
      </c>
      <c r="I285" s="3" t="s">
        <v>3699</v>
      </c>
      <c r="J285" s="1" t="s">
        <v>2515</v>
      </c>
      <c r="K285" s="1" t="s">
        <v>1686</v>
      </c>
      <c r="L285" s="1" t="b">
        <v>1</v>
      </c>
    </row>
    <row r="286" spans="1:12" ht="186.35" x14ac:dyDescent="0.5">
      <c r="A286" s="1" t="s">
        <v>3700</v>
      </c>
      <c r="B286" s="3" t="s">
        <v>1199</v>
      </c>
      <c r="C286" s="3" t="s">
        <v>1198</v>
      </c>
      <c r="D286" s="3" t="s">
        <v>1201</v>
      </c>
      <c r="E286" s="3" t="s">
        <v>1113</v>
      </c>
      <c r="F286" s="26">
        <v>44180</v>
      </c>
      <c r="G286" s="1">
        <v>2020</v>
      </c>
      <c r="H286" s="1" t="s">
        <v>61</v>
      </c>
      <c r="I286" s="3" t="s">
        <v>3701</v>
      </c>
      <c r="J286" s="1" t="s">
        <v>2515</v>
      </c>
      <c r="K286" s="1" t="s">
        <v>1200</v>
      </c>
      <c r="L286" s="1" t="b">
        <v>1</v>
      </c>
    </row>
    <row r="287" spans="1:12" ht="272.35000000000002" x14ac:dyDescent="0.5">
      <c r="A287" s="1" t="s">
        <v>3702</v>
      </c>
      <c r="B287" s="3" t="s">
        <v>1187</v>
      </c>
      <c r="C287" s="3" t="s">
        <v>1186</v>
      </c>
      <c r="D287" s="3" t="s">
        <v>1189</v>
      </c>
      <c r="E287" s="3" t="s">
        <v>928</v>
      </c>
      <c r="F287" s="26">
        <v>42917</v>
      </c>
      <c r="G287" s="1">
        <v>2017</v>
      </c>
      <c r="H287" s="1" t="s">
        <v>61</v>
      </c>
      <c r="I287" s="3" t="s">
        <v>3703</v>
      </c>
      <c r="J287" s="1" t="s">
        <v>2515</v>
      </c>
      <c r="K287" s="1" t="s">
        <v>1188</v>
      </c>
      <c r="L287" s="1" t="b">
        <v>1</v>
      </c>
    </row>
    <row r="288" spans="1:12" ht="315.35000000000002" x14ac:dyDescent="0.5">
      <c r="A288" s="1" t="s">
        <v>3704</v>
      </c>
      <c r="B288" s="3" t="s">
        <v>1857</v>
      </c>
      <c r="C288" s="3" t="s">
        <v>1856</v>
      </c>
      <c r="D288" s="3" t="s">
        <v>1859</v>
      </c>
      <c r="E288" s="3" t="s">
        <v>1139</v>
      </c>
      <c r="F288" s="26">
        <v>45505</v>
      </c>
      <c r="G288" s="1">
        <v>2024</v>
      </c>
      <c r="H288" s="1" t="s">
        <v>61</v>
      </c>
      <c r="I288" s="3" t="s">
        <v>3705</v>
      </c>
      <c r="J288" s="1" t="s">
        <v>2515</v>
      </c>
      <c r="K288" s="1" t="s">
        <v>1858</v>
      </c>
      <c r="L288" s="1" t="b">
        <v>1</v>
      </c>
    </row>
    <row r="289" spans="1:12" ht="243.7" x14ac:dyDescent="0.5">
      <c r="A289" s="1" t="s">
        <v>3706</v>
      </c>
      <c r="B289" s="3" t="s">
        <v>1343</v>
      </c>
      <c r="C289" s="3" t="s">
        <v>1342</v>
      </c>
      <c r="D289" s="3" t="s">
        <v>1346</v>
      </c>
      <c r="E289" s="3" t="s">
        <v>1344</v>
      </c>
      <c r="F289" s="26">
        <v>45566</v>
      </c>
      <c r="G289" s="1">
        <v>2024</v>
      </c>
      <c r="H289" s="1" t="s">
        <v>61</v>
      </c>
      <c r="I289" s="3" t="s">
        <v>3707</v>
      </c>
      <c r="J289" s="1" t="s">
        <v>2515</v>
      </c>
      <c r="K289" s="1" t="s">
        <v>1345</v>
      </c>
      <c r="L289" s="1" t="b">
        <v>1</v>
      </c>
    </row>
    <row r="290" spans="1:12" ht="186.35" x14ac:dyDescent="0.5">
      <c r="A290" s="1" t="s">
        <v>3708</v>
      </c>
      <c r="B290" s="3" t="s">
        <v>1161</v>
      </c>
      <c r="C290" s="3" t="s">
        <v>1160</v>
      </c>
      <c r="D290" s="3" t="s">
        <v>1163</v>
      </c>
      <c r="E290" s="3" t="s">
        <v>916</v>
      </c>
      <c r="F290" s="26">
        <v>40634</v>
      </c>
      <c r="G290" s="1">
        <v>2011</v>
      </c>
      <c r="H290" s="1" t="s">
        <v>61</v>
      </c>
      <c r="I290" s="3" t="s">
        <v>3709</v>
      </c>
      <c r="J290" s="1" t="s">
        <v>2515</v>
      </c>
      <c r="K290" s="1" t="s">
        <v>1162</v>
      </c>
      <c r="L290" s="1" t="b">
        <v>1</v>
      </c>
    </row>
    <row r="291" spans="1:12" ht="172" x14ac:dyDescent="0.5">
      <c r="A291" s="1" t="s">
        <v>3710</v>
      </c>
      <c r="B291" s="3" t="s">
        <v>1013</v>
      </c>
      <c r="C291" s="3" t="s">
        <v>340</v>
      </c>
      <c r="D291" s="3" t="s">
        <v>1011</v>
      </c>
      <c r="E291" s="3" t="s">
        <v>1010</v>
      </c>
      <c r="F291" s="26">
        <v>41730</v>
      </c>
      <c r="G291" s="1">
        <v>2014</v>
      </c>
      <c r="H291" s="1" t="s">
        <v>61</v>
      </c>
      <c r="I291" s="3" t="s">
        <v>3711</v>
      </c>
      <c r="J291" s="1" t="s">
        <v>2515</v>
      </c>
      <c r="K291" s="1" t="s">
        <v>1012</v>
      </c>
      <c r="L291" s="1" t="b">
        <v>1</v>
      </c>
    </row>
    <row r="292" spans="1:12" ht="272.35000000000002" x14ac:dyDescent="0.5">
      <c r="A292" s="1" t="s">
        <v>3712</v>
      </c>
      <c r="B292" s="3" t="s">
        <v>1599</v>
      </c>
      <c r="C292" s="3" t="s">
        <v>1598</v>
      </c>
      <c r="D292" s="3" t="s">
        <v>1601</v>
      </c>
      <c r="E292" s="3" t="s">
        <v>982</v>
      </c>
      <c r="F292" s="26">
        <v>43831</v>
      </c>
      <c r="G292" s="1">
        <v>2020</v>
      </c>
      <c r="H292" s="1" t="s">
        <v>61</v>
      </c>
      <c r="I292" s="3" t="s">
        <v>3713</v>
      </c>
      <c r="J292" s="1" t="s">
        <v>2515</v>
      </c>
      <c r="K292" s="1" t="s">
        <v>1600</v>
      </c>
      <c r="L292" s="1" t="b">
        <v>1</v>
      </c>
    </row>
    <row r="293" spans="1:12" ht="286.7" x14ac:dyDescent="0.5">
      <c r="A293" s="1" t="s">
        <v>3714</v>
      </c>
      <c r="B293" s="3" t="s">
        <v>2072</v>
      </c>
      <c r="C293" s="3" t="s">
        <v>2071</v>
      </c>
      <c r="D293" s="3" t="s">
        <v>2074</v>
      </c>
      <c r="E293" s="3" t="s">
        <v>929</v>
      </c>
      <c r="F293" s="26">
        <v>44166</v>
      </c>
      <c r="G293" s="1">
        <v>2020</v>
      </c>
      <c r="H293" s="1" t="s">
        <v>61</v>
      </c>
      <c r="I293" s="3" t="s">
        <v>3715</v>
      </c>
      <c r="J293" s="1" t="s">
        <v>2515</v>
      </c>
      <c r="K293" s="1" t="s">
        <v>2073</v>
      </c>
      <c r="L293" s="1" t="b">
        <v>1</v>
      </c>
    </row>
    <row r="294" spans="1:12" ht="272.35000000000002" x14ac:dyDescent="0.5">
      <c r="A294" s="1" t="s">
        <v>3716</v>
      </c>
      <c r="B294" s="3" t="s">
        <v>2244</v>
      </c>
      <c r="C294" s="3" t="s">
        <v>2243</v>
      </c>
      <c r="D294" s="3" t="s">
        <v>2246</v>
      </c>
      <c r="E294" s="3" t="s">
        <v>1002</v>
      </c>
      <c r="F294" s="26">
        <v>44166</v>
      </c>
      <c r="G294" s="1">
        <v>2020</v>
      </c>
      <c r="H294" s="1" t="s">
        <v>61</v>
      </c>
      <c r="I294" s="3" t="s">
        <v>123</v>
      </c>
      <c r="J294" s="1" t="s">
        <v>2515</v>
      </c>
      <c r="K294" s="1" t="s">
        <v>2245</v>
      </c>
      <c r="L294" s="1" t="b">
        <v>1</v>
      </c>
    </row>
    <row r="295" spans="1:12" ht="243.7" x14ac:dyDescent="0.5">
      <c r="A295" s="1" t="s">
        <v>3717</v>
      </c>
      <c r="B295" s="3" t="s">
        <v>2266</v>
      </c>
      <c r="C295" s="3" t="s">
        <v>2265</v>
      </c>
      <c r="D295" s="3" t="s">
        <v>2268</v>
      </c>
      <c r="E295" s="3" t="s">
        <v>1122</v>
      </c>
      <c r="F295" s="26">
        <v>43525</v>
      </c>
      <c r="G295" s="1">
        <v>2019</v>
      </c>
      <c r="H295" s="1" t="s">
        <v>61</v>
      </c>
      <c r="I295" s="3" t="s">
        <v>3718</v>
      </c>
      <c r="J295" s="1" t="s">
        <v>2515</v>
      </c>
      <c r="K295" s="1" t="s">
        <v>2267</v>
      </c>
      <c r="L295" s="1" t="b">
        <v>1</v>
      </c>
    </row>
    <row r="296" spans="1:12" ht="372.7" x14ac:dyDescent="0.5">
      <c r="A296" s="1" t="s">
        <v>3719</v>
      </c>
      <c r="B296" s="3" t="s">
        <v>2315</v>
      </c>
      <c r="C296" s="3" t="s">
        <v>2314</v>
      </c>
      <c r="D296" s="3" t="s">
        <v>2317</v>
      </c>
      <c r="E296" s="3" t="s">
        <v>2017</v>
      </c>
      <c r="F296" s="26">
        <v>42470</v>
      </c>
      <c r="G296" s="1">
        <v>2016</v>
      </c>
      <c r="H296" s="1" t="s">
        <v>61</v>
      </c>
      <c r="I296" s="3" t="s">
        <v>3720</v>
      </c>
      <c r="J296" s="1" t="s">
        <v>2515</v>
      </c>
      <c r="K296" s="1" t="s">
        <v>2316</v>
      </c>
      <c r="L296" s="1" t="b">
        <v>1</v>
      </c>
    </row>
    <row r="297" spans="1:12" ht="286.7" x14ac:dyDescent="0.5">
      <c r="A297" s="1" t="s">
        <v>3721</v>
      </c>
      <c r="B297" s="3" t="s">
        <v>1515</v>
      </c>
      <c r="C297" s="3" t="s">
        <v>1514</v>
      </c>
      <c r="D297" s="3" t="s">
        <v>1518</v>
      </c>
      <c r="E297" s="3" t="s">
        <v>1516</v>
      </c>
      <c r="F297" s="26">
        <v>42767</v>
      </c>
      <c r="G297" s="1">
        <v>2017</v>
      </c>
      <c r="H297" s="1" t="s">
        <v>61</v>
      </c>
      <c r="I297" s="3" t="s">
        <v>3722</v>
      </c>
      <c r="J297" s="1" t="s">
        <v>2515</v>
      </c>
      <c r="K297" s="1" t="s">
        <v>1517</v>
      </c>
      <c r="L297" s="1" t="b">
        <v>1</v>
      </c>
    </row>
    <row r="298" spans="1:12" ht="286.7" x14ac:dyDescent="0.5">
      <c r="A298" s="1" t="s">
        <v>3723</v>
      </c>
      <c r="B298" s="3" t="s">
        <v>314</v>
      </c>
      <c r="C298" s="3" t="s">
        <v>339</v>
      </c>
      <c r="D298" s="3" t="s">
        <v>364</v>
      </c>
      <c r="E298" s="3" t="s">
        <v>932</v>
      </c>
      <c r="F298" s="26">
        <v>44317</v>
      </c>
      <c r="G298" s="1">
        <v>2021</v>
      </c>
      <c r="H298" s="1" t="s">
        <v>61</v>
      </c>
      <c r="I298" s="3" t="s">
        <v>3724</v>
      </c>
      <c r="J298" s="1" t="s">
        <v>2515</v>
      </c>
      <c r="K298" s="1" t="s">
        <v>389</v>
      </c>
      <c r="L298" s="1" t="b">
        <v>1</v>
      </c>
    </row>
    <row r="299" spans="1:12" ht="258" x14ac:dyDescent="0.5">
      <c r="A299" s="1" t="s">
        <v>3725</v>
      </c>
      <c r="B299" s="3" t="s">
        <v>1731</v>
      </c>
      <c r="C299" s="3" t="s">
        <v>1730</v>
      </c>
      <c r="D299" s="3" t="s">
        <v>1733</v>
      </c>
      <c r="E299" s="3" t="s">
        <v>1002</v>
      </c>
      <c r="F299" s="26">
        <v>45200</v>
      </c>
      <c r="G299" s="1">
        <v>2023</v>
      </c>
      <c r="H299" s="1" t="s">
        <v>61</v>
      </c>
      <c r="I299" s="3" t="s">
        <v>3726</v>
      </c>
      <c r="J299" s="1" t="s">
        <v>2515</v>
      </c>
      <c r="K299" s="1" t="s">
        <v>1732</v>
      </c>
      <c r="L299" s="1" t="b">
        <v>1</v>
      </c>
    </row>
    <row r="300" spans="1:12" ht="186.35" x14ac:dyDescent="0.5">
      <c r="A300" s="1" t="s">
        <v>3727</v>
      </c>
      <c r="B300" s="3" t="s">
        <v>2208</v>
      </c>
      <c r="C300" s="3" t="s">
        <v>2207</v>
      </c>
      <c r="D300" s="3" t="s">
        <v>2211</v>
      </c>
      <c r="E300" s="3" t="s">
        <v>2209</v>
      </c>
      <c r="F300" s="26">
        <v>44440</v>
      </c>
      <c r="G300" s="1">
        <v>2021</v>
      </c>
      <c r="H300" s="1" t="s">
        <v>61</v>
      </c>
      <c r="I300" s="3" t="s">
        <v>3728</v>
      </c>
      <c r="J300" s="1" t="s">
        <v>2515</v>
      </c>
      <c r="K300" s="1" t="s">
        <v>2210</v>
      </c>
      <c r="L300" s="1" t="b">
        <v>1</v>
      </c>
    </row>
    <row r="301" spans="1:12" ht="243.7" x14ac:dyDescent="0.5">
      <c r="A301" s="1" t="s">
        <v>3729</v>
      </c>
      <c r="B301" s="3" t="s">
        <v>1240</v>
      </c>
      <c r="C301" s="3" t="s">
        <v>1239</v>
      </c>
      <c r="D301" s="3" t="s">
        <v>1242</v>
      </c>
      <c r="E301" s="3" t="s">
        <v>956</v>
      </c>
      <c r="F301" s="26">
        <v>45627</v>
      </c>
      <c r="G301" s="1">
        <v>2024</v>
      </c>
      <c r="H301" s="1" t="s">
        <v>61</v>
      </c>
      <c r="I301" s="3" t="s">
        <v>3730</v>
      </c>
      <c r="J301" s="1" t="s">
        <v>2515</v>
      </c>
      <c r="K301" s="1" t="s">
        <v>1241</v>
      </c>
      <c r="L301" s="1" t="b">
        <v>1</v>
      </c>
    </row>
    <row r="302" spans="1:12" ht="215" x14ac:dyDescent="0.5">
      <c r="A302" s="1" t="s">
        <v>3731</v>
      </c>
      <c r="B302" s="3" t="s">
        <v>2331</v>
      </c>
      <c r="C302" s="3" t="s">
        <v>2330</v>
      </c>
      <c r="D302" s="3" t="s">
        <v>2333</v>
      </c>
      <c r="E302" s="3" t="s">
        <v>923</v>
      </c>
      <c r="F302" s="26">
        <v>44495</v>
      </c>
      <c r="G302" s="1">
        <v>2021</v>
      </c>
      <c r="H302" s="1" t="s">
        <v>61</v>
      </c>
      <c r="I302" s="3" t="s">
        <v>3732</v>
      </c>
      <c r="J302" s="1" t="s">
        <v>2515</v>
      </c>
      <c r="K302" s="1" t="s">
        <v>2332</v>
      </c>
      <c r="L302" s="1" t="b">
        <v>1</v>
      </c>
    </row>
    <row r="303" spans="1:12" ht="409.6" x14ac:dyDescent="0.5">
      <c r="A303" s="1" t="s">
        <v>3733</v>
      </c>
      <c r="B303" s="3" t="s">
        <v>1845</v>
      </c>
      <c r="C303" s="3" t="s">
        <v>1844</v>
      </c>
      <c r="D303" s="3" t="s">
        <v>1847</v>
      </c>
      <c r="E303" s="3" t="s">
        <v>961</v>
      </c>
      <c r="F303" s="26">
        <v>44593</v>
      </c>
      <c r="G303" s="1">
        <v>2022</v>
      </c>
      <c r="H303" s="1" t="s">
        <v>61</v>
      </c>
      <c r="I303" s="3" t="s">
        <v>3734</v>
      </c>
      <c r="J303" s="1" t="s">
        <v>2515</v>
      </c>
      <c r="K303" s="1" t="s">
        <v>1846</v>
      </c>
      <c r="L303" s="1" t="b">
        <v>1</v>
      </c>
    </row>
    <row r="304" spans="1:12" ht="258" x14ac:dyDescent="0.5">
      <c r="A304" s="1" t="s">
        <v>3735</v>
      </c>
      <c r="B304" s="3" t="s">
        <v>1407</v>
      </c>
      <c r="C304" s="3" t="s">
        <v>1406</v>
      </c>
      <c r="D304" s="3" t="s">
        <v>1409</v>
      </c>
      <c r="E304" s="3" t="s">
        <v>955</v>
      </c>
      <c r="F304" s="26">
        <v>42614</v>
      </c>
      <c r="G304" s="1">
        <v>2016</v>
      </c>
      <c r="H304" s="1" t="s">
        <v>61</v>
      </c>
      <c r="I304" s="3" t="s">
        <v>3736</v>
      </c>
      <c r="J304" s="1" t="s">
        <v>2515</v>
      </c>
      <c r="K304" s="1" t="s">
        <v>1408</v>
      </c>
      <c r="L304" s="1" t="b">
        <v>1</v>
      </c>
    </row>
    <row r="305" spans="1:12" ht="258" x14ac:dyDescent="0.5">
      <c r="A305" s="1" t="s">
        <v>3737</v>
      </c>
      <c r="B305" s="3" t="s">
        <v>1942</v>
      </c>
      <c r="C305" s="3" t="s">
        <v>1941</v>
      </c>
      <c r="D305" s="3" t="s">
        <v>1944</v>
      </c>
      <c r="E305" s="3" t="s">
        <v>1139</v>
      </c>
      <c r="F305" s="26">
        <v>42736</v>
      </c>
      <c r="G305" s="1">
        <v>2017</v>
      </c>
      <c r="H305" s="1" t="s">
        <v>61</v>
      </c>
      <c r="I305" s="3" t="s">
        <v>3738</v>
      </c>
      <c r="J305" s="1" t="s">
        <v>2515</v>
      </c>
      <c r="K305" s="1" t="s">
        <v>1943</v>
      </c>
      <c r="L305" s="1" t="b">
        <v>1</v>
      </c>
    </row>
    <row r="306" spans="1:12" ht="258" x14ac:dyDescent="0.5">
      <c r="A306" s="1" t="s">
        <v>3739</v>
      </c>
      <c r="B306" s="3" t="s">
        <v>2252</v>
      </c>
      <c r="C306" s="3" t="s">
        <v>2251</v>
      </c>
      <c r="D306" s="3" t="s">
        <v>2254</v>
      </c>
      <c r="E306" s="3" t="s">
        <v>920</v>
      </c>
      <c r="F306" s="26">
        <v>43922</v>
      </c>
      <c r="G306" s="1">
        <v>2020</v>
      </c>
      <c r="H306" s="1" t="s">
        <v>61</v>
      </c>
      <c r="I306" s="3" t="s">
        <v>3740</v>
      </c>
      <c r="J306" s="1" t="s">
        <v>2515</v>
      </c>
      <c r="K306" s="1" t="s">
        <v>2253</v>
      </c>
      <c r="L306" s="1" t="b">
        <v>1</v>
      </c>
    </row>
    <row r="307" spans="1:12" ht="329.7" x14ac:dyDescent="0.5">
      <c r="A307" s="1" t="s">
        <v>3741</v>
      </c>
      <c r="B307" s="3" t="s">
        <v>1752</v>
      </c>
      <c r="C307" s="3" t="s">
        <v>1751</v>
      </c>
      <c r="D307" s="3" t="s">
        <v>1754</v>
      </c>
      <c r="E307" s="3" t="s">
        <v>960</v>
      </c>
      <c r="F307" s="26">
        <v>45513</v>
      </c>
      <c r="G307" s="1">
        <v>2024</v>
      </c>
      <c r="H307" s="1" t="s">
        <v>61</v>
      </c>
      <c r="I307" s="3" t="s">
        <v>3742</v>
      </c>
      <c r="J307" s="1" t="s">
        <v>2515</v>
      </c>
      <c r="K307" s="1" t="s">
        <v>1753</v>
      </c>
      <c r="L307" s="1" t="b">
        <v>1</v>
      </c>
    </row>
    <row r="308" spans="1:12" ht="229.35" x14ac:dyDescent="0.5">
      <c r="A308" s="1" t="s">
        <v>3743</v>
      </c>
      <c r="B308" s="3" t="s">
        <v>1884</v>
      </c>
      <c r="C308" s="3" t="s">
        <v>1883</v>
      </c>
      <c r="D308" s="3" t="s">
        <v>1886</v>
      </c>
      <c r="E308" s="3" t="s">
        <v>937</v>
      </c>
      <c r="F308" s="26">
        <v>45275</v>
      </c>
      <c r="G308" s="1">
        <v>2023</v>
      </c>
      <c r="H308" s="1" t="s">
        <v>61</v>
      </c>
      <c r="I308" s="3" t="s">
        <v>3744</v>
      </c>
      <c r="J308" s="1" t="s">
        <v>2515</v>
      </c>
      <c r="K308" s="1" t="s">
        <v>1885</v>
      </c>
      <c r="L308" s="1" t="b">
        <v>1</v>
      </c>
    </row>
    <row r="309" spans="1:12" ht="200.7" x14ac:dyDescent="0.5">
      <c r="A309" s="1" t="s">
        <v>3745</v>
      </c>
      <c r="B309" s="3" t="s">
        <v>1565</v>
      </c>
      <c r="C309" s="3" t="s">
        <v>1564</v>
      </c>
      <c r="D309" s="3" t="s">
        <v>1567</v>
      </c>
      <c r="E309" s="3" t="s">
        <v>996</v>
      </c>
      <c r="F309" s="26">
        <v>44409</v>
      </c>
      <c r="G309" s="1">
        <v>2021</v>
      </c>
      <c r="H309" s="1" t="s">
        <v>61</v>
      </c>
      <c r="I309" s="3" t="s">
        <v>3746</v>
      </c>
      <c r="J309" s="1" t="s">
        <v>2515</v>
      </c>
      <c r="K309" s="1" t="s">
        <v>1566</v>
      </c>
      <c r="L309" s="1" t="b">
        <v>1</v>
      </c>
    </row>
    <row r="310" spans="1:12" ht="344" x14ac:dyDescent="0.5">
      <c r="A310" s="1" t="s">
        <v>3747</v>
      </c>
      <c r="B310" s="3" t="s">
        <v>1788</v>
      </c>
      <c r="C310" s="3" t="s">
        <v>1787</v>
      </c>
      <c r="D310" s="3" t="s">
        <v>1790</v>
      </c>
      <c r="E310" s="3" t="s">
        <v>996</v>
      </c>
      <c r="F310" s="26">
        <v>45200</v>
      </c>
      <c r="G310" s="1">
        <v>2023</v>
      </c>
      <c r="H310" s="1" t="s">
        <v>61</v>
      </c>
      <c r="I310" s="3" t="s">
        <v>3748</v>
      </c>
      <c r="J310" s="1" t="s">
        <v>2515</v>
      </c>
      <c r="K310" s="1" t="s">
        <v>1789</v>
      </c>
      <c r="L310" s="1" t="b">
        <v>1</v>
      </c>
    </row>
    <row r="311" spans="1:12" ht="315.35000000000002" x14ac:dyDescent="0.5">
      <c r="A311" s="1" t="s">
        <v>3749</v>
      </c>
      <c r="B311" s="3" t="s">
        <v>1569</v>
      </c>
      <c r="C311" s="3" t="s">
        <v>1568</v>
      </c>
      <c r="D311" s="3" t="s">
        <v>1571</v>
      </c>
      <c r="E311" s="3" t="s">
        <v>1113</v>
      </c>
      <c r="F311" s="26">
        <v>43831</v>
      </c>
      <c r="G311" s="1">
        <v>2020</v>
      </c>
      <c r="H311" s="1" t="s">
        <v>61</v>
      </c>
      <c r="I311" s="3" t="s">
        <v>3750</v>
      </c>
      <c r="J311" s="1" t="s">
        <v>2515</v>
      </c>
      <c r="K311" s="1" t="s">
        <v>1570</v>
      </c>
      <c r="L311" s="1" t="b">
        <v>1</v>
      </c>
    </row>
    <row r="312" spans="1:12" ht="344" x14ac:dyDescent="0.5">
      <c r="A312" s="1" t="s">
        <v>3751</v>
      </c>
      <c r="B312" s="3" t="s">
        <v>1183</v>
      </c>
      <c r="C312" s="3" t="s">
        <v>1182</v>
      </c>
      <c r="D312" s="3" t="s">
        <v>1185</v>
      </c>
      <c r="E312" s="3" t="s">
        <v>918</v>
      </c>
      <c r="F312" s="26">
        <v>45627</v>
      </c>
      <c r="G312" s="1">
        <v>2024</v>
      </c>
      <c r="H312" s="1" t="s">
        <v>61</v>
      </c>
      <c r="I312" s="3" t="s">
        <v>3752</v>
      </c>
      <c r="J312" s="1" t="s">
        <v>2515</v>
      </c>
      <c r="K312" s="1" t="s">
        <v>1184</v>
      </c>
      <c r="L312" s="1" t="b">
        <v>1</v>
      </c>
    </row>
    <row r="313" spans="1:12" ht="258" x14ac:dyDescent="0.5">
      <c r="A313" s="1" t="s">
        <v>3753</v>
      </c>
      <c r="B313" s="3" t="s">
        <v>1153</v>
      </c>
      <c r="C313" s="3" t="s">
        <v>1152</v>
      </c>
      <c r="D313" s="3" t="s">
        <v>1155</v>
      </c>
      <c r="E313" s="3" t="s">
        <v>996</v>
      </c>
      <c r="F313" s="26">
        <v>45627</v>
      </c>
      <c r="G313" s="1">
        <v>2024</v>
      </c>
      <c r="H313" s="1" t="s">
        <v>61</v>
      </c>
      <c r="I313" s="3" t="s">
        <v>3754</v>
      </c>
      <c r="J313" s="1" t="s">
        <v>2515</v>
      </c>
      <c r="K313" s="1" t="s">
        <v>1154</v>
      </c>
      <c r="L313" s="1" t="b">
        <v>1</v>
      </c>
    </row>
    <row r="314" spans="1:12" ht="286.7" x14ac:dyDescent="0.5">
      <c r="A314" s="1" t="s">
        <v>3755</v>
      </c>
      <c r="B314" s="3" t="s">
        <v>1841</v>
      </c>
      <c r="C314" s="3" t="s">
        <v>1840</v>
      </c>
      <c r="D314" s="3" t="s">
        <v>1843</v>
      </c>
      <c r="E314" s="3" t="s">
        <v>997</v>
      </c>
      <c r="F314" s="26">
        <v>44105</v>
      </c>
      <c r="G314" s="1">
        <v>2020</v>
      </c>
      <c r="H314" s="1" t="s">
        <v>61</v>
      </c>
      <c r="I314" s="3" t="s">
        <v>3756</v>
      </c>
      <c r="J314" s="1" t="s">
        <v>2515</v>
      </c>
      <c r="K314" s="1" t="s">
        <v>1842</v>
      </c>
      <c r="L314" s="1" t="b">
        <v>1</v>
      </c>
    </row>
    <row r="315" spans="1:12" ht="301" x14ac:dyDescent="0.5">
      <c r="A315" s="1" t="s">
        <v>3757</v>
      </c>
      <c r="B315" s="3" t="s">
        <v>2392</v>
      </c>
      <c r="C315" s="3" t="s">
        <v>2391</v>
      </c>
      <c r="D315" s="3" t="s">
        <v>2394</v>
      </c>
      <c r="E315" s="3" t="s">
        <v>1236</v>
      </c>
      <c r="F315" s="26">
        <v>44593</v>
      </c>
      <c r="G315" s="1">
        <v>2022</v>
      </c>
      <c r="H315" s="1" t="s">
        <v>61</v>
      </c>
      <c r="I315" s="3" t="s">
        <v>3758</v>
      </c>
      <c r="J315" s="1" t="s">
        <v>2515</v>
      </c>
      <c r="K315" s="1" t="s">
        <v>2393</v>
      </c>
      <c r="L315" s="1" t="b">
        <v>1</v>
      </c>
    </row>
    <row r="316" spans="1:12" ht="286.7" x14ac:dyDescent="0.5">
      <c r="A316" s="1" t="s">
        <v>3759</v>
      </c>
      <c r="B316" s="3" t="s">
        <v>1335</v>
      </c>
      <c r="C316" s="3" t="s">
        <v>1334</v>
      </c>
      <c r="D316" s="3" t="s">
        <v>1337</v>
      </c>
      <c r="E316" s="3" t="s">
        <v>1006</v>
      </c>
      <c r="F316" s="26">
        <v>45536</v>
      </c>
      <c r="G316" s="1">
        <v>2024</v>
      </c>
      <c r="H316" s="1" t="s">
        <v>61</v>
      </c>
      <c r="I316" s="3" t="s">
        <v>3760</v>
      </c>
      <c r="J316" s="1" t="s">
        <v>2515</v>
      </c>
      <c r="K316" s="1" t="s">
        <v>1336</v>
      </c>
      <c r="L316" s="1" t="b">
        <v>1</v>
      </c>
    </row>
    <row r="317" spans="1:12" ht="215" x14ac:dyDescent="0.5">
      <c r="A317" s="1" t="s">
        <v>3761</v>
      </c>
      <c r="B317" s="3" t="s">
        <v>2380</v>
      </c>
      <c r="C317" s="3" t="s">
        <v>2379</v>
      </c>
      <c r="D317" s="3" t="s">
        <v>2382</v>
      </c>
      <c r="E317" s="3" t="s">
        <v>996</v>
      </c>
      <c r="F317" s="26">
        <v>41699</v>
      </c>
      <c r="G317" s="1">
        <v>2014</v>
      </c>
      <c r="H317" s="1" t="s">
        <v>61</v>
      </c>
      <c r="I317" s="3" t="s">
        <v>3762</v>
      </c>
      <c r="J317" s="1" t="s">
        <v>2515</v>
      </c>
      <c r="K317" s="1" t="s">
        <v>2381</v>
      </c>
      <c r="L317" s="1" t="b">
        <v>1</v>
      </c>
    </row>
    <row r="318" spans="1:12" ht="315.35000000000002" x14ac:dyDescent="0.5">
      <c r="A318" s="1" t="s">
        <v>3763</v>
      </c>
      <c r="B318" s="3" t="s">
        <v>1577</v>
      </c>
      <c r="C318" s="3" t="s">
        <v>1576</v>
      </c>
      <c r="D318" s="3" t="s">
        <v>1580</v>
      </c>
      <c r="E318" s="3" t="s">
        <v>1578</v>
      </c>
      <c r="F318" s="26">
        <v>43615</v>
      </c>
      <c r="G318" s="1">
        <v>2019</v>
      </c>
      <c r="H318" s="1" t="s">
        <v>61</v>
      </c>
      <c r="I318" s="3" t="s">
        <v>3764</v>
      </c>
      <c r="J318" s="1" t="s">
        <v>2515</v>
      </c>
      <c r="K318" s="1" t="s">
        <v>1579</v>
      </c>
      <c r="L318" s="1" t="b">
        <v>1</v>
      </c>
    </row>
    <row r="319" spans="1:12" ht="129" x14ac:dyDescent="0.5">
      <c r="A319" s="1" t="s">
        <v>3765</v>
      </c>
      <c r="B319" s="3" t="s">
        <v>2404</v>
      </c>
      <c r="C319" s="3" t="s">
        <v>2403</v>
      </c>
      <c r="D319" s="3" t="s">
        <v>2407</v>
      </c>
      <c r="E319" s="3" t="s">
        <v>2405</v>
      </c>
      <c r="F319" s="26">
        <v>41913</v>
      </c>
      <c r="G319" s="1">
        <v>2014</v>
      </c>
      <c r="H319" s="1" t="s">
        <v>61</v>
      </c>
      <c r="I319" s="3" t="s">
        <v>3766</v>
      </c>
      <c r="J319" s="1" t="s">
        <v>2515</v>
      </c>
      <c r="K319" s="1" t="s">
        <v>2406</v>
      </c>
      <c r="L319" s="1" t="b">
        <v>1</v>
      </c>
    </row>
    <row r="320" spans="1:12" ht="315.35000000000002" x14ac:dyDescent="0.5">
      <c r="A320" s="1" t="s">
        <v>3767</v>
      </c>
      <c r="B320" s="3" t="s">
        <v>1950</v>
      </c>
      <c r="C320" s="3" t="s">
        <v>1949</v>
      </c>
      <c r="D320" s="3" t="s">
        <v>1952</v>
      </c>
      <c r="E320" s="3" t="s">
        <v>1016</v>
      </c>
      <c r="F320" s="26">
        <v>45383</v>
      </c>
      <c r="G320" s="1">
        <v>2024</v>
      </c>
      <c r="H320" s="1" t="s">
        <v>61</v>
      </c>
      <c r="I320" s="3" t="s">
        <v>3768</v>
      </c>
      <c r="J320" s="1" t="s">
        <v>2515</v>
      </c>
      <c r="K320" s="1" t="s">
        <v>1951</v>
      </c>
      <c r="L320" s="1" t="b">
        <v>1</v>
      </c>
    </row>
    <row r="321" spans="1:12" ht="272.35000000000002" x14ac:dyDescent="0.5">
      <c r="A321" s="1" t="s">
        <v>3769</v>
      </c>
      <c r="B321" s="3" t="s">
        <v>1348</v>
      </c>
      <c r="C321" s="3" t="s">
        <v>1347</v>
      </c>
      <c r="D321" s="3" t="s">
        <v>1350</v>
      </c>
      <c r="E321" s="3" t="s">
        <v>920</v>
      </c>
      <c r="F321" s="26">
        <v>45474</v>
      </c>
      <c r="G321" s="1">
        <v>2024</v>
      </c>
      <c r="H321" s="1" t="s">
        <v>61</v>
      </c>
      <c r="I321" s="3" t="s">
        <v>3770</v>
      </c>
      <c r="J321" s="1" t="s">
        <v>2515</v>
      </c>
      <c r="K321" s="1" t="s">
        <v>1349</v>
      </c>
      <c r="L321" s="1" t="b">
        <v>1</v>
      </c>
    </row>
    <row r="322" spans="1:12" ht="401.35" x14ac:dyDescent="0.5">
      <c r="A322" s="1" t="s">
        <v>3771</v>
      </c>
      <c r="B322" s="3" t="s">
        <v>1996</v>
      </c>
      <c r="C322" s="3" t="s">
        <v>1995</v>
      </c>
      <c r="D322" s="3" t="s">
        <v>1998</v>
      </c>
      <c r="E322" s="3" t="s">
        <v>1002</v>
      </c>
      <c r="F322" s="26">
        <v>44621</v>
      </c>
      <c r="G322" s="1">
        <v>2022</v>
      </c>
      <c r="H322" s="1" t="s">
        <v>61</v>
      </c>
      <c r="I322" s="3" t="s">
        <v>3772</v>
      </c>
      <c r="J322" s="1" t="s">
        <v>2515</v>
      </c>
      <c r="K322" s="1" t="s">
        <v>1997</v>
      </c>
      <c r="L322" s="1" t="b">
        <v>1</v>
      </c>
    </row>
    <row r="323" spans="1:12" ht="200.7" x14ac:dyDescent="0.5">
      <c r="A323" s="1" t="s">
        <v>3773</v>
      </c>
      <c r="B323" s="3" t="s">
        <v>1060</v>
      </c>
      <c r="C323" s="3" t="s">
        <v>1059</v>
      </c>
      <c r="D323" s="3" t="s">
        <v>1062</v>
      </c>
      <c r="E323" s="3" t="s">
        <v>996</v>
      </c>
      <c r="F323" s="26">
        <v>45474</v>
      </c>
      <c r="G323" s="1">
        <v>2024</v>
      </c>
      <c r="H323" s="1" t="s">
        <v>61</v>
      </c>
      <c r="I323" s="3" t="s">
        <v>3774</v>
      </c>
      <c r="J323" s="1" t="s">
        <v>2515</v>
      </c>
      <c r="K323" s="1" t="s">
        <v>1061</v>
      </c>
      <c r="L323" s="1" t="b">
        <v>1</v>
      </c>
    </row>
    <row r="324" spans="1:12" ht="372.7" x14ac:dyDescent="0.5">
      <c r="A324" s="1" t="s">
        <v>3775</v>
      </c>
      <c r="B324" s="3" t="s">
        <v>1615</v>
      </c>
      <c r="C324" s="3" t="s">
        <v>1614</v>
      </c>
      <c r="D324" s="3" t="s">
        <v>1618</v>
      </c>
      <c r="E324" s="3" t="s">
        <v>1616</v>
      </c>
      <c r="F324" s="26">
        <v>42495</v>
      </c>
      <c r="G324" s="1">
        <v>2016</v>
      </c>
      <c r="H324" s="1" t="s">
        <v>61</v>
      </c>
      <c r="I324" s="3" t="s">
        <v>3776</v>
      </c>
      <c r="J324" s="1" t="s">
        <v>2515</v>
      </c>
      <c r="K324" s="1" t="s">
        <v>1617</v>
      </c>
      <c r="L324" s="1" t="b">
        <v>1</v>
      </c>
    </row>
    <row r="325" spans="1:12" ht="200.7" x14ac:dyDescent="0.5">
      <c r="A325" s="1" t="s">
        <v>3777</v>
      </c>
      <c r="B325" s="3" t="s">
        <v>2327</v>
      </c>
      <c r="C325" s="3" t="s">
        <v>2326</v>
      </c>
      <c r="D325" s="3" t="s">
        <v>2329</v>
      </c>
      <c r="E325" s="3" t="s">
        <v>2227</v>
      </c>
      <c r="F325" s="26">
        <v>44835</v>
      </c>
      <c r="G325" s="1">
        <v>2022</v>
      </c>
      <c r="H325" s="1" t="s">
        <v>61</v>
      </c>
      <c r="I325" s="3" t="s">
        <v>3778</v>
      </c>
      <c r="J325" s="1" t="s">
        <v>2515</v>
      </c>
      <c r="K325" s="1" t="s">
        <v>2328</v>
      </c>
      <c r="L325" s="1" t="b">
        <v>1</v>
      </c>
    </row>
    <row r="326" spans="1:12" ht="114.7" x14ac:dyDescent="0.5">
      <c r="A326" s="1" t="s">
        <v>3779</v>
      </c>
      <c r="B326" s="3" t="s">
        <v>2151</v>
      </c>
      <c r="C326" s="3" t="s">
        <v>2150</v>
      </c>
      <c r="D326" s="3" t="s">
        <v>2153</v>
      </c>
      <c r="E326" s="3" t="s">
        <v>920</v>
      </c>
      <c r="F326" s="26">
        <v>43225</v>
      </c>
      <c r="G326" s="1">
        <v>2018</v>
      </c>
      <c r="H326" s="1" t="s">
        <v>61</v>
      </c>
      <c r="I326" s="3" t="s">
        <v>3780</v>
      </c>
      <c r="J326" s="1" t="s">
        <v>2515</v>
      </c>
      <c r="K326" s="1" t="s">
        <v>2152</v>
      </c>
      <c r="L326" s="1" t="b">
        <v>1</v>
      </c>
    </row>
    <row r="327" spans="1:12" ht="200.7" x14ac:dyDescent="0.5">
      <c r="A327" s="1" t="s">
        <v>3781</v>
      </c>
      <c r="B327" s="3" t="s">
        <v>2039</v>
      </c>
      <c r="C327" s="3" t="s">
        <v>2038</v>
      </c>
      <c r="D327" s="3" t="s">
        <v>2041</v>
      </c>
      <c r="E327" s="3" t="s">
        <v>1015</v>
      </c>
      <c r="F327" s="26">
        <v>43952</v>
      </c>
      <c r="G327" s="1">
        <v>2020</v>
      </c>
      <c r="H327" s="1" t="s">
        <v>61</v>
      </c>
      <c r="I327" s="3" t="s">
        <v>3782</v>
      </c>
      <c r="J327" s="1" t="s">
        <v>2515</v>
      </c>
      <c r="K327" s="1" t="s">
        <v>2040</v>
      </c>
      <c r="L327" s="1" t="b">
        <v>1</v>
      </c>
    </row>
    <row r="328" spans="1:12" ht="344" x14ac:dyDescent="0.5">
      <c r="A328" s="1" t="s">
        <v>3783</v>
      </c>
      <c r="B328" s="3" t="s">
        <v>2339</v>
      </c>
      <c r="C328" s="3" t="s">
        <v>2338</v>
      </c>
      <c r="D328" s="3" t="s">
        <v>2341</v>
      </c>
      <c r="E328" s="3" t="s">
        <v>928</v>
      </c>
      <c r="F328" s="26">
        <v>43770</v>
      </c>
      <c r="G328" s="1">
        <v>2019</v>
      </c>
      <c r="H328" s="1" t="s">
        <v>61</v>
      </c>
      <c r="I328" s="3" t="s">
        <v>3784</v>
      </c>
      <c r="J328" s="1" t="s">
        <v>2515</v>
      </c>
      <c r="K328" s="1" t="s">
        <v>2340</v>
      </c>
      <c r="L328" s="1" t="b">
        <v>1</v>
      </c>
    </row>
    <row r="329" spans="1:12" ht="186.35" x14ac:dyDescent="0.5">
      <c r="A329" s="1" t="s">
        <v>3785</v>
      </c>
      <c r="B329" s="3" t="s">
        <v>1620</v>
      </c>
      <c r="C329" s="3" t="s">
        <v>1619</v>
      </c>
      <c r="D329" s="3" t="s">
        <v>1622</v>
      </c>
      <c r="E329" s="3" t="s">
        <v>935</v>
      </c>
      <c r="F329" s="26">
        <v>45474</v>
      </c>
      <c r="G329" s="1">
        <v>2024</v>
      </c>
      <c r="H329" s="1" t="s">
        <v>61</v>
      </c>
      <c r="I329" s="3" t="s">
        <v>3786</v>
      </c>
      <c r="J329" s="1" t="s">
        <v>2515</v>
      </c>
      <c r="K329" s="1" t="s">
        <v>1621</v>
      </c>
      <c r="L329" s="1" t="b">
        <v>1</v>
      </c>
    </row>
    <row r="330" spans="1:12" ht="329.7" x14ac:dyDescent="0.5">
      <c r="A330" s="1" t="s">
        <v>3787</v>
      </c>
      <c r="B330" s="3" t="s">
        <v>1673</v>
      </c>
      <c r="C330" s="3" t="s">
        <v>1672</v>
      </c>
      <c r="D330" s="3" t="s">
        <v>1675</v>
      </c>
      <c r="E330" s="3" t="s">
        <v>996</v>
      </c>
      <c r="F330" s="26">
        <v>44986</v>
      </c>
      <c r="G330" s="1">
        <v>2023</v>
      </c>
      <c r="H330" s="1" t="s">
        <v>61</v>
      </c>
      <c r="I330" s="3" t="s">
        <v>3788</v>
      </c>
      <c r="J330" s="1" t="s">
        <v>2515</v>
      </c>
      <c r="K330" s="1" t="s">
        <v>1674</v>
      </c>
      <c r="L330" s="1" t="b">
        <v>1</v>
      </c>
    </row>
    <row r="331" spans="1:12" ht="315.35000000000002" x14ac:dyDescent="0.5">
      <c r="A331" s="1" t="s">
        <v>3789</v>
      </c>
      <c r="B331" s="3" t="s">
        <v>1091</v>
      </c>
      <c r="C331" s="3" t="s">
        <v>1090</v>
      </c>
      <c r="D331" s="3" t="s">
        <v>1093</v>
      </c>
      <c r="E331" s="3" t="s">
        <v>985</v>
      </c>
      <c r="F331" s="26">
        <v>40269</v>
      </c>
      <c r="G331" s="1">
        <v>2010</v>
      </c>
      <c r="H331" s="1" t="s">
        <v>61</v>
      </c>
      <c r="I331" s="3" t="s">
        <v>123</v>
      </c>
      <c r="J331" s="1" t="s">
        <v>2515</v>
      </c>
      <c r="K331" s="1" t="s">
        <v>1092</v>
      </c>
      <c r="L331" s="1" t="b">
        <v>1</v>
      </c>
    </row>
    <row r="332" spans="1:12" ht="372.7" x14ac:dyDescent="0.5">
      <c r="A332" s="1" t="s">
        <v>3790</v>
      </c>
      <c r="B332" s="3" t="s">
        <v>1165</v>
      </c>
      <c r="C332" s="3" t="s">
        <v>1164</v>
      </c>
      <c r="D332" s="3" t="s">
        <v>1168</v>
      </c>
      <c r="E332" s="3" t="s">
        <v>1166</v>
      </c>
      <c r="F332" s="26">
        <v>43845</v>
      </c>
      <c r="G332" s="1">
        <v>2020</v>
      </c>
      <c r="H332" s="1" t="s">
        <v>61</v>
      </c>
      <c r="I332" s="3" t="s">
        <v>3791</v>
      </c>
      <c r="J332" s="1" t="s">
        <v>2515</v>
      </c>
      <c r="K332" s="1" t="s">
        <v>1167</v>
      </c>
      <c r="L332" s="1" t="b">
        <v>1</v>
      </c>
    </row>
    <row r="333" spans="1:12" ht="258" x14ac:dyDescent="0.5">
      <c r="A333" s="1" t="s">
        <v>3792</v>
      </c>
      <c r="B333" s="3" t="s">
        <v>1081</v>
      </c>
      <c r="C333" s="3" t="s">
        <v>1080</v>
      </c>
      <c r="D333" s="3" t="s">
        <v>1084</v>
      </c>
      <c r="E333" s="3" t="s">
        <v>1082</v>
      </c>
      <c r="F333" s="26">
        <v>44562</v>
      </c>
      <c r="G333" s="1">
        <v>2022</v>
      </c>
      <c r="H333" s="1" t="s">
        <v>61</v>
      </c>
      <c r="I333" s="3" t="s">
        <v>3793</v>
      </c>
      <c r="J333" s="1" t="s">
        <v>2515</v>
      </c>
      <c r="K333" s="1" t="s">
        <v>1083</v>
      </c>
      <c r="L333" s="1" t="b">
        <v>1</v>
      </c>
    </row>
    <row r="334" spans="1:12" ht="286.7" x14ac:dyDescent="0.5">
      <c r="A334" s="1" t="s">
        <v>3794</v>
      </c>
      <c r="B334" s="3" t="s">
        <v>1669</v>
      </c>
      <c r="C334" s="3" t="s">
        <v>1668</v>
      </c>
      <c r="D334" s="3" t="s">
        <v>1671</v>
      </c>
      <c r="E334" s="3" t="s">
        <v>942</v>
      </c>
      <c r="F334" s="26">
        <v>45343</v>
      </c>
      <c r="G334" s="1">
        <v>2024</v>
      </c>
      <c r="H334" s="1" t="s">
        <v>61</v>
      </c>
      <c r="I334" s="3" t="s">
        <v>3795</v>
      </c>
      <c r="J334" s="1" t="s">
        <v>2515</v>
      </c>
      <c r="K334" s="1" t="s">
        <v>1670</v>
      </c>
      <c r="L334" s="1" t="b">
        <v>1</v>
      </c>
    </row>
    <row r="335" spans="1:12" ht="243.7" x14ac:dyDescent="0.5">
      <c r="A335" s="1" t="s">
        <v>3796</v>
      </c>
      <c r="B335" s="3" t="s">
        <v>1888</v>
      </c>
      <c r="C335" s="3" t="s">
        <v>1887</v>
      </c>
      <c r="D335" s="3" t="s">
        <v>1890</v>
      </c>
      <c r="E335" s="3" t="s">
        <v>936</v>
      </c>
      <c r="F335" s="26">
        <v>44896</v>
      </c>
      <c r="G335" s="1">
        <v>2022</v>
      </c>
      <c r="H335" s="1" t="s">
        <v>61</v>
      </c>
      <c r="I335" s="3" t="s">
        <v>3797</v>
      </c>
      <c r="J335" s="1" t="s">
        <v>2515</v>
      </c>
      <c r="K335" s="1" t="s">
        <v>1889</v>
      </c>
      <c r="L335" s="1" t="b">
        <v>1</v>
      </c>
    </row>
    <row r="336" spans="1:12" ht="329.7" x14ac:dyDescent="0.5">
      <c r="A336" s="1" t="s">
        <v>3798</v>
      </c>
      <c r="B336" s="3" t="s">
        <v>1257</v>
      </c>
      <c r="C336" s="3" t="s">
        <v>1256</v>
      </c>
      <c r="D336" s="3" t="s">
        <v>1259</v>
      </c>
      <c r="E336" s="3" t="s">
        <v>997</v>
      </c>
      <c r="F336" s="26">
        <v>43040</v>
      </c>
      <c r="G336" s="1">
        <v>2017</v>
      </c>
      <c r="H336" s="1" t="s">
        <v>61</v>
      </c>
      <c r="I336" s="3" t="s">
        <v>3799</v>
      </c>
      <c r="J336" s="1" t="s">
        <v>2515</v>
      </c>
      <c r="K336" s="1" t="s">
        <v>1258</v>
      </c>
      <c r="L336" s="1" t="b">
        <v>1</v>
      </c>
    </row>
    <row r="337" spans="1:12" ht="157.69999999999999" x14ac:dyDescent="0.5">
      <c r="A337" s="1" t="s">
        <v>3800</v>
      </c>
      <c r="B337" s="3" t="s">
        <v>1926</v>
      </c>
      <c r="C337" s="3" t="s">
        <v>1925</v>
      </c>
      <c r="D337" s="3" t="s">
        <v>1928</v>
      </c>
      <c r="E337" s="3" t="s">
        <v>942</v>
      </c>
      <c r="F337" s="26">
        <v>44331</v>
      </c>
      <c r="G337" s="1">
        <v>2021</v>
      </c>
      <c r="H337" s="1" t="s">
        <v>61</v>
      </c>
      <c r="I337" s="3" t="s">
        <v>3801</v>
      </c>
      <c r="J337" s="1" t="s">
        <v>2515</v>
      </c>
      <c r="K337" s="1" t="s">
        <v>1927</v>
      </c>
      <c r="L337" s="1" t="b">
        <v>1</v>
      </c>
    </row>
    <row r="338" spans="1:12" ht="200.7" x14ac:dyDescent="0.5">
      <c r="A338" s="1" t="s">
        <v>3802</v>
      </c>
      <c r="B338" s="3" t="s">
        <v>2372</v>
      </c>
      <c r="C338" s="3" t="s">
        <v>2371</v>
      </c>
      <c r="D338" s="3" t="s">
        <v>2374</v>
      </c>
      <c r="E338" s="3" t="s">
        <v>1015</v>
      </c>
      <c r="F338" s="26">
        <v>44348</v>
      </c>
      <c r="G338" s="1">
        <v>2021</v>
      </c>
      <c r="H338" s="1" t="s">
        <v>61</v>
      </c>
      <c r="I338" s="3" t="s">
        <v>3803</v>
      </c>
      <c r="J338" s="1" t="s">
        <v>2515</v>
      </c>
      <c r="K338" s="1" t="s">
        <v>2373</v>
      </c>
      <c r="L338" s="1" t="b">
        <v>1</v>
      </c>
    </row>
    <row r="339" spans="1:12" ht="229.35" x14ac:dyDescent="0.5">
      <c r="A339" s="1" t="s">
        <v>3804</v>
      </c>
      <c r="B339" s="3" t="s">
        <v>1987</v>
      </c>
      <c r="C339" s="3" t="s">
        <v>1986</v>
      </c>
      <c r="D339" s="3" t="s">
        <v>1989</v>
      </c>
      <c r="E339" s="3" t="s">
        <v>939</v>
      </c>
      <c r="F339" s="26">
        <v>43282</v>
      </c>
      <c r="G339" s="1">
        <v>2018</v>
      </c>
      <c r="H339" s="1" t="s">
        <v>61</v>
      </c>
      <c r="I339" s="3" t="s">
        <v>3805</v>
      </c>
      <c r="J339" s="1" t="s">
        <v>2515</v>
      </c>
      <c r="K339" s="1" t="s">
        <v>1988</v>
      </c>
      <c r="L339" s="1" t="b">
        <v>1</v>
      </c>
    </row>
    <row r="340" spans="1:12" ht="200.7" x14ac:dyDescent="0.5">
      <c r="A340" s="1" t="s">
        <v>3806</v>
      </c>
      <c r="B340" s="3" t="s">
        <v>1594</v>
      </c>
      <c r="C340" s="3" t="s">
        <v>1593</v>
      </c>
      <c r="D340" s="3" t="s">
        <v>1597</v>
      </c>
      <c r="E340" s="3" t="s">
        <v>1595</v>
      </c>
      <c r="F340" s="26">
        <v>41518</v>
      </c>
      <c r="G340" s="1">
        <v>2013</v>
      </c>
      <c r="H340" s="1" t="s">
        <v>61</v>
      </c>
      <c r="I340" s="3" t="s">
        <v>3807</v>
      </c>
      <c r="J340" s="1" t="s">
        <v>2515</v>
      </c>
      <c r="K340" s="1" t="s">
        <v>1596</v>
      </c>
      <c r="L340" s="1" t="b">
        <v>1</v>
      </c>
    </row>
    <row r="341" spans="1:12" ht="215" x14ac:dyDescent="0.5">
      <c r="A341" s="1" t="s">
        <v>3808</v>
      </c>
      <c r="B341" s="3" t="s">
        <v>2139</v>
      </c>
      <c r="C341" s="3" t="s">
        <v>2138</v>
      </c>
      <c r="D341" s="3" t="s">
        <v>2141</v>
      </c>
      <c r="E341" s="3" t="s">
        <v>1014</v>
      </c>
      <c r="F341" s="26">
        <v>42887</v>
      </c>
      <c r="G341" s="1">
        <v>2017</v>
      </c>
      <c r="H341" s="1" t="s">
        <v>61</v>
      </c>
      <c r="I341" s="3" t="s">
        <v>3809</v>
      </c>
      <c r="J341" s="1" t="s">
        <v>2515</v>
      </c>
      <c r="K341" s="1" t="s">
        <v>2140</v>
      </c>
      <c r="L341" s="1" t="b">
        <v>1</v>
      </c>
    </row>
    <row r="342" spans="1:12" ht="229.35" x14ac:dyDescent="0.5">
      <c r="A342" s="1" t="s">
        <v>3810</v>
      </c>
      <c r="B342" s="3" t="s">
        <v>2047</v>
      </c>
      <c r="C342" s="3" t="s">
        <v>2046</v>
      </c>
      <c r="D342" s="3" t="s">
        <v>2049</v>
      </c>
      <c r="E342" s="3" t="s">
        <v>939</v>
      </c>
      <c r="F342" s="26">
        <v>44652</v>
      </c>
      <c r="G342" s="1">
        <v>2022</v>
      </c>
      <c r="H342" s="1" t="s">
        <v>61</v>
      </c>
      <c r="I342" s="3" t="s">
        <v>3811</v>
      </c>
      <c r="J342" s="1" t="s">
        <v>2515</v>
      </c>
      <c r="K342" s="1" t="s">
        <v>2048</v>
      </c>
      <c r="L342" s="1" t="b">
        <v>1</v>
      </c>
    </row>
    <row r="343" spans="1:12" ht="258" x14ac:dyDescent="0.5">
      <c r="A343" s="1" t="s">
        <v>3812</v>
      </c>
      <c r="B343" s="3" t="s">
        <v>2409</v>
      </c>
      <c r="C343" s="3" t="s">
        <v>2408</v>
      </c>
      <c r="D343" s="3" t="s">
        <v>2411</v>
      </c>
      <c r="E343" s="3" t="s">
        <v>943</v>
      </c>
      <c r="F343" s="26">
        <v>42370</v>
      </c>
      <c r="G343" s="1">
        <v>2016</v>
      </c>
      <c r="H343" s="1" t="s">
        <v>61</v>
      </c>
      <c r="I343" s="3" t="s">
        <v>3813</v>
      </c>
      <c r="J343" s="1" t="s">
        <v>2515</v>
      </c>
      <c r="K343" s="1" t="s">
        <v>2410</v>
      </c>
      <c r="L343" s="1" t="b">
        <v>1</v>
      </c>
    </row>
    <row r="344" spans="1:12" ht="272.35000000000002" x14ac:dyDescent="0.5">
      <c r="A344" s="1" t="s">
        <v>3814</v>
      </c>
      <c r="B344" s="3" t="s">
        <v>1701</v>
      </c>
      <c r="C344" s="3" t="s">
        <v>1700</v>
      </c>
      <c r="D344" s="3" t="s">
        <v>1703</v>
      </c>
      <c r="E344" s="3" t="s">
        <v>1006</v>
      </c>
      <c r="F344" s="26">
        <v>44348</v>
      </c>
      <c r="G344" s="1">
        <v>2021</v>
      </c>
      <c r="H344" s="1" t="s">
        <v>61</v>
      </c>
      <c r="I344" s="3" t="s">
        <v>3815</v>
      </c>
      <c r="J344" s="1" t="s">
        <v>2515</v>
      </c>
      <c r="K344" s="1" t="s">
        <v>1702</v>
      </c>
      <c r="L344" s="1" t="b">
        <v>1</v>
      </c>
    </row>
    <row r="345" spans="1:12" ht="258" x14ac:dyDescent="0.5">
      <c r="A345" s="1" t="s">
        <v>3816</v>
      </c>
      <c r="B345" s="3" t="s">
        <v>1721</v>
      </c>
      <c r="C345" s="3" t="s">
        <v>1720</v>
      </c>
      <c r="D345" s="3" t="s">
        <v>1724</v>
      </c>
      <c r="E345" s="3" t="s">
        <v>1722</v>
      </c>
      <c r="F345" s="26">
        <v>44013</v>
      </c>
      <c r="G345" s="1">
        <v>2020</v>
      </c>
      <c r="H345" s="1" t="s">
        <v>61</v>
      </c>
      <c r="I345" s="3" t="s">
        <v>3817</v>
      </c>
      <c r="J345" s="1" t="s">
        <v>2515</v>
      </c>
      <c r="K345" s="1" t="s">
        <v>1723</v>
      </c>
      <c r="L345" s="1" t="b">
        <v>1</v>
      </c>
    </row>
    <row r="346" spans="1:12" ht="229.35" x14ac:dyDescent="0.5">
      <c r="A346" s="1" t="s">
        <v>3818</v>
      </c>
      <c r="B346" s="3" t="s">
        <v>1403</v>
      </c>
      <c r="C346" s="3" t="s">
        <v>1402</v>
      </c>
      <c r="D346" s="3" t="s">
        <v>1405</v>
      </c>
      <c r="E346" s="3" t="s">
        <v>1014</v>
      </c>
      <c r="F346" s="26">
        <v>43800</v>
      </c>
      <c r="G346" s="1">
        <v>2019</v>
      </c>
      <c r="H346" s="1" t="s">
        <v>61</v>
      </c>
      <c r="I346" s="3" t="s">
        <v>3819</v>
      </c>
      <c r="J346" s="1" t="s">
        <v>2515</v>
      </c>
      <c r="K346" s="1" t="s">
        <v>1404</v>
      </c>
      <c r="L346" s="1" t="b">
        <v>1</v>
      </c>
    </row>
    <row r="347" spans="1:12" ht="387" x14ac:dyDescent="0.5">
      <c r="A347" s="1" t="s">
        <v>3820</v>
      </c>
      <c r="B347" s="3" t="s">
        <v>1764</v>
      </c>
      <c r="C347" s="3" t="s">
        <v>1763</v>
      </c>
      <c r="D347" s="3" t="s">
        <v>1766</v>
      </c>
      <c r="E347" s="3" t="s">
        <v>1171</v>
      </c>
      <c r="F347" s="26">
        <v>45292</v>
      </c>
      <c r="G347" s="1">
        <v>2024</v>
      </c>
      <c r="H347" s="1" t="s">
        <v>61</v>
      </c>
      <c r="I347" s="3" t="s">
        <v>3821</v>
      </c>
      <c r="J347" s="1" t="s">
        <v>2515</v>
      </c>
      <c r="K347" s="1" t="s">
        <v>1765</v>
      </c>
      <c r="L347" s="1" t="b">
        <v>1</v>
      </c>
    </row>
    <row r="348" spans="1:12" ht="358.35" x14ac:dyDescent="0.5">
      <c r="A348" s="1" t="s">
        <v>3822</v>
      </c>
      <c r="B348" s="3" t="s">
        <v>1373</v>
      </c>
      <c r="C348" s="3" t="s">
        <v>1372</v>
      </c>
      <c r="D348" s="3" t="s">
        <v>1375</v>
      </c>
      <c r="E348" s="3" t="s">
        <v>954</v>
      </c>
      <c r="F348" s="26">
        <v>41537</v>
      </c>
      <c r="G348" s="1">
        <v>2013</v>
      </c>
      <c r="H348" s="1" t="s">
        <v>61</v>
      </c>
      <c r="I348" s="3" t="s">
        <v>3823</v>
      </c>
      <c r="J348" s="1" t="s">
        <v>2515</v>
      </c>
      <c r="K348" s="1" t="s">
        <v>1374</v>
      </c>
      <c r="L348" s="1" t="b">
        <v>1</v>
      </c>
    </row>
    <row r="349" spans="1:12" ht="243.7" x14ac:dyDescent="0.5">
      <c r="A349" s="1" t="s">
        <v>3824</v>
      </c>
      <c r="B349" s="3" t="s">
        <v>1291</v>
      </c>
      <c r="C349" s="3" t="s">
        <v>1290</v>
      </c>
      <c r="D349" s="3" t="s">
        <v>1293</v>
      </c>
      <c r="E349" s="3" t="s">
        <v>1009</v>
      </c>
      <c r="F349" s="26">
        <v>44089</v>
      </c>
      <c r="G349" s="1">
        <v>2020</v>
      </c>
      <c r="H349" s="1" t="s">
        <v>61</v>
      </c>
      <c r="I349" s="3" t="s">
        <v>3825</v>
      </c>
      <c r="J349" s="1" t="s">
        <v>2515</v>
      </c>
      <c r="K349" s="1" t="s">
        <v>1292</v>
      </c>
      <c r="L349" s="1" t="b">
        <v>1</v>
      </c>
    </row>
    <row r="350" spans="1:12" ht="344" x14ac:dyDescent="0.5">
      <c r="A350" s="1" t="s">
        <v>3826</v>
      </c>
      <c r="B350" s="3" t="s">
        <v>1421</v>
      </c>
      <c r="C350" s="3" t="s">
        <v>1420</v>
      </c>
      <c r="D350" s="3" t="s">
        <v>1424</v>
      </c>
      <c r="E350" s="3" t="s">
        <v>1422</v>
      </c>
      <c r="F350" s="26">
        <v>42767</v>
      </c>
      <c r="G350" s="1">
        <v>2017</v>
      </c>
      <c r="H350" s="1" t="s">
        <v>61</v>
      </c>
      <c r="I350" s="3" t="s">
        <v>3827</v>
      </c>
      <c r="J350" s="1" t="s">
        <v>2515</v>
      </c>
      <c r="K350" s="1" t="s">
        <v>1423</v>
      </c>
      <c r="L350" s="1" t="b">
        <v>1</v>
      </c>
    </row>
    <row r="351" spans="1:12" ht="272.35000000000002" x14ac:dyDescent="0.5">
      <c r="A351" s="1" t="s">
        <v>3828</v>
      </c>
      <c r="B351" s="3" t="s">
        <v>2218</v>
      </c>
      <c r="C351" s="3" t="s">
        <v>2217</v>
      </c>
      <c r="D351" s="3" t="s">
        <v>2220</v>
      </c>
      <c r="E351" s="3" t="s">
        <v>928</v>
      </c>
      <c r="F351" s="26">
        <v>44013</v>
      </c>
      <c r="G351" s="1">
        <v>2020</v>
      </c>
      <c r="H351" s="1" t="s">
        <v>61</v>
      </c>
      <c r="I351" s="3" t="s">
        <v>3829</v>
      </c>
      <c r="J351" s="1" t="s">
        <v>2515</v>
      </c>
      <c r="K351" s="1" t="s">
        <v>2219</v>
      </c>
      <c r="L351" s="1" t="b">
        <v>1</v>
      </c>
    </row>
    <row r="352" spans="1:12" ht="243.7" x14ac:dyDescent="0.5">
      <c r="A352" s="1" t="s">
        <v>3830</v>
      </c>
      <c r="B352" s="3" t="s">
        <v>1979</v>
      </c>
      <c r="C352" s="3" t="s">
        <v>1978</v>
      </c>
      <c r="D352" s="3" t="s">
        <v>1981</v>
      </c>
      <c r="E352" s="3" t="s">
        <v>941</v>
      </c>
      <c r="F352" s="26">
        <v>45214</v>
      </c>
      <c r="G352" s="1">
        <v>2023</v>
      </c>
      <c r="H352" s="1" t="s">
        <v>61</v>
      </c>
      <c r="I352" s="3" t="s">
        <v>3831</v>
      </c>
      <c r="J352" s="1" t="s">
        <v>2515</v>
      </c>
      <c r="K352" s="1" t="s">
        <v>1980</v>
      </c>
      <c r="L352" s="1" t="b">
        <v>1</v>
      </c>
    </row>
    <row r="353" spans="1:12" ht="272.35000000000002" x14ac:dyDescent="0.5">
      <c r="A353" s="1" t="s">
        <v>3832</v>
      </c>
      <c r="B353" s="3" t="s">
        <v>2030</v>
      </c>
      <c r="C353" s="3" t="s">
        <v>2029</v>
      </c>
      <c r="D353" s="3" t="s">
        <v>2032</v>
      </c>
      <c r="E353" s="3" t="s">
        <v>918</v>
      </c>
      <c r="F353" s="26">
        <v>45427</v>
      </c>
      <c r="G353" s="1">
        <v>2024</v>
      </c>
      <c r="H353" s="1" t="s">
        <v>61</v>
      </c>
      <c r="I353" s="3" t="s">
        <v>3833</v>
      </c>
      <c r="J353" s="1" t="s">
        <v>2515</v>
      </c>
      <c r="K353" s="1" t="s">
        <v>2031</v>
      </c>
      <c r="L353" s="1" t="b">
        <v>1</v>
      </c>
    </row>
    <row r="354" spans="1:12" ht="186.35" x14ac:dyDescent="0.5">
      <c r="A354" s="1" t="s">
        <v>3834</v>
      </c>
      <c r="B354" s="3" t="s">
        <v>1507</v>
      </c>
      <c r="C354" s="3" t="s">
        <v>1506</v>
      </c>
      <c r="D354" s="3" t="s">
        <v>1509</v>
      </c>
      <c r="E354" s="3" t="s">
        <v>953</v>
      </c>
      <c r="F354" s="26">
        <v>45017</v>
      </c>
      <c r="G354" s="1">
        <v>2023</v>
      </c>
      <c r="H354" s="1" t="s">
        <v>61</v>
      </c>
      <c r="I354" s="3" t="s">
        <v>3835</v>
      </c>
      <c r="J354" s="1" t="s">
        <v>2515</v>
      </c>
      <c r="K354" s="1" t="s">
        <v>1508</v>
      </c>
      <c r="L354" s="1" t="b">
        <v>1</v>
      </c>
    </row>
    <row r="355" spans="1:12" ht="258" x14ac:dyDescent="0.5">
      <c r="A355" s="1" t="s">
        <v>3836</v>
      </c>
      <c r="B355" s="3" t="s">
        <v>988</v>
      </c>
      <c r="C355" s="3" t="s">
        <v>989</v>
      </c>
      <c r="D355" s="3" t="s">
        <v>986</v>
      </c>
      <c r="E355" s="3" t="s">
        <v>985</v>
      </c>
      <c r="F355" s="26">
        <v>45474</v>
      </c>
      <c r="G355" s="1">
        <v>2024</v>
      </c>
      <c r="H355" s="1" t="s">
        <v>61</v>
      </c>
      <c r="I355" s="3" t="s">
        <v>3837</v>
      </c>
      <c r="J355" s="1" t="s">
        <v>2515</v>
      </c>
      <c r="K355" s="1" t="s">
        <v>987</v>
      </c>
      <c r="L355" s="1" t="b">
        <v>1</v>
      </c>
    </row>
    <row r="356" spans="1:12" ht="301" x14ac:dyDescent="0.5">
      <c r="A356" s="1" t="s">
        <v>3838</v>
      </c>
      <c r="B356" s="3" t="s">
        <v>2076</v>
      </c>
      <c r="C356" s="3" t="s">
        <v>2075</v>
      </c>
      <c r="D356" s="3" t="s">
        <v>2078</v>
      </c>
      <c r="E356" s="3" t="s">
        <v>920</v>
      </c>
      <c r="F356" s="26">
        <v>41791</v>
      </c>
      <c r="G356" s="1">
        <v>2014</v>
      </c>
      <c r="H356" s="1" t="s">
        <v>61</v>
      </c>
      <c r="I356" s="3" t="s">
        <v>3839</v>
      </c>
      <c r="J356" s="1" t="s">
        <v>2515</v>
      </c>
      <c r="K356" s="1" t="s">
        <v>2077</v>
      </c>
      <c r="L356" s="1" t="b">
        <v>1</v>
      </c>
    </row>
    <row r="357" spans="1:12" ht="229.35" x14ac:dyDescent="0.5">
      <c r="A357" s="1" t="s">
        <v>3840</v>
      </c>
      <c r="B357" s="3" t="s">
        <v>1820</v>
      </c>
      <c r="C357" s="3" t="s">
        <v>1819</v>
      </c>
      <c r="D357" s="3" t="s">
        <v>1822</v>
      </c>
      <c r="E357" s="3" t="s">
        <v>996</v>
      </c>
      <c r="F357" s="26">
        <v>44713</v>
      </c>
      <c r="G357" s="1">
        <v>2022</v>
      </c>
      <c r="H357" s="1" t="s">
        <v>61</v>
      </c>
      <c r="I357" s="3" t="s">
        <v>3841</v>
      </c>
      <c r="J357" s="1" t="s">
        <v>2515</v>
      </c>
      <c r="K357" s="1" t="s">
        <v>1821</v>
      </c>
      <c r="L357" s="1" t="b">
        <v>1</v>
      </c>
    </row>
    <row r="358" spans="1:12" ht="272.35000000000002" x14ac:dyDescent="0.5">
      <c r="A358" s="1" t="s">
        <v>3842</v>
      </c>
      <c r="B358" s="3" t="s">
        <v>2122</v>
      </c>
      <c r="C358" s="3" t="s">
        <v>2121</v>
      </c>
      <c r="D358" s="3" t="s">
        <v>2124</v>
      </c>
      <c r="E358" s="3" t="s">
        <v>950</v>
      </c>
      <c r="F358" s="26">
        <v>43539</v>
      </c>
      <c r="G358" s="1">
        <v>2019</v>
      </c>
      <c r="H358" s="1" t="s">
        <v>61</v>
      </c>
      <c r="I358" s="3" t="s">
        <v>3843</v>
      </c>
      <c r="J358" s="1" t="s">
        <v>2515</v>
      </c>
      <c r="K358" s="1" t="s">
        <v>2123</v>
      </c>
      <c r="L358" s="1" t="b">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BA4D-F12B-4BF9-96B7-3D69119B736F}">
  <sheetPr codeName="Sheet23"/>
  <dimension ref="A1:L126"/>
  <sheetViews>
    <sheetView zoomScaleNormal="100" workbookViewId="0"/>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15" x14ac:dyDescent="0.5">
      <c r="A2" s="1" t="s">
        <v>2922</v>
      </c>
      <c r="B2" s="3" t="s">
        <v>51</v>
      </c>
      <c r="C2" s="3" t="s">
        <v>640</v>
      </c>
      <c r="D2" s="3" t="s">
        <v>52</v>
      </c>
      <c r="E2" s="3" t="s">
        <v>53</v>
      </c>
      <c r="F2" s="26">
        <v>41671</v>
      </c>
      <c r="G2" s="1">
        <v>2014</v>
      </c>
      <c r="H2" s="1" t="s">
        <v>61</v>
      </c>
      <c r="I2" s="3" t="s">
        <v>2923</v>
      </c>
      <c r="J2" s="1" t="s">
        <v>2515</v>
      </c>
      <c r="K2" s="1" t="s">
        <v>54</v>
      </c>
      <c r="L2" s="1" t="b">
        <v>1</v>
      </c>
    </row>
    <row r="3" spans="1:12" ht="286.7" x14ac:dyDescent="0.5">
      <c r="A3" s="1" t="s">
        <v>2621</v>
      </c>
      <c r="B3" s="3" t="s">
        <v>131</v>
      </c>
      <c r="C3" s="3" t="s">
        <v>641</v>
      </c>
      <c r="D3" s="3" t="s">
        <v>301</v>
      </c>
      <c r="E3" s="3" t="s">
        <v>132</v>
      </c>
      <c r="F3" s="26">
        <v>44075</v>
      </c>
      <c r="G3" s="1">
        <v>2020</v>
      </c>
      <c r="H3" s="1" t="s">
        <v>61</v>
      </c>
      <c r="I3" s="3" t="s">
        <v>2622</v>
      </c>
      <c r="J3" s="1" t="s">
        <v>642</v>
      </c>
      <c r="K3" s="1" t="s">
        <v>133</v>
      </c>
      <c r="L3" s="1" t="b">
        <v>1</v>
      </c>
    </row>
    <row r="4" spans="1:12" ht="215" x14ac:dyDescent="0.5">
      <c r="A4" s="1" t="s">
        <v>3265</v>
      </c>
      <c r="B4" s="3" t="s">
        <v>156</v>
      </c>
      <c r="C4" s="3" t="s">
        <v>643</v>
      </c>
      <c r="D4" s="3" t="s">
        <v>258</v>
      </c>
      <c r="E4" s="3" t="s">
        <v>157</v>
      </c>
      <c r="F4" s="26">
        <v>42614</v>
      </c>
      <c r="G4" s="1">
        <v>2016</v>
      </c>
      <c r="H4" s="1" t="s">
        <v>61</v>
      </c>
      <c r="I4" s="3" t="s">
        <v>3266</v>
      </c>
      <c r="J4" s="1" t="s">
        <v>642</v>
      </c>
      <c r="K4" s="1" t="s">
        <v>158</v>
      </c>
      <c r="L4" s="1" t="b">
        <v>1</v>
      </c>
    </row>
    <row r="5" spans="1:12" ht="315.35000000000002" x14ac:dyDescent="0.5">
      <c r="A5" s="1" t="s">
        <v>2521</v>
      </c>
      <c r="B5" s="3" t="s">
        <v>645</v>
      </c>
      <c r="C5" s="3" t="s">
        <v>644</v>
      </c>
      <c r="D5" s="3" t="s">
        <v>300</v>
      </c>
      <c r="E5" s="3" t="s">
        <v>169</v>
      </c>
      <c r="F5" s="26">
        <v>40544</v>
      </c>
      <c r="G5" s="1">
        <v>2011</v>
      </c>
      <c r="H5" s="1" t="s">
        <v>61</v>
      </c>
      <c r="I5" s="3" t="s">
        <v>2522</v>
      </c>
      <c r="J5" s="1" t="s">
        <v>642</v>
      </c>
      <c r="K5" s="1" t="s">
        <v>170</v>
      </c>
      <c r="L5" s="1" t="b">
        <v>1</v>
      </c>
    </row>
    <row r="6" spans="1:12" ht="329.7" x14ac:dyDescent="0.5">
      <c r="A6" s="1" t="s">
        <v>3267</v>
      </c>
      <c r="B6" s="3" t="s">
        <v>179</v>
      </c>
      <c r="C6" s="3" t="s">
        <v>646</v>
      </c>
      <c r="D6" s="3" t="s">
        <v>196</v>
      </c>
      <c r="E6" s="3" t="s">
        <v>180</v>
      </c>
      <c r="F6" s="26">
        <v>44531</v>
      </c>
      <c r="G6" s="1">
        <v>2021</v>
      </c>
      <c r="H6" s="1" t="s">
        <v>61</v>
      </c>
      <c r="I6" s="3" t="s">
        <v>3268</v>
      </c>
      <c r="J6" s="1" t="s">
        <v>642</v>
      </c>
      <c r="K6" s="1" t="s">
        <v>181</v>
      </c>
      <c r="L6" s="1" t="b">
        <v>1</v>
      </c>
    </row>
    <row r="7" spans="1:12" ht="172" x14ac:dyDescent="0.5">
      <c r="A7" s="1" t="s">
        <v>3269</v>
      </c>
      <c r="B7" s="3" t="s">
        <v>187</v>
      </c>
      <c r="C7" s="3" t="s">
        <v>647</v>
      </c>
      <c r="D7" s="3" t="s">
        <v>298</v>
      </c>
      <c r="E7" s="3" t="s">
        <v>188</v>
      </c>
      <c r="F7" s="26">
        <v>40768</v>
      </c>
      <c r="G7" s="1">
        <v>2011</v>
      </c>
      <c r="H7" s="1" t="s">
        <v>61</v>
      </c>
      <c r="I7" s="3" t="s">
        <v>3270</v>
      </c>
      <c r="J7" s="1" t="s">
        <v>642</v>
      </c>
      <c r="K7" s="1" t="s">
        <v>189</v>
      </c>
      <c r="L7" s="1" t="b">
        <v>1</v>
      </c>
    </row>
    <row r="8" spans="1:12" ht="229.35" x14ac:dyDescent="0.5">
      <c r="A8" s="1" t="s">
        <v>2637</v>
      </c>
      <c r="B8" s="3" t="s">
        <v>190</v>
      </c>
      <c r="C8" s="3" t="s">
        <v>648</v>
      </c>
      <c r="D8" s="3" t="s">
        <v>297</v>
      </c>
      <c r="E8" s="3" t="s">
        <v>191</v>
      </c>
      <c r="F8" s="26">
        <v>41699</v>
      </c>
      <c r="G8" s="1">
        <v>2014</v>
      </c>
      <c r="H8" s="1" t="s">
        <v>61</v>
      </c>
      <c r="I8" s="3" t="s">
        <v>2638</v>
      </c>
      <c r="J8" s="1" t="s">
        <v>642</v>
      </c>
      <c r="K8" s="1" t="s">
        <v>192</v>
      </c>
      <c r="L8" s="1" t="b">
        <v>1</v>
      </c>
    </row>
    <row r="9" spans="1:12" ht="258" x14ac:dyDescent="0.5">
      <c r="A9" s="1" t="s">
        <v>2689</v>
      </c>
      <c r="B9" s="3" t="s">
        <v>193</v>
      </c>
      <c r="C9" s="3" t="s">
        <v>649</v>
      </c>
      <c r="D9" s="3" t="s">
        <v>250</v>
      </c>
      <c r="E9" s="3" t="s">
        <v>194</v>
      </c>
      <c r="F9" s="26">
        <v>44652</v>
      </c>
      <c r="G9" s="1">
        <v>2022</v>
      </c>
      <c r="H9" s="1" t="s">
        <v>61</v>
      </c>
      <c r="I9" s="3" t="s">
        <v>2690</v>
      </c>
      <c r="J9" s="1" t="s">
        <v>642</v>
      </c>
      <c r="K9" s="1" t="s">
        <v>195</v>
      </c>
      <c r="L9" s="1" t="b">
        <v>1</v>
      </c>
    </row>
    <row r="10" spans="1:12" ht="100.35" x14ac:dyDescent="0.5">
      <c r="A10" s="1" t="s">
        <v>3271</v>
      </c>
      <c r="B10" s="3" t="s">
        <v>208</v>
      </c>
      <c r="C10" s="3" t="s">
        <v>650</v>
      </c>
      <c r="D10" s="3" t="s">
        <v>232</v>
      </c>
      <c r="E10" s="3" t="s">
        <v>209</v>
      </c>
      <c r="F10" s="26">
        <v>43617</v>
      </c>
      <c r="G10" s="1">
        <v>2019</v>
      </c>
      <c r="H10" s="1" t="s">
        <v>61</v>
      </c>
      <c r="I10" s="3" t="s">
        <v>3272</v>
      </c>
      <c r="J10" s="1" t="s">
        <v>642</v>
      </c>
      <c r="K10" s="1" t="s">
        <v>210</v>
      </c>
      <c r="L10" s="1" t="b">
        <v>1</v>
      </c>
    </row>
    <row r="11" spans="1:12" ht="229.35" x14ac:dyDescent="0.5">
      <c r="A11" s="1" t="s">
        <v>3273</v>
      </c>
      <c r="B11" s="3" t="s">
        <v>197</v>
      </c>
      <c r="C11" s="3" t="s">
        <v>651</v>
      </c>
      <c r="D11" s="3" t="s">
        <v>296</v>
      </c>
      <c r="E11" s="3" t="s">
        <v>198</v>
      </c>
      <c r="F11" s="26">
        <v>44734</v>
      </c>
      <c r="G11" s="1">
        <v>2022</v>
      </c>
      <c r="H11" s="1" t="s">
        <v>61</v>
      </c>
      <c r="I11" s="3" t="s">
        <v>3274</v>
      </c>
      <c r="J11" s="1" t="s">
        <v>642</v>
      </c>
      <c r="K11" s="1" t="s">
        <v>199</v>
      </c>
      <c r="L11" s="1" t="b">
        <v>1</v>
      </c>
    </row>
    <row r="12" spans="1:12" ht="229.35" x14ac:dyDescent="0.5">
      <c r="A12" s="1" t="s">
        <v>2765</v>
      </c>
      <c r="B12" s="3" t="s">
        <v>231</v>
      </c>
      <c r="C12" s="3" t="s">
        <v>652</v>
      </c>
      <c r="D12" s="3" t="s">
        <v>243</v>
      </c>
      <c r="E12" s="3" t="s">
        <v>233</v>
      </c>
      <c r="F12" s="26">
        <v>43435</v>
      </c>
      <c r="G12" s="1">
        <v>2018</v>
      </c>
      <c r="H12" s="1" t="s">
        <v>61</v>
      </c>
      <c r="I12" s="3" t="s">
        <v>2766</v>
      </c>
      <c r="J12" s="1" t="s">
        <v>642</v>
      </c>
      <c r="K12" s="1" t="s">
        <v>234</v>
      </c>
      <c r="L12" s="1" t="b">
        <v>1</v>
      </c>
    </row>
    <row r="13" spans="1:12" ht="258" x14ac:dyDescent="0.5">
      <c r="A13" s="1" t="s">
        <v>2669</v>
      </c>
      <c r="B13" s="3" t="s">
        <v>235</v>
      </c>
      <c r="C13" s="3" t="s">
        <v>653</v>
      </c>
      <c r="D13" s="3" t="s">
        <v>154</v>
      </c>
      <c r="E13" s="3" t="s">
        <v>91</v>
      </c>
      <c r="F13" s="26">
        <v>44593</v>
      </c>
      <c r="G13" s="1">
        <v>2022</v>
      </c>
      <c r="H13" s="1" t="s">
        <v>61</v>
      </c>
      <c r="I13" s="3" t="s">
        <v>2670</v>
      </c>
      <c r="J13" s="1" t="s">
        <v>642</v>
      </c>
      <c r="K13" s="1" t="s">
        <v>236</v>
      </c>
      <c r="L13" s="1" t="b">
        <v>1</v>
      </c>
    </row>
    <row r="14" spans="1:12" ht="172" x14ac:dyDescent="0.5">
      <c r="A14" s="1" t="s">
        <v>3275</v>
      </c>
      <c r="B14" s="3" t="s">
        <v>263</v>
      </c>
      <c r="C14" s="3" t="s">
        <v>654</v>
      </c>
      <c r="D14" s="3" t="s">
        <v>230</v>
      </c>
      <c r="E14" s="3" t="s">
        <v>264</v>
      </c>
      <c r="F14" s="26">
        <v>44831</v>
      </c>
      <c r="G14" s="1">
        <v>2022</v>
      </c>
      <c r="H14" s="1" t="s">
        <v>61</v>
      </c>
      <c r="I14" s="3" t="s">
        <v>3276</v>
      </c>
      <c r="J14" s="1" t="s">
        <v>642</v>
      </c>
      <c r="K14" s="1" t="s">
        <v>265</v>
      </c>
      <c r="L14" s="1" t="b">
        <v>1</v>
      </c>
    </row>
    <row r="15" spans="1:12" ht="329.7" x14ac:dyDescent="0.5">
      <c r="A15" s="1" t="s">
        <v>3277</v>
      </c>
      <c r="B15" s="3" t="s">
        <v>255</v>
      </c>
      <c r="C15" s="3" t="s">
        <v>655</v>
      </c>
      <c r="D15" s="3" t="s">
        <v>136</v>
      </c>
      <c r="E15" s="3" t="s">
        <v>256</v>
      </c>
      <c r="F15" s="26">
        <v>41487</v>
      </c>
      <c r="G15" s="1">
        <v>2013</v>
      </c>
      <c r="H15" s="1" t="s">
        <v>61</v>
      </c>
      <c r="I15" s="3" t="s">
        <v>3278</v>
      </c>
      <c r="J15" s="1" t="s">
        <v>642</v>
      </c>
      <c r="K15" s="1" t="s">
        <v>257</v>
      </c>
      <c r="L15" s="1" t="b">
        <v>1</v>
      </c>
    </row>
    <row r="16" spans="1:12" ht="172" x14ac:dyDescent="0.5">
      <c r="A16" s="1" t="s">
        <v>3279</v>
      </c>
      <c r="B16" s="3" t="s">
        <v>287</v>
      </c>
      <c r="C16" s="3" t="s">
        <v>656</v>
      </c>
      <c r="D16" s="3" t="s">
        <v>144</v>
      </c>
      <c r="E16" s="3" t="s">
        <v>155</v>
      </c>
      <c r="F16" s="26">
        <v>44805</v>
      </c>
      <c r="G16" s="1">
        <v>2022</v>
      </c>
      <c r="H16" s="1" t="s">
        <v>61</v>
      </c>
      <c r="I16" s="3" t="s">
        <v>3280</v>
      </c>
      <c r="J16" s="1" t="s">
        <v>642</v>
      </c>
      <c r="K16" s="1" t="s">
        <v>288</v>
      </c>
      <c r="L16" s="1" t="b">
        <v>1</v>
      </c>
    </row>
    <row r="17" spans="1:12" ht="258" x14ac:dyDescent="0.5">
      <c r="A17" s="1" t="s">
        <v>3281</v>
      </c>
      <c r="B17" s="3" t="s">
        <v>274</v>
      </c>
      <c r="C17" s="3" t="s">
        <v>657</v>
      </c>
      <c r="D17" s="3" t="s">
        <v>146</v>
      </c>
      <c r="E17" s="3" t="s">
        <v>163</v>
      </c>
      <c r="F17" s="26">
        <v>42370</v>
      </c>
      <c r="G17" s="1">
        <v>2016</v>
      </c>
      <c r="H17" s="1" t="s">
        <v>61</v>
      </c>
      <c r="I17" s="3" t="s">
        <v>3282</v>
      </c>
      <c r="J17" s="1" t="s">
        <v>2515</v>
      </c>
      <c r="K17" s="1" t="s">
        <v>275</v>
      </c>
      <c r="L17" s="1" t="b">
        <v>0</v>
      </c>
    </row>
    <row r="18" spans="1:12" ht="243.7" x14ac:dyDescent="0.5">
      <c r="A18" s="1" t="s">
        <v>3283</v>
      </c>
      <c r="B18" s="3" t="s">
        <v>237</v>
      </c>
      <c r="C18" s="3" t="s">
        <v>350</v>
      </c>
      <c r="D18" s="3" t="s">
        <v>248</v>
      </c>
      <c r="E18" s="3" t="s">
        <v>658</v>
      </c>
      <c r="F18" s="26">
        <v>42522</v>
      </c>
      <c r="G18" s="1">
        <v>2016</v>
      </c>
      <c r="H18" s="1" t="s">
        <v>61</v>
      </c>
      <c r="I18" s="3" t="s">
        <v>3284</v>
      </c>
      <c r="J18" s="1" t="s">
        <v>2515</v>
      </c>
      <c r="K18" s="1" t="s">
        <v>238</v>
      </c>
      <c r="L18" s="1" t="b">
        <v>0</v>
      </c>
    </row>
    <row r="19" spans="1:12" ht="243.7" x14ac:dyDescent="0.5">
      <c r="A19" s="1" t="s">
        <v>3285</v>
      </c>
      <c r="B19" s="3" t="s">
        <v>660</v>
      </c>
      <c r="C19" s="3" t="s">
        <v>659</v>
      </c>
      <c r="D19" s="3" t="s">
        <v>662</v>
      </c>
      <c r="E19" s="3" t="s">
        <v>163</v>
      </c>
      <c r="F19" s="26">
        <v>45323</v>
      </c>
      <c r="G19" s="1">
        <v>2024</v>
      </c>
      <c r="H19" s="1" t="s">
        <v>61</v>
      </c>
      <c r="I19" s="3" t="s">
        <v>3286</v>
      </c>
      <c r="J19" s="1" t="s">
        <v>2515</v>
      </c>
      <c r="K19" s="1" t="s">
        <v>661</v>
      </c>
      <c r="L19" s="1" t="b">
        <v>0</v>
      </c>
    </row>
    <row r="20" spans="1:12" ht="172" x14ac:dyDescent="0.5">
      <c r="A20" s="1" t="s">
        <v>3287</v>
      </c>
      <c r="B20" s="3" t="s">
        <v>664</v>
      </c>
      <c r="C20" s="3" t="s">
        <v>663</v>
      </c>
      <c r="D20" s="3" t="s">
        <v>666</v>
      </c>
      <c r="E20" s="3" t="s">
        <v>163</v>
      </c>
      <c r="F20" s="26">
        <v>45078</v>
      </c>
      <c r="G20" s="1">
        <v>2023</v>
      </c>
      <c r="H20" s="1" t="s">
        <v>61</v>
      </c>
      <c r="I20" s="3" t="s">
        <v>3288</v>
      </c>
      <c r="J20" s="1" t="s">
        <v>2515</v>
      </c>
      <c r="K20" s="1" t="s">
        <v>665</v>
      </c>
      <c r="L20" s="1" t="b">
        <v>0</v>
      </c>
    </row>
    <row r="21" spans="1:12" ht="272.35000000000002" x14ac:dyDescent="0.5">
      <c r="A21" s="1" t="s">
        <v>2789</v>
      </c>
      <c r="B21" s="3" t="s">
        <v>200</v>
      </c>
      <c r="C21" s="3" t="s">
        <v>667</v>
      </c>
      <c r="D21" s="3" t="s">
        <v>669</v>
      </c>
      <c r="E21" s="3" t="s">
        <v>668</v>
      </c>
      <c r="F21" s="26">
        <v>43009</v>
      </c>
      <c r="G21" s="1">
        <v>2017</v>
      </c>
      <c r="H21" s="1" t="s">
        <v>61</v>
      </c>
      <c r="I21" s="3" t="s">
        <v>123</v>
      </c>
      <c r="J21" s="1" t="s">
        <v>2515</v>
      </c>
      <c r="K21" s="1" t="s">
        <v>202</v>
      </c>
      <c r="L21" s="1" t="b">
        <v>0</v>
      </c>
    </row>
    <row r="22" spans="1:12" ht="344" x14ac:dyDescent="0.5">
      <c r="A22" s="1" t="s">
        <v>2782</v>
      </c>
      <c r="B22" s="3" t="s">
        <v>165</v>
      </c>
      <c r="C22" s="3" t="s">
        <v>670</v>
      </c>
      <c r="D22" s="3" t="s">
        <v>672</v>
      </c>
      <c r="E22" s="3" t="s">
        <v>671</v>
      </c>
      <c r="F22" s="26">
        <v>43586</v>
      </c>
      <c r="G22" s="1">
        <v>2019</v>
      </c>
      <c r="H22" s="1" t="s">
        <v>61</v>
      </c>
      <c r="I22" s="3" t="s">
        <v>123</v>
      </c>
      <c r="J22" s="1" t="s">
        <v>2515</v>
      </c>
      <c r="K22" s="1" t="s">
        <v>166</v>
      </c>
      <c r="L22" s="1" t="b">
        <v>0</v>
      </c>
    </row>
    <row r="23" spans="1:12" ht="258" x14ac:dyDescent="0.5">
      <c r="A23" s="1" t="s">
        <v>2547</v>
      </c>
      <c r="B23" s="3" t="s">
        <v>247</v>
      </c>
      <c r="C23" s="3" t="s">
        <v>673</v>
      </c>
      <c r="D23" s="3" t="s">
        <v>135</v>
      </c>
      <c r="E23" s="3" t="s">
        <v>674</v>
      </c>
      <c r="F23" s="26">
        <v>42644</v>
      </c>
      <c r="G23" s="1">
        <v>2016</v>
      </c>
      <c r="H23" s="1" t="s">
        <v>61</v>
      </c>
      <c r="I23" s="3" t="s">
        <v>123</v>
      </c>
      <c r="J23" s="1" t="s">
        <v>2515</v>
      </c>
      <c r="K23" s="1" t="s">
        <v>249</v>
      </c>
      <c r="L23" s="1" t="b">
        <v>1</v>
      </c>
    </row>
    <row r="24" spans="1:12" ht="186.35" x14ac:dyDescent="0.5">
      <c r="A24" s="1" t="s">
        <v>2876</v>
      </c>
      <c r="B24" s="3" t="s">
        <v>676</v>
      </c>
      <c r="C24" s="3" t="s">
        <v>675</v>
      </c>
      <c r="D24" s="3" t="s">
        <v>679</v>
      </c>
      <c r="E24" s="3" t="s">
        <v>677</v>
      </c>
      <c r="F24" s="26">
        <v>45113</v>
      </c>
      <c r="G24" s="1">
        <v>2023</v>
      </c>
      <c r="H24" s="1" t="s">
        <v>61</v>
      </c>
      <c r="I24" s="3" t="s">
        <v>123</v>
      </c>
      <c r="J24" s="1" t="s">
        <v>2515</v>
      </c>
      <c r="K24" s="1" t="s">
        <v>678</v>
      </c>
      <c r="L24" s="1" t="b">
        <v>1</v>
      </c>
    </row>
    <row r="25" spans="1:12" ht="272.35000000000002" x14ac:dyDescent="0.5">
      <c r="A25" s="1" t="s">
        <v>2604</v>
      </c>
      <c r="B25" s="3" t="s">
        <v>174</v>
      </c>
      <c r="C25" s="3" t="s">
        <v>680</v>
      </c>
      <c r="D25" s="3" t="s">
        <v>290</v>
      </c>
      <c r="E25" s="3" t="s">
        <v>681</v>
      </c>
      <c r="F25" s="26">
        <v>44409</v>
      </c>
      <c r="G25" s="1">
        <v>2021</v>
      </c>
      <c r="H25" s="1" t="s">
        <v>61</v>
      </c>
      <c r="I25" s="3" t="s">
        <v>123</v>
      </c>
      <c r="J25" s="1" t="s">
        <v>2515</v>
      </c>
      <c r="K25" s="1" t="s">
        <v>175</v>
      </c>
      <c r="L25" s="1" t="b">
        <v>0</v>
      </c>
    </row>
    <row r="26" spans="1:12" ht="43" x14ac:dyDescent="0.5">
      <c r="A26" s="1" t="s">
        <v>2677</v>
      </c>
      <c r="B26" s="3" t="s">
        <v>683</v>
      </c>
      <c r="C26" s="3" t="s">
        <v>682</v>
      </c>
      <c r="D26" s="3" t="s">
        <v>686</v>
      </c>
      <c r="E26" s="3" t="s">
        <v>684</v>
      </c>
      <c r="F26" s="26">
        <v>45268</v>
      </c>
      <c r="G26" s="1">
        <v>2023</v>
      </c>
      <c r="H26" s="1" t="s">
        <v>61</v>
      </c>
      <c r="I26" s="3" t="s">
        <v>123</v>
      </c>
      <c r="J26" s="1" t="s">
        <v>2515</v>
      </c>
      <c r="K26" s="1" t="s">
        <v>685</v>
      </c>
      <c r="L26" s="1" t="b">
        <v>1</v>
      </c>
    </row>
    <row r="27" spans="1:12" ht="28.7" x14ac:dyDescent="0.5">
      <c r="A27" s="1" t="s">
        <v>3289</v>
      </c>
      <c r="B27" s="3" t="s">
        <v>224</v>
      </c>
      <c r="C27" s="3" t="s">
        <v>687</v>
      </c>
      <c r="D27" s="3" t="s">
        <v>123</v>
      </c>
      <c r="E27" s="3" t="s">
        <v>225</v>
      </c>
      <c r="F27" s="26">
        <v>43709</v>
      </c>
      <c r="G27" s="1">
        <v>2019</v>
      </c>
      <c r="H27" s="1" t="s">
        <v>61</v>
      </c>
      <c r="I27" s="3" t="s">
        <v>123</v>
      </c>
      <c r="J27" s="1" t="s">
        <v>642</v>
      </c>
      <c r="K27" s="1" t="s">
        <v>226</v>
      </c>
      <c r="L27" s="1" t="b">
        <v>1</v>
      </c>
    </row>
    <row r="28" spans="1:12" x14ac:dyDescent="0.5">
      <c r="A28" s="1" t="s">
        <v>3290</v>
      </c>
      <c r="B28" s="3" t="s">
        <v>206</v>
      </c>
      <c r="C28" s="3" t="s">
        <v>123</v>
      </c>
      <c r="D28" s="3" t="s">
        <v>123</v>
      </c>
      <c r="E28" s="3" t="s">
        <v>207</v>
      </c>
      <c r="F28" s="26">
        <v>40909</v>
      </c>
      <c r="G28" s="1">
        <v>2012</v>
      </c>
      <c r="H28" s="1" t="s">
        <v>688</v>
      </c>
      <c r="I28" s="3" t="s">
        <v>123</v>
      </c>
      <c r="J28" s="1" t="s">
        <v>642</v>
      </c>
      <c r="K28" s="1" t="s">
        <v>123</v>
      </c>
      <c r="L28" s="1" t="b">
        <v>0</v>
      </c>
    </row>
    <row r="29" spans="1:12" x14ac:dyDescent="0.5">
      <c r="A29" s="1" t="s">
        <v>3291</v>
      </c>
      <c r="B29" s="3" t="s">
        <v>207</v>
      </c>
      <c r="C29" s="3" t="s">
        <v>123</v>
      </c>
      <c r="D29" s="3" t="s">
        <v>123</v>
      </c>
      <c r="E29" s="3" t="s">
        <v>123</v>
      </c>
      <c r="F29" s="26">
        <v>40909</v>
      </c>
      <c r="G29" s="1">
        <v>2012</v>
      </c>
      <c r="H29" s="1" t="s">
        <v>63</v>
      </c>
      <c r="I29" s="3" t="s">
        <v>123</v>
      </c>
      <c r="J29" s="1" t="s">
        <v>642</v>
      </c>
      <c r="K29" s="1" t="s">
        <v>123</v>
      </c>
      <c r="L29" s="1" t="b">
        <v>0</v>
      </c>
    </row>
    <row r="30" spans="1:12" ht="28.7" x14ac:dyDescent="0.5">
      <c r="A30" s="1" t="s">
        <v>3292</v>
      </c>
      <c r="B30" s="3" t="s">
        <v>67</v>
      </c>
      <c r="C30" s="3" t="s">
        <v>712</v>
      </c>
      <c r="D30" s="3" t="s">
        <v>123</v>
      </c>
      <c r="E30" s="3" t="s">
        <v>56</v>
      </c>
      <c r="F30" s="26">
        <v>41275</v>
      </c>
      <c r="G30" s="1">
        <v>2013</v>
      </c>
      <c r="H30" s="1" t="s">
        <v>62</v>
      </c>
      <c r="I30" s="3" t="s">
        <v>3293</v>
      </c>
      <c r="J30" s="1" t="s">
        <v>642</v>
      </c>
      <c r="K30" s="1" t="s">
        <v>120</v>
      </c>
      <c r="L30" s="1" t="b">
        <v>1</v>
      </c>
    </row>
    <row r="31" spans="1:12" ht="28.7" x14ac:dyDescent="0.5">
      <c r="A31" s="1" t="s">
        <v>3294</v>
      </c>
      <c r="B31" s="3" t="s">
        <v>713</v>
      </c>
      <c r="C31" s="3" t="s">
        <v>123</v>
      </c>
      <c r="D31" s="3" t="s">
        <v>123</v>
      </c>
      <c r="E31" s="3" t="s">
        <v>123</v>
      </c>
      <c r="F31" s="26">
        <v>41275</v>
      </c>
      <c r="G31" s="1">
        <v>2013</v>
      </c>
      <c r="H31" s="1" t="s">
        <v>63</v>
      </c>
      <c r="I31" s="3" t="s">
        <v>123</v>
      </c>
      <c r="J31" s="1" t="s">
        <v>642</v>
      </c>
      <c r="K31" s="1" t="s">
        <v>123</v>
      </c>
      <c r="L31" s="1" t="b">
        <v>0</v>
      </c>
    </row>
    <row r="32" spans="1:12" ht="28.7" x14ac:dyDescent="0.5">
      <c r="A32" s="1" t="s">
        <v>3295</v>
      </c>
      <c r="B32" s="3" t="s">
        <v>127</v>
      </c>
      <c r="C32" s="3" t="s">
        <v>123</v>
      </c>
      <c r="D32" s="3" t="s">
        <v>123</v>
      </c>
      <c r="E32" s="3" t="s">
        <v>117</v>
      </c>
      <c r="F32" s="26">
        <v>41275</v>
      </c>
      <c r="G32" s="1">
        <v>2013</v>
      </c>
      <c r="H32" s="1" t="s">
        <v>688</v>
      </c>
      <c r="I32" s="3" t="s">
        <v>123</v>
      </c>
      <c r="J32" s="1" t="s">
        <v>642</v>
      </c>
      <c r="K32" s="1" t="s">
        <v>123</v>
      </c>
      <c r="L32" s="1" t="b">
        <v>0</v>
      </c>
    </row>
    <row r="33" spans="1:12" ht="28.7" x14ac:dyDescent="0.5">
      <c r="A33" s="1" t="s">
        <v>3296</v>
      </c>
      <c r="B33" s="3" t="s">
        <v>715</v>
      </c>
      <c r="C33" s="3" t="s">
        <v>123</v>
      </c>
      <c r="D33" s="3" t="s">
        <v>123</v>
      </c>
      <c r="E33" s="3" t="s">
        <v>123</v>
      </c>
      <c r="F33" s="26">
        <v>41275</v>
      </c>
      <c r="G33" s="1">
        <v>2013</v>
      </c>
      <c r="H33" s="1" t="s">
        <v>63</v>
      </c>
      <c r="I33" s="3" t="s">
        <v>123</v>
      </c>
      <c r="J33" s="1" t="s">
        <v>642</v>
      </c>
      <c r="K33" s="1" t="s">
        <v>123</v>
      </c>
      <c r="L33" s="1" t="b">
        <v>0</v>
      </c>
    </row>
    <row r="34" spans="1:12" ht="28.7" x14ac:dyDescent="0.5">
      <c r="A34" s="1" t="s">
        <v>3297</v>
      </c>
      <c r="B34" s="3" t="s">
        <v>183</v>
      </c>
      <c r="C34" s="3" t="s">
        <v>692</v>
      </c>
      <c r="D34" s="3" t="s">
        <v>123</v>
      </c>
      <c r="E34" s="3" t="s">
        <v>184</v>
      </c>
      <c r="F34" s="26">
        <v>43862</v>
      </c>
      <c r="G34" s="1">
        <v>2020</v>
      </c>
      <c r="H34" s="1" t="s">
        <v>61</v>
      </c>
      <c r="I34" s="3" t="s">
        <v>123</v>
      </c>
      <c r="J34" s="1" t="s">
        <v>642</v>
      </c>
      <c r="K34" s="1" t="s">
        <v>185</v>
      </c>
      <c r="L34" s="1" t="b">
        <v>0</v>
      </c>
    </row>
    <row r="35" spans="1:12" ht="28.7" x14ac:dyDescent="0.5">
      <c r="A35" s="1" t="s">
        <v>3298</v>
      </c>
      <c r="B35" s="3" t="s">
        <v>239</v>
      </c>
      <c r="C35" s="3" t="s">
        <v>693</v>
      </c>
      <c r="D35" s="3" t="s">
        <v>123</v>
      </c>
      <c r="E35" s="3" t="s">
        <v>240</v>
      </c>
      <c r="F35" s="26">
        <v>43678</v>
      </c>
      <c r="G35" s="1">
        <v>2019</v>
      </c>
      <c r="H35" s="1" t="s">
        <v>61</v>
      </c>
      <c r="I35" s="3" t="s">
        <v>123</v>
      </c>
      <c r="J35" s="1" t="s">
        <v>642</v>
      </c>
      <c r="K35" s="1" t="s">
        <v>241</v>
      </c>
      <c r="L35" s="1" t="b">
        <v>0</v>
      </c>
    </row>
    <row r="36" spans="1:12" ht="28.7" x14ac:dyDescent="0.5">
      <c r="A36" s="1" t="s">
        <v>3299</v>
      </c>
      <c r="B36" s="3" t="s">
        <v>143</v>
      </c>
      <c r="C36" s="3" t="s">
        <v>694</v>
      </c>
      <c r="D36" s="3" t="s">
        <v>123</v>
      </c>
      <c r="E36" s="3" t="s">
        <v>124</v>
      </c>
      <c r="F36" s="26">
        <v>42705</v>
      </c>
      <c r="G36" s="1">
        <v>2016</v>
      </c>
      <c r="H36" s="1" t="s">
        <v>61</v>
      </c>
      <c r="I36" s="3" t="s">
        <v>123</v>
      </c>
      <c r="J36" s="1" t="s">
        <v>642</v>
      </c>
      <c r="K36" s="1" t="s">
        <v>145</v>
      </c>
      <c r="L36" s="1" t="b">
        <v>0</v>
      </c>
    </row>
    <row r="37" spans="1:12" x14ac:dyDescent="0.5">
      <c r="A37" s="1" t="s">
        <v>3300</v>
      </c>
      <c r="B37" s="3" t="s">
        <v>695</v>
      </c>
      <c r="C37" s="3" t="s">
        <v>123</v>
      </c>
      <c r="D37" s="3" t="s">
        <v>123</v>
      </c>
      <c r="E37" s="3" t="s">
        <v>167</v>
      </c>
      <c r="F37" s="26">
        <v>43709</v>
      </c>
      <c r="G37" s="1">
        <v>2019</v>
      </c>
      <c r="H37" s="1" t="s">
        <v>61</v>
      </c>
      <c r="I37" s="3" t="s">
        <v>123</v>
      </c>
      <c r="J37" s="1" t="s">
        <v>642</v>
      </c>
      <c r="K37" s="1" t="s">
        <v>168</v>
      </c>
      <c r="L37" s="1" t="b">
        <v>0</v>
      </c>
    </row>
    <row r="38" spans="1:12" ht="28.7" x14ac:dyDescent="0.5">
      <c r="A38" s="1" t="s">
        <v>3301</v>
      </c>
      <c r="B38" s="3" t="s">
        <v>696</v>
      </c>
      <c r="C38" s="3" t="s">
        <v>123</v>
      </c>
      <c r="D38" s="3" t="s">
        <v>123</v>
      </c>
      <c r="E38" s="3" t="s">
        <v>137</v>
      </c>
      <c r="F38" s="26">
        <v>43252</v>
      </c>
      <c r="G38" s="1">
        <v>2018</v>
      </c>
      <c r="H38" s="1" t="s">
        <v>61</v>
      </c>
      <c r="I38" s="3" t="s">
        <v>123</v>
      </c>
      <c r="J38" s="1" t="s">
        <v>642</v>
      </c>
      <c r="K38" s="1" t="s">
        <v>697</v>
      </c>
      <c r="L38" s="1" t="b">
        <v>0</v>
      </c>
    </row>
    <row r="39" spans="1:12" ht="28.7" x14ac:dyDescent="0.5">
      <c r="A39" s="1" t="s">
        <v>3302</v>
      </c>
      <c r="B39" s="3" t="s">
        <v>291</v>
      </c>
      <c r="C39" s="3" t="s">
        <v>698</v>
      </c>
      <c r="D39" s="3" t="s">
        <v>123</v>
      </c>
      <c r="E39" s="3" t="s">
        <v>124</v>
      </c>
      <c r="F39" s="26">
        <v>43070</v>
      </c>
      <c r="G39" s="1">
        <v>2017</v>
      </c>
      <c r="H39" s="1" t="s">
        <v>61</v>
      </c>
      <c r="I39" s="3" t="s">
        <v>123</v>
      </c>
      <c r="J39" s="1" t="s">
        <v>642</v>
      </c>
      <c r="K39" s="1" t="s">
        <v>292</v>
      </c>
      <c r="L39" s="1" t="b">
        <v>0</v>
      </c>
    </row>
    <row r="40" spans="1:12" ht="28.7" x14ac:dyDescent="0.5">
      <c r="A40" s="1" t="s">
        <v>3303</v>
      </c>
      <c r="B40" s="3" t="s">
        <v>162</v>
      </c>
      <c r="C40" s="3" t="s">
        <v>699</v>
      </c>
      <c r="D40" s="3" t="s">
        <v>123</v>
      </c>
      <c r="E40" s="3" t="s">
        <v>163</v>
      </c>
      <c r="F40" s="26">
        <v>42856</v>
      </c>
      <c r="G40" s="1">
        <v>2017</v>
      </c>
      <c r="H40" s="1" t="s">
        <v>61</v>
      </c>
      <c r="I40" s="3" t="s">
        <v>123</v>
      </c>
      <c r="J40" s="1" t="s">
        <v>642</v>
      </c>
      <c r="K40" s="1" t="s">
        <v>164</v>
      </c>
      <c r="L40" s="1" t="b">
        <v>0</v>
      </c>
    </row>
    <row r="41" spans="1:12" x14ac:dyDescent="0.5">
      <c r="A41" s="1" t="s">
        <v>3304</v>
      </c>
      <c r="B41" s="3" t="s">
        <v>214</v>
      </c>
      <c r="C41" s="3" t="s">
        <v>123</v>
      </c>
      <c r="D41" s="3" t="s">
        <v>123</v>
      </c>
      <c r="E41" s="3" t="s">
        <v>56</v>
      </c>
      <c r="F41" s="26">
        <v>41275</v>
      </c>
      <c r="G41" s="1">
        <v>2013</v>
      </c>
      <c r="H41" s="1" t="s">
        <v>688</v>
      </c>
      <c r="I41" s="3" t="s">
        <v>123</v>
      </c>
      <c r="J41" s="1" t="s">
        <v>2515</v>
      </c>
      <c r="K41" s="1" t="s">
        <v>123</v>
      </c>
      <c r="L41" s="1" t="b">
        <v>1</v>
      </c>
    </row>
    <row r="42" spans="1:12" ht="28.7" x14ac:dyDescent="0.5">
      <c r="A42" s="1" t="s">
        <v>3305</v>
      </c>
      <c r="B42" s="3" t="s">
        <v>719</v>
      </c>
      <c r="C42" s="3" t="s">
        <v>123</v>
      </c>
      <c r="D42" s="3" t="s">
        <v>123</v>
      </c>
      <c r="E42" s="3" t="s">
        <v>123</v>
      </c>
      <c r="F42" s="26">
        <v>41275</v>
      </c>
      <c r="G42" s="1">
        <v>2013</v>
      </c>
      <c r="H42" s="1" t="s">
        <v>63</v>
      </c>
      <c r="I42" s="3" t="s">
        <v>123</v>
      </c>
      <c r="J42" s="1" t="s">
        <v>642</v>
      </c>
      <c r="K42" s="1" t="s">
        <v>123</v>
      </c>
      <c r="L42" s="1" t="b">
        <v>1</v>
      </c>
    </row>
    <row r="43" spans="1:12" ht="258" x14ac:dyDescent="0.5">
      <c r="A43" s="1" t="s">
        <v>3306</v>
      </c>
      <c r="B43" s="3" t="s">
        <v>221</v>
      </c>
      <c r="C43" s="3" t="s">
        <v>701</v>
      </c>
      <c r="D43" s="3" t="s">
        <v>702</v>
      </c>
      <c r="E43" s="3" t="s">
        <v>222</v>
      </c>
      <c r="F43" s="26">
        <v>42370</v>
      </c>
      <c r="G43" s="1">
        <v>2016</v>
      </c>
      <c r="H43" s="1" t="s">
        <v>61</v>
      </c>
      <c r="I43" s="3" t="s">
        <v>123</v>
      </c>
      <c r="J43" s="1" t="s">
        <v>2515</v>
      </c>
      <c r="K43" s="1" t="s">
        <v>223</v>
      </c>
      <c r="L43" s="1" t="b">
        <v>0</v>
      </c>
    </row>
    <row r="44" spans="1:12" ht="28.7" x14ac:dyDescent="0.5">
      <c r="A44" s="1" t="s">
        <v>3307</v>
      </c>
      <c r="B44" s="3" t="s">
        <v>171</v>
      </c>
      <c r="C44" s="3" t="s">
        <v>123</v>
      </c>
      <c r="D44" s="3" t="s">
        <v>123</v>
      </c>
      <c r="E44" s="3" t="s">
        <v>160</v>
      </c>
      <c r="F44" s="26">
        <v>41640</v>
      </c>
      <c r="G44" s="1">
        <v>2014</v>
      </c>
      <c r="H44" s="1" t="s">
        <v>688</v>
      </c>
      <c r="I44" s="3" t="s">
        <v>123</v>
      </c>
      <c r="J44" s="1" t="s">
        <v>642</v>
      </c>
      <c r="K44" s="1" t="s">
        <v>123</v>
      </c>
      <c r="L44" s="1" t="b">
        <v>0</v>
      </c>
    </row>
    <row r="45" spans="1:12" ht="28.7" x14ac:dyDescent="0.5">
      <c r="A45" s="1" t="s">
        <v>3308</v>
      </c>
      <c r="B45" s="3" t="s">
        <v>710</v>
      </c>
      <c r="C45" s="3" t="s">
        <v>123</v>
      </c>
      <c r="D45" s="3" t="s">
        <v>123</v>
      </c>
      <c r="E45" s="3" t="s">
        <v>123</v>
      </c>
      <c r="F45" s="26">
        <v>41640</v>
      </c>
      <c r="G45" s="1">
        <v>2014</v>
      </c>
      <c r="H45" s="1" t="s">
        <v>63</v>
      </c>
      <c r="I45" s="3" t="s">
        <v>123</v>
      </c>
      <c r="J45" s="1" t="s">
        <v>642</v>
      </c>
      <c r="K45" s="1" t="s">
        <v>123</v>
      </c>
      <c r="L45" s="1" t="b">
        <v>0</v>
      </c>
    </row>
    <row r="46" spans="1:12" x14ac:dyDescent="0.5">
      <c r="A46" s="1" t="s">
        <v>3309</v>
      </c>
      <c r="B46" s="3" t="s">
        <v>159</v>
      </c>
      <c r="C46" s="3" t="s">
        <v>123</v>
      </c>
      <c r="D46" s="3" t="s">
        <v>123</v>
      </c>
      <c r="E46" s="3" t="s">
        <v>160</v>
      </c>
      <c r="F46" s="26">
        <v>41640</v>
      </c>
      <c r="G46" s="1">
        <v>2014</v>
      </c>
      <c r="H46" s="1" t="s">
        <v>688</v>
      </c>
      <c r="I46" s="3" t="s">
        <v>123</v>
      </c>
      <c r="J46" s="1" t="s">
        <v>642</v>
      </c>
      <c r="K46" s="1" t="s">
        <v>123</v>
      </c>
      <c r="L46" s="1" t="b">
        <v>0</v>
      </c>
    </row>
    <row r="47" spans="1:12" x14ac:dyDescent="0.5">
      <c r="A47" s="1" t="s">
        <v>3310</v>
      </c>
      <c r="B47" s="3" t="s">
        <v>251</v>
      </c>
      <c r="C47" s="3" t="s">
        <v>123</v>
      </c>
      <c r="D47" s="3" t="s">
        <v>123</v>
      </c>
      <c r="E47" s="3" t="s">
        <v>125</v>
      </c>
      <c r="F47" s="26">
        <v>41640</v>
      </c>
      <c r="G47" s="1">
        <v>2014</v>
      </c>
      <c r="H47" s="1" t="s">
        <v>688</v>
      </c>
      <c r="I47" s="3" t="s">
        <v>123</v>
      </c>
      <c r="J47" s="1" t="s">
        <v>642</v>
      </c>
      <c r="K47" s="1" t="s">
        <v>123</v>
      </c>
      <c r="L47" s="1" t="b">
        <v>0</v>
      </c>
    </row>
    <row r="48" spans="1:12" ht="28.7" x14ac:dyDescent="0.5">
      <c r="A48" s="1" t="s">
        <v>3311</v>
      </c>
      <c r="B48" s="3" t="s">
        <v>718</v>
      </c>
      <c r="C48" s="3" t="s">
        <v>717</v>
      </c>
      <c r="D48" s="3" t="s">
        <v>123</v>
      </c>
      <c r="E48" s="3" t="s">
        <v>123</v>
      </c>
      <c r="F48" s="26">
        <v>41640</v>
      </c>
      <c r="G48" s="1">
        <v>2014</v>
      </c>
      <c r="H48" s="1" t="s">
        <v>63</v>
      </c>
      <c r="I48" s="3" t="s">
        <v>123</v>
      </c>
      <c r="J48" s="1" t="s">
        <v>642</v>
      </c>
      <c r="K48" s="1" t="s">
        <v>123</v>
      </c>
      <c r="L48" s="1" t="b">
        <v>0</v>
      </c>
    </row>
    <row r="49" spans="1:12" x14ac:dyDescent="0.5">
      <c r="A49" s="1" t="s">
        <v>3312</v>
      </c>
      <c r="B49" s="3" t="s">
        <v>150</v>
      </c>
      <c r="C49" s="3" t="s">
        <v>123</v>
      </c>
      <c r="D49" s="3" t="s">
        <v>123</v>
      </c>
      <c r="E49" s="3" t="s">
        <v>56</v>
      </c>
      <c r="F49" s="26">
        <v>42005</v>
      </c>
      <c r="G49" s="1">
        <v>2015</v>
      </c>
      <c r="H49" s="1" t="s">
        <v>688</v>
      </c>
      <c r="I49" s="3" t="s">
        <v>123</v>
      </c>
      <c r="J49" s="1" t="s">
        <v>642</v>
      </c>
      <c r="K49" s="1" t="s">
        <v>123</v>
      </c>
      <c r="L49" s="1" t="b">
        <v>0</v>
      </c>
    </row>
    <row r="50" spans="1:12" ht="28.7" x14ac:dyDescent="0.5">
      <c r="A50" s="1" t="s">
        <v>3313</v>
      </c>
      <c r="B50" s="3" t="s">
        <v>705</v>
      </c>
      <c r="C50" s="3" t="s">
        <v>123</v>
      </c>
      <c r="D50" s="3" t="s">
        <v>123</v>
      </c>
      <c r="E50" s="3" t="s">
        <v>123</v>
      </c>
      <c r="F50" s="26">
        <v>42005</v>
      </c>
      <c r="G50" s="1">
        <v>2015</v>
      </c>
      <c r="H50" s="1" t="s">
        <v>63</v>
      </c>
      <c r="I50" s="3" t="s">
        <v>123</v>
      </c>
      <c r="J50" s="1" t="s">
        <v>642</v>
      </c>
      <c r="K50" s="1" t="s">
        <v>123</v>
      </c>
      <c r="L50" s="1" t="b">
        <v>0</v>
      </c>
    </row>
    <row r="51" spans="1:12" x14ac:dyDescent="0.5">
      <c r="A51" s="1" t="s">
        <v>3314</v>
      </c>
      <c r="B51" s="3" t="s">
        <v>142</v>
      </c>
      <c r="C51" s="3" t="s">
        <v>123</v>
      </c>
      <c r="D51" s="3" t="s">
        <v>123</v>
      </c>
      <c r="E51" s="3" t="s">
        <v>706</v>
      </c>
      <c r="F51" s="26">
        <v>42005</v>
      </c>
      <c r="G51" s="1">
        <v>2015</v>
      </c>
      <c r="H51" s="1" t="s">
        <v>688</v>
      </c>
      <c r="I51" s="3" t="s">
        <v>123</v>
      </c>
      <c r="J51" s="1" t="s">
        <v>642</v>
      </c>
      <c r="K51" s="1" t="s">
        <v>123</v>
      </c>
      <c r="L51" s="1" t="b">
        <v>0</v>
      </c>
    </row>
    <row r="52" spans="1:12" ht="28.7" x14ac:dyDescent="0.5">
      <c r="A52" s="1" t="s">
        <v>3315</v>
      </c>
      <c r="B52" s="3" t="s">
        <v>708</v>
      </c>
      <c r="C52" s="3" t="s">
        <v>707</v>
      </c>
      <c r="D52" s="3" t="s">
        <v>123</v>
      </c>
      <c r="E52" s="3" t="s">
        <v>123</v>
      </c>
      <c r="F52" s="26">
        <v>42005</v>
      </c>
      <c r="G52" s="1">
        <v>2015</v>
      </c>
      <c r="H52" s="1" t="s">
        <v>63</v>
      </c>
      <c r="I52" s="3" t="s">
        <v>123</v>
      </c>
      <c r="J52" s="1" t="s">
        <v>642</v>
      </c>
      <c r="K52" s="1" t="s">
        <v>123</v>
      </c>
      <c r="L52" s="1" t="b">
        <v>0</v>
      </c>
    </row>
    <row r="53" spans="1:12" ht="28.7" x14ac:dyDescent="0.5">
      <c r="A53" s="1" t="s">
        <v>3316</v>
      </c>
      <c r="B53" s="3" t="s">
        <v>276</v>
      </c>
      <c r="C53" s="3" t="s">
        <v>123</v>
      </c>
      <c r="D53" s="3" t="s">
        <v>123</v>
      </c>
      <c r="E53" s="3" t="s">
        <v>711</v>
      </c>
      <c r="F53" s="26">
        <v>42005</v>
      </c>
      <c r="G53" s="1">
        <v>2015</v>
      </c>
      <c r="H53" s="1" t="s">
        <v>688</v>
      </c>
      <c r="I53" s="3" t="s">
        <v>123</v>
      </c>
      <c r="J53" s="1" t="s">
        <v>642</v>
      </c>
      <c r="K53" s="1" t="s">
        <v>123</v>
      </c>
      <c r="L53" s="1" t="b">
        <v>0</v>
      </c>
    </row>
    <row r="54" spans="1:12" ht="28.7" x14ac:dyDescent="0.5">
      <c r="A54" s="1" t="s">
        <v>3317</v>
      </c>
      <c r="B54" s="3" t="s">
        <v>128</v>
      </c>
      <c r="C54" s="3" t="s">
        <v>709</v>
      </c>
      <c r="D54" s="3" t="s">
        <v>123</v>
      </c>
      <c r="E54" s="3" t="s">
        <v>129</v>
      </c>
      <c r="F54" s="26">
        <v>41730</v>
      </c>
      <c r="G54" s="1">
        <v>2014</v>
      </c>
      <c r="H54" s="1" t="s">
        <v>61</v>
      </c>
      <c r="I54" s="3" t="s">
        <v>123</v>
      </c>
      <c r="J54" s="1" t="s">
        <v>642</v>
      </c>
      <c r="K54" s="1" t="s">
        <v>130</v>
      </c>
      <c r="L54" s="1" t="b">
        <v>0</v>
      </c>
    </row>
    <row r="55" spans="1:12" x14ac:dyDescent="0.5">
      <c r="A55" s="1" t="s">
        <v>3318</v>
      </c>
      <c r="B55" s="3" t="s">
        <v>277</v>
      </c>
      <c r="C55" s="3" t="s">
        <v>123</v>
      </c>
      <c r="D55" s="3" t="s">
        <v>123</v>
      </c>
      <c r="E55" s="3" t="s">
        <v>123</v>
      </c>
      <c r="F55" s="26">
        <v>42005</v>
      </c>
      <c r="G55" s="1">
        <v>2015</v>
      </c>
      <c r="H55" s="1" t="s">
        <v>63</v>
      </c>
      <c r="I55" s="3" t="s">
        <v>123</v>
      </c>
      <c r="J55" s="1" t="s">
        <v>642</v>
      </c>
      <c r="K55" s="1" t="s">
        <v>123</v>
      </c>
      <c r="L55" s="1" t="b">
        <v>0</v>
      </c>
    </row>
    <row r="56" spans="1:12" ht="28.7" x14ac:dyDescent="0.5">
      <c r="A56" s="1" t="s">
        <v>3319</v>
      </c>
      <c r="B56" s="3" t="s">
        <v>278</v>
      </c>
      <c r="C56" s="3" t="s">
        <v>123</v>
      </c>
      <c r="D56" s="3" t="s">
        <v>123</v>
      </c>
      <c r="E56" s="3" t="s">
        <v>118</v>
      </c>
      <c r="F56" s="26">
        <v>42370</v>
      </c>
      <c r="G56" s="1">
        <v>2016</v>
      </c>
      <c r="H56" s="1" t="s">
        <v>688</v>
      </c>
      <c r="I56" s="3" t="s">
        <v>123</v>
      </c>
      <c r="J56" s="1" t="s">
        <v>642</v>
      </c>
      <c r="K56" s="1" t="s">
        <v>123</v>
      </c>
      <c r="L56" s="1" t="b">
        <v>0</v>
      </c>
    </row>
    <row r="57" spans="1:12" ht="28.7" x14ac:dyDescent="0.5">
      <c r="A57" s="1" t="s">
        <v>3320</v>
      </c>
      <c r="B57" s="3" t="s">
        <v>704</v>
      </c>
      <c r="C57" s="3" t="s">
        <v>123</v>
      </c>
      <c r="D57" s="3" t="s">
        <v>123</v>
      </c>
      <c r="E57" s="3" t="s">
        <v>123</v>
      </c>
      <c r="F57" s="26">
        <v>42370</v>
      </c>
      <c r="G57" s="1">
        <v>2016</v>
      </c>
      <c r="H57" s="1" t="s">
        <v>63</v>
      </c>
      <c r="I57" s="3" t="s">
        <v>123</v>
      </c>
      <c r="J57" s="1" t="s">
        <v>642</v>
      </c>
      <c r="K57" s="1" t="s">
        <v>123</v>
      </c>
      <c r="L57" s="1" t="b">
        <v>0</v>
      </c>
    </row>
    <row r="58" spans="1:12" x14ac:dyDescent="0.5">
      <c r="A58" s="1" t="s">
        <v>3321</v>
      </c>
      <c r="B58" s="3" t="s">
        <v>211</v>
      </c>
      <c r="C58" s="3" t="s">
        <v>123</v>
      </c>
      <c r="D58" s="3" t="s">
        <v>123</v>
      </c>
      <c r="E58" s="3" t="s">
        <v>59</v>
      </c>
      <c r="F58" s="26">
        <v>42370</v>
      </c>
      <c r="G58" s="1">
        <v>2016</v>
      </c>
      <c r="H58" s="1" t="s">
        <v>688</v>
      </c>
      <c r="I58" s="3" t="s">
        <v>123</v>
      </c>
      <c r="J58" s="1" t="s">
        <v>642</v>
      </c>
      <c r="K58" s="1" t="s">
        <v>123</v>
      </c>
      <c r="L58" s="1" t="b">
        <v>0</v>
      </c>
    </row>
    <row r="59" spans="1:12" x14ac:dyDescent="0.5">
      <c r="A59" s="1" t="s">
        <v>3322</v>
      </c>
      <c r="B59" s="3" t="s">
        <v>58</v>
      </c>
      <c r="C59" s="3" t="s">
        <v>123</v>
      </c>
      <c r="D59" s="3" t="s">
        <v>123</v>
      </c>
      <c r="E59" s="3" t="s">
        <v>123</v>
      </c>
      <c r="F59" s="26">
        <v>42370</v>
      </c>
      <c r="G59" s="1">
        <v>2016</v>
      </c>
      <c r="H59" s="1" t="s">
        <v>63</v>
      </c>
      <c r="I59" s="3" t="s">
        <v>123</v>
      </c>
      <c r="J59" s="1" t="s">
        <v>642</v>
      </c>
      <c r="K59" s="1" t="s">
        <v>123</v>
      </c>
      <c r="L59" s="1" t="b">
        <v>0</v>
      </c>
    </row>
    <row r="60" spans="1:12" x14ac:dyDescent="0.5">
      <c r="A60" s="1" t="s">
        <v>3323</v>
      </c>
      <c r="B60" s="3" t="s">
        <v>294</v>
      </c>
      <c r="C60" s="3" t="s">
        <v>123</v>
      </c>
      <c r="D60" s="3" t="s">
        <v>123</v>
      </c>
      <c r="E60" s="3" t="s">
        <v>700</v>
      </c>
      <c r="F60" s="26">
        <v>42736</v>
      </c>
      <c r="G60" s="1">
        <v>2017</v>
      </c>
      <c r="H60" s="1" t="s">
        <v>688</v>
      </c>
      <c r="I60" s="3" t="s">
        <v>123</v>
      </c>
      <c r="J60" s="1" t="s">
        <v>2515</v>
      </c>
      <c r="K60" s="1" t="s">
        <v>123</v>
      </c>
      <c r="L60" s="1" t="b">
        <v>0</v>
      </c>
    </row>
    <row r="61" spans="1:12" x14ac:dyDescent="0.5">
      <c r="A61" s="1" t="s">
        <v>3324</v>
      </c>
      <c r="B61" s="3" t="s">
        <v>295</v>
      </c>
      <c r="C61" s="3" t="s">
        <v>123</v>
      </c>
      <c r="D61" s="3" t="s">
        <v>123</v>
      </c>
      <c r="E61" s="3" t="s">
        <v>123</v>
      </c>
      <c r="F61" s="26">
        <v>42736</v>
      </c>
      <c r="G61" s="1">
        <v>2017</v>
      </c>
      <c r="H61" s="1" t="s">
        <v>63</v>
      </c>
      <c r="I61" s="3" t="s">
        <v>123</v>
      </c>
      <c r="J61" s="1" t="s">
        <v>642</v>
      </c>
      <c r="K61" s="1" t="s">
        <v>123</v>
      </c>
      <c r="L61" s="1" t="b">
        <v>0</v>
      </c>
    </row>
    <row r="62" spans="1:12" ht="28.7" x14ac:dyDescent="0.5">
      <c r="A62" s="1" t="s">
        <v>3325</v>
      </c>
      <c r="B62" s="3" t="s">
        <v>252</v>
      </c>
      <c r="C62" s="3" t="s">
        <v>714</v>
      </c>
      <c r="D62" s="3" t="s">
        <v>123</v>
      </c>
      <c r="E62" s="3" t="s">
        <v>253</v>
      </c>
      <c r="F62" s="26">
        <v>42248</v>
      </c>
      <c r="G62" s="1">
        <v>2015</v>
      </c>
      <c r="H62" s="1" t="s">
        <v>61</v>
      </c>
      <c r="I62" s="3" t="s">
        <v>123</v>
      </c>
      <c r="J62" s="1" t="s">
        <v>642</v>
      </c>
      <c r="K62" s="1" t="s">
        <v>254</v>
      </c>
      <c r="L62" s="1" t="b">
        <v>0</v>
      </c>
    </row>
    <row r="63" spans="1:12" x14ac:dyDescent="0.5">
      <c r="A63" s="1" t="s">
        <v>3326</v>
      </c>
      <c r="B63" s="3" t="s">
        <v>261</v>
      </c>
      <c r="C63" s="3" t="s">
        <v>123</v>
      </c>
      <c r="D63" s="3" t="s">
        <v>123</v>
      </c>
      <c r="E63" s="3" t="s">
        <v>262</v>
      </c>
      <c r="F63" s="26">
        <v>43101</v>
      </c>
      <c r="G63" s="1">
        <v>2018</v>
      </c>
      <c r="H63" s="1" t="s">
        <v>688</v>
      </c>
      <c r="I63" s="3" t="s">
        <v>123</v>
      </c>
      <c r="J63" s="1" t="s">
        <v>642</v>
      </c>
      <c r="K63" s="1" t="s">
        <v>123</v>
      </c>
      <c r="L63" s="1" t="b">
        <v>0</v>
      </c>
    </row>
    <row r="64" spans="1:12" x14ac:dyDescent="0.5">
      <c r="A64" s="1" t="s">
        <v>3327</v>
      </c>
      <c r="B64" s="3" t="s">
        <v>262</v>
      </c>
      <c r="C64" s="3" t="s">
        <v>703</v>
      </c>
      <c r="D64" s="3" t="s">
        <v>123</v>
      </c>
      <c r="E64" s="3" t="s">
        <v>123</v>
      </c>
      <c r="F64" s="26">
        <v>43101</v>
      </c>
      <c r="G64" s="1">
        <v>2018</v>
      </c>
      <c r="H64" s="1" t="s">
        <v>63</v>
      </c>
      <c r="I64" s="3" t="s">
        <v>123</v>
      </c>
      <c r="J64" s="1" t="s">
        <v>642</v>
      </c>
      <c r="K64" s="1" t="s">
        <v>123</v>
      </c>
      <c r="L64" s="1" t="b">
        <v>1</v>
      </c>
    </row>
    <row r="65" spans="1:12" x14ac:dyDescent="0.5">
      <c r="A65" s="1" t="s">
        <v>3328</v>
      </c>
      <c r="B65" s="3" t="s">
        <v>227</v>
      </c>
      <c r="C65" s="3" t="s">
        <v>716</v>
      </c>
      <c r="D65" s="3" t="s">
        <v>123</v>
      </c>
      <c r="E65" s="3" t="s">
        <v>228</v>
      </c>
      <c r="F65" s="26">
        <v>41852</v>
      </c>
      <c r="G65" s="1">
        <v>2014</v>
      </c>
      <c r="H65" s="1" t="s">
        <v>61</v>
      </c>
      <c r="I65" s="3" t="s">
        <v>123</v>
      </c>
      <c r="J65" s="1" t="s">
        <v>642</v>
      </c>
      <c r="K65" s="1" t="s">
        <v>229</v>
      </c>
      <c r="L65" s="1" t="b">
        <v>0</v>
      </c>
    </row>
    <row r="66" spans="1:12" ht="28.7" x14ac:dyDescent="0.5">
      <c r="A66" s="1" t="s">
        <v>3329</v>
      </c>
      <c r="B66" s="3" t="s">
        <v>182</v>
      </c>
      <c r="C66" s="3" t="s">
        <v>123</v>
      </c>
      <c r="D66" s="3" t="s">
        <v>123</v>
      </c>
      <c r="E66" s="3" t="s">
        <v>56</v>
      </c>
      <c r="F66" s="26">
        <v>43466</v>
      </c>
      <c r="G66" s="1">
        <v>2019</v>
      </c>
      <c r="H66" s="1" t="s">
        <v>688</v>
      </c>
      <c r="I66" s="3" t="s">
        <v>123</v>
      </c>
      <c r="J66" s="1" t="s">
        <v>642</v>
      </c>
      <c r="K66" s="1" t="s">
        <v>123</v>
      </c>
      <c r="L66" s="1" t="b">
        <v>0</v>
      </c>
    </row>
    <row r="67" spans="1:12" ht="28.7" x14ac:dyDescent="0.5">
      <c r="A67" s="1" t="s">
        <v>3330</v>
      </c>
      <c r="B67" s="3" t="s">
        <v>690</v>
      </c>
      <c r="C67" s="3" t="s">
        <v>123</v>
      </c>
      <c r="D67" s="3" t="s">
        <v>123</v>
      </c>
      <c r="E67" s="3" t="s">
        <v>123</v>
      </c>
      <c r="F67" s="26">
        <v>43466</v>
      </c>
      <c r="G67" s="1">
        <v>2019</v>
      </c>
      <c r="H67" s="1" t="s">
        <v>63</v>
      </c>
      <c r="I67" s="3" t="s">
        <v>123</v>
      </c>
      <c r="J67" s="1" t="s">
        <v>642</v>
      </c>
      <c r="K67" s="1" t="s">
        <v>123</v>
      </c>
      <c r="L67" s="1" t="b">
        <v>1</v>
      </c>
    </row>
    <row r="68" spans="1:12" ht="28.7" x14ac:dyDescent="0.5">
      <c r="A68" s="1" t="s">
        <v>3331</v>
      </c>
      <c r="B68" s="3" t="s">
        <v>186</v>
      </c>
      <c r="C68" s="3" t="s">
        <v>123</v>
      </c>
      <c r="D68" s="3" t="s">
        <v>123</v>
      </c>
      <c r="E68" s="3" t="s">
        <v>55</v>
      </c>
      <c r="F68" s="26">
        <v>43466</v>
      </c>
      <c r="G68" s="1">
        <v>2019</v>
      </c>
      <c r="H68" s="1" t="s">
        <v>688</v>
      </c>
      <c r="I68" s="3" t="s">
        <v>123</v>
      </c>
      <c r="J68" s="1" t="s">
        <v>2515</v>
      </c>
      <c r="K68" s="1" t="s">
        <v>123</v>
      </c>
      <c r="L68" s="1" t="b">
        <v>0</v>
      </c>
    </row>
    <row r="69" spans="1:12" ht="28.7" x14ac:dyDescent="0.5">
      <c r="A69" s="1" t="s">
        <v>3332</v>
      </c>
      <c r="B69" s="3" t="s">
        <v>691</v>
      </c>
      <c r="C69" s="3" t="s">
        <v>123</v>
      </c>
      <c r="D69" s="3" t="s">
        <v>123</v>
      </c>
      <c r="E69" s="3" t="s">
        <v>123</v>
      </c>
      <c r="F69" s="26">
        <v>43466</v>
      </c>
      <c r="G69" s="1">
        <v>2019</v>
      </c>
      <c r="H69" s="1" t="s">
        <v>63</v>
      </c>
      <c r="I69" s="3" t="s">
        <v>123</v>
      </c>
      <c r="J69" s="1" t="s">
        <v>2515</v>
      </c>
      <c r="K69" s="1" t="s">
        <v>123</v>
      </c>
      <c r="L69" s="1" t="b">
        <v>1</v>
      </c>
    </row>
    <row r="70" spans="1:12" ht="28.7" x14ac:dyDescent="0.5">
      <c r="A70" s="1" t="s">
        <v>3333</v>
      </c>
      <c r="B70" s="3" t="s">
        <v>721</v>
      </c>
      <c r="C70" s="3" t="s">
        <v>720</v>
      </c>
      <c r="D70" s="3" t="s">
        <v>123</v>
      </c>
      <c r="E70" s="3" t="s">
        <v>280</v>
      </c>
      <c r="F70" s="26">
        <v>41365</v>
      </c>
      <c r="G70" s="1">
        <v>2013</v>
      </c>
      <c r="H70" s="1" t="s">
        <v>61</v>
      </c>
      <c r="I70" s="3" t="s">
        <v>123</v>
      </c>
      <c r="J70" s="1" t="s">
        <v>642</v>
      </c>
      <c r="K70" s="1" t="s">
        <v>281</v>
      </c>
      <c r="L70" s="1" t="b">
        <v>0</v>
      </c>
    </row>
    <row r="71" spans="1:12" ht="28.7" x14ac:dyDescent="0.5">
      <c r="A71" s="1" t="s">
        <v>3334</v>
      </c>
      <c r="B71" s="3" t="s">
        <v>293</v>
      </c>
      <c r="C71" s="3" t="s">
        <v>123</v>
      </c>
      <c r="D71" s="3" t="s">
        <v>123</v>
      </c>
      <c r="E71" s="3" t="s">
        <v>60</v>
      </c>
      <c r="F71" s="26">
        <v>43831</v>
      </c>
      <c r="G71" s="1">
        <v>2020</v>
      </c>
      <c r="H71" s="1" t="s">
        <v>688</v>
      </c>
      <c r="I71" s="3" t="s">
        <v>123</v>
      </c>
      <c r="J71" s="1" t="s">
        <v>642</v>
      </c>
      <c r="K71" s="1" t="s">
        <v>123</v>
      </c>
      <c r="L71" s="1" t="b">
        <v>0</v>
      </c>
    </row>
    <row r="72" spans="1:12" ht="28.7" x14ac:dyDescent="0.5">
      <c r="A72" s="1" t="s">
        <v>3335</v>
      </c>
      <c r="B72" s="3" t="s">
        <v>689</v>
      </c>
      <c r="C72" s="3" t="s">
        <v>123</v>
      </c>
      <c r="D72" s="3" t="s">
        <v>123</v>
      </c>
      <c r="E72" s="3" t="s">
        <v>123</v>
      </c>
      <c r="F72" s="26">
        <v>43831</v>
      </c>
      <c r="G72" s="1">
        <v>2020</v>
      </c>
      <c r="H72" s="1" t="s">
        <v>63</v>
      </c>
      <c r="I72" s="3" t="s">
        <v>123</v>
      </c>
      <c r="J72" s="1" t="s">
        <v>642</v>
      </c>
      <c r="K72" s="1" t="s">
        <v>123</v>
      </c>
      <c r="L72" s="1" t="b">
        <v>0</v>
      </c>
    </row>
    <row r="73" spans="1:12" ht="28.7" x14ac:dyDescent="0.5">
      <c r="A73" s="1" t="s">
        <v>3336</v>
      </c>
      <c r="B73" s="3" t="s">
        <v>272</v>
      </c>
      <c r="C73" s="3" t="s">
        <v>722</v>
      </c>
      <c r="D73" s="3" t="s">
        <v>123</v>
      </c>
      <c r="E73" s="3" t="s">
        <v>124</v>
      </c>
      <c r="F73" s="26">
        <v>40664</v>
      </c>
      <c r="G73" s="1">
        <v>2011</v>
      </c>
      <c r="H73" s="1" t="s">
        <v>61</v>
      </c>
      <c r="I73" s="3" t="s">
        <v>123</v>
      </c>
      <c r="J73" s="1" t="s">
        <v>642</v>
      </c>
      <c r="K73" s="1" t="s">
        <v>273</v>
      </c>
      <c r="L73" s="1" t="b">
        <v>0</v>
      </c>
    </row>
    <row r="74" spans="1:12" x14ac:dyDescent="0.5">
      <c r="A74" s="1" t="s">
        <v>3337</v>
      </c>
      <c r="B74" s="3" t="s">
        <v>724</v>
      </c>
      <c r="C74" s="3" t="s">
        <v>723</v>
      </c>
      <c r="D74" s="3" t="s">
        <v>123</v>
      </c>
      <c r="E74" s="3" t="s">
        <v>124</v>
      </c>
      <c r="F74" s="26">
        <v>45566</v>
      </c>
      <c r="G74" s="1">
        <v>2024</v>
      </c>
      <c r="H74" s="1" t="s">
        <v>61</v>
      </c>
      <c r="I74" s="3" t="s">
        <v>123</v>
      </c>
      <c r="J74" s="1" t="s">
        <v>642</v>
      </c>
      <c r="K74" s="1" t="s">
        <v>725</v>
      </c>
      <c r="L74" s="1" t="b">
        <v>0</v>
      </c>
    </row>
    <row r="75" spans="1:12" x14ac:dyDescent="0.5">
      <c r="A75" s="1" t="s">
        <v>3338</v>
      </c>
      <c r="B75" s="3" t="s">
        <v>245</v>
      </c>
      <c r="C75" s="3" t="s">
        <v>123</v>
      </c>
      <c r="D75" s="3" t="s">
        <v>123</v>
      </c>
      <c r="E75" s="3" t="s">
        <v>126</v>
      </c>
      <c r="F75" s="26">
        <v>44197</v>
      </c>
      <c r="G75" s="1">
        <v>2021</v>
      </c>
      <c r="H75" s="1" t="s">
        <v>688</v>
      </c>
      <c r="I75" s="3" t="s">
        <v>123</v>
      </c>
      <c r="J75" s="1" t="s">
        <v>642</v>
      </c>
      <c r="K75" s="1" t="s">
        <v>123</v>
      </c>
      <c r="L75" s="1" t="b">
        <v>0</v>
      </c>
    </row>
    <row r="76" spans="1:12" x14ac:dyDescent="0.5">
      <c r="A76" s="1" t="s">
        <v>3339</v>
      </c>
      <c r="B76" s="3" t="s">
        <v>246</v>
      </c>
      <c r="C76" s="3" t="s">
        <v>123</v>
      </c>
      <c r="D76" s="3" t="s">
        <v>123</v>
      </c>
      <c r="E76" s="3" t="s">
        <v>123</v>
      </c>
      <c r="F76" s="26">
        <v>44197</v>
      </c>
      <c r="G76" s="1">
        <v>2021</v>
      </c>
      <c r="H76" s="1" t="s">
        <v>63</v>
      </c>
      <c r="I76" s="3" t="s">
        <v>123</v>
      </c>
      <c r="J76" s="1" t="s">
        <v>642</v>
      </c>
      <c r="K76" s="1" t="s">
        <v>123</v>
      </c>
      <c r="L76" s="1" t="b">
        <v>1</v>
      </c>
    </row>
    <row r="77" spans="1:12" ht="28.7" x14ac:dyDescent="0.5">
      <c r="A77" s="1" t="s">
        <v>3340</v>
      </c>
      <c r="B77" s="3" t="s">
        <v>729</v>
      </c>
      <c r="C77" s="3" t="s">
        <v>728</v>
      </c>
      <c r="D77" s="3" t="s">
        <v>123</v>
      </c>
      <c r="E77" s="3" t="s">
        <v>201</v>
      </c>
      <c r="F77" s="26">
        <v>45215</v>
      </c>
      <c r="G77" s="1">
        <v>2023</v>
      </c>
      <c r="H77" s="1" t="s">
        <v>61</v>
      </c>
      <c r="I77" s="3" t="s">
        <v>123</v>
      </c>
      <c r="J77" s="1" t="s">
        <v>642</v>
      </c>
      <c r="K77" s="1" t="s">
        <v>730</v>
      </c>
      <c r="L77" s="1" t="b">
        <v>0</v>
      </c>
    </row>
    <row r="78" spans="1:12" x14ac:dyDescent="0.5">
      <c r="A78" s="1" t="s">
        <v>3341</v>
      </c>
      <c r="B78" s="3" t="s">
        <v>266</v>
      </c>
      <c r="C78" s="3" t="s">
        <v>123</v>
      </c>
      <c r="D78" s="3" t="s">
        <v>123</v>
      </c>
      <c r="E78" s="3" t="s">
        <v>134</v>
      </c>
      <c r="F78" s="26">
        <v>44197</v>
      </c>
      <c r="G78" s="1">
        <v>2021</v>
      </c>
      <c r="H78" s="1" t="s">
        <v>688</v>
      </c>
      <c r="I78" s="3" t="s">
        <v>123</v>
      </c>
      <c r="J78" s="1" t="s">
        <v>642</v>
      </c>
      <c r="K78" s="1" t="s">
        <v>123</v>
      </c>
      <c r="L78" s="1" t="b">
        <v>0</v>
      </c>
    </row>
    <row r="79" spans="1:12" x14ac:dyDescent="0.5">
      <c r="A79" s="1" t="s">
        <v>3342</v>
      </c>
      <c r="B79" s="3" t="s">
        <v>807</v>
      </c>
      <c r="C79" s="3" t="s">
        <v>123</v>
      </c>
      <c r="D79" s="3" t="s">
        <v>123</v>
      </c>
      <c r="E79" s="3" t="s">
        <v>123</v>
      </c>
      <c r="F79" s="26">
        <v>44197</v>
      </c>
      <c r="G79" s="1">
        <v>2021</v>
      </c>
      <c r="H79" s="1" t="s">
        <v>63</v>
      </c>
      <c r="I79" s="3" t="s">
        <v>123</v>
      </c>
      <c r="J79" s="1" t="s">
        <v>642</v>
      </c>
      <c r="K79" s="1" t="s">
        <v>123</v>
      </c>
      <c r="L79" s="1" t="b">
        <v>0</v>
      </c>
    </row>
    <row r="80" spans="1:12" x14ac:dyDescent="0.5">
      <c r="A80" s="1" t="s">
        <v>3343</v>
      </c>
      <c r="B80" s="3" t="s">
        <v>161</v>
      </c>
      <c r="C80" s="3" t="s">
        <v>123</v>
      </c>
      <c r="D80" s="3" t="s">
        <v>123</v>
      </c>
      <c r="E80" s="3" t="s">
        <v>122</v>
      </c>
      <c r="F80" s="26">
        <v>44562</v>
      </c>
      <c r="G80" s="1">
        <v>2022</v>
      </c>
      <c r="H80" s="1" t="s">
        <v>688</v>
      </c>
      <c r="I80" s="3" t="s">
        <v>123</v>
      </c>
      <c r="J80" s="1" t="s">
        <v>642</v>
      </c>
      <c r="K80" s="1" t="s">
        <v>123</v>
      </c>
      <c r="L80" s="1" t="b">
        <v>0</v>
      </c>
    </row>
    <row r="81" spans="1:12" ht="28.7" x14ac:dyDescent="0.5">
      <c r="A81" s="1" t="s">
        <v>3344</v>
      </c>
      <c r="B81" s="3" t="s">
        <v>121</v>
      </c>
      <c r="C81" s="3" t="s">
        <v>767</v>
      </c>
      <c r="D81" s="3" t="s">
        <v>123</v>
      </c>
      <c r="E81" s="3" t="s">
        <v>123</v>
      </c>
      <c r="F81" s="26">
        <v>44562</v>
      </c>
      <c r="G81" s="1">
        <v>2022</v>
      </c>
      <c r="H81" s="1" t="s">
        <v>63</v>
      </c>
      <c r="I81" s="3" t="s">
        <v>123</v>
      </c>
      <c r="J81" s="1" t="s">
        <v>642</v>
      </c>
      <c r="K81" s="1" t="s">
        <v>123</v>
      </c>
      <c r="L81" s="1" t="b">
        <v>0</v>
      </c>
    </row>
    <row r="82" spans="1:12" ht="186.35" x14ac:dyDescent="0.5">
      <c r="A82" s="1" t="s">
        <v>3345</v>
      </c>
      <c r="B82" s="3" t="s">
        <v>737</v>
      </c>
      <c r="C82" s="3" t="s">
        <v>736</v>
      </c>
      <c r="D82" s="3" t="s">
        <v>740</v>
      </c>
      <c r="E82" s="3" t="s">
        <v>738</v>
      </c>
      <c r="F82" s="26">
        <v>45536</v>
      </c>
      <c r="G82" s="1">
        <v>2024</v>
      </c>
      <c r="H82" s="1" t="s">
        <v>61</v>
      </c>
      <c r="I82" s="3" t="s">
        <v>123</v>
      </c>
      <c r="J82" s="1" t="s">
        <v>642</v>
      </c>
      <c r="K82" s="1" t="s">
        <v>739</v>
      </c>
      <c r="L82" s="1" t="b">
        <v>1</v>
      </c>
    </row>
    <row r="83" spans="1:12" ht="229.35" x14ac:dyDescent="0.5">
      <c r="A83" s="1" t="s">
        <v>3346</v>
      </c>
      <c r="B83" s="3" t="s">
        <v>742</v>
      </c>
      <c r="C83" s="3" t="s">
        <v>741</v>
      </c>
      <c r="D83" s="3" t="s">
        <v>745</v>
      </c>
      <c r="E83" s="3" t="s">
        <v>743</v>
      </c>
      <c r="F83" s="26">
        <v>45261</v>
      </c>
      <c r="G83" s="1">
        <v>2023</v>
      </c>
      <c r="H83" s="1" t="s">
        <v>61</v>
      </c>
      <c r="I83" s="3" t="s">
        <v>123</v>
      </c>
      <c r="J83" s="1" t="s">
        <v>642</v>
      </c>
      <c r="K83" s="1" t="s">
        <v>744</v>
      </c>
      <c r="L83" s="1" t="b">
        <v>1</v>
      </c>
    </row>
    <row r="84" spans="1:12" x14ac:dyDescent="0.5">
      <c r="A84" s="1" t="s">
        <v>3347</v>
      </c>
      <c r="B84" s="3" t="s">
        <v>286</v>
      </c>
      <c r="C84" s="3" t="s">
        <v>123</v>
      </c>
      <c r="D84" s="3" t="s">
        <v>123</v>
      </c>
      <c r="E84" s="3" t="s">
        <v>173</v>
      </c>
      <c r="F84" s="26">
        <v>44562</v>
      </c>
      <c r="G84" s="1">
        <v>2022</v>
      </c>
      <c r="H84" s="1" t="s">
        <v>688</v>
      </c>
      <c r="I84" s="3" t="s">
        <v>123</v>
      </c>
      <c r="J84" s="1" t="s">
        <v>642</v>
      </c>
      <c r="K84" s="1" t="s">
        <v>123</v>
      </c>
      <c r="L84" s="1" t="b">
        <v>0</v>
      </c>
    </row>
    <row r="85" spans="1:12" x14ac:dyDescent="0.5">
      <c r="A85" s="1" t="s">
        <v>3348</v>
      </c>
      <c r="B85" s="3" t="s">
        <v>172</v>
      </c>
      <c r="C85" s="3" t="s">
        <v>833</v>
      </c>
      <c r="D85" s="3" t="s">
        <v>123</v>
      </c>
      <c r="E85" s="3" t="s">
        <v>123</v>
      </c>
      <c r="F85" s="26">
        <v>44562</v>
      </c>
      <c r="G85" s="1">
        <v>2022</v>
      </c>
      <c r="H85" s="1" t="s">
        <v>63</v>
      </c>
      <c r="I85" s="3" t="s">
        <v>123</v>
      </c>
      <c r="J85" s="1" t="s">
        <v>642</v>
      </c>
      <c r="K85" s="1" t="s">
        <v>123</v>
      </c>
      <c r="L85" s="1" t="b">
        <v>0</v>
      </c>
    </row>
    <row r="86" spans="1:12" x14ac:dyDescent="0.5">
      <c r="A86" s="1" t="s">
        <v>3349</v>
      </c>
      <c r="B86" s="3" t="s">
        <v>746</v>
      </c>
      <c r="C86" s="3" t="s">
        <v>123</v>
      </c>
      <c r="D86" s="3" t="s">
        <v>123</v>
      </c>
      <c r="E86" s="3" t="s">
        <v>117</v>
      </c>
      <c r="F86" s="26">
        <v>44927</v>
      </c>
      <c r="G86" s="1">
        <v>2023</v>
      </c>
      <c r="H86" s="1" t="s">
        <v>688</v>
      </c>
      <c r="I86" s="3" t="s">
        <v>123</v>
      </c>
      <c r="J86" s="1" t="s">
        <v>642</v>
      </c>
      <c r="K86" s="1" t="s">
        <v>123</v>
      </c>
      <c r="L86" s="1" t="b">
        <v>0</v>
      </c>
    </row>
    <row r="87" spans="1:12" x14ac:dyDescent="0.5">
      <c r="A87" s="1" t="s">
        <v>3350</v>
      </c>
      <c r="B87" s="3" t="s">
        <v>747</v>
      </c>
      <c r="C87" s="3" t="s">
        <v>123</v>
      </c>
      <c r="D87" s="3" t="s">
        <v>123</v>
      </c>
      <c r="E87" s="3" t="s">
        <v>123</v>
      </c>
      <c r="F87" s="26">
        <v>44927</v>
      </c>
      <c r="G87" s="1">
        <v>2023</v>
      </c>
      <c r="H87" s="1" t="s">
        <v>63</v>
      </c>
      <c r="I87" s="3" t="s">
        <v>123</v>
      </c>
      <c r="J87" s="1" t="s">
        <v>642</v>
      </c>
      <c r="K87" s="1" t="s">
        <v>123</v>
      </c>
      <c r="L87" s="1" t="b">
        <v>0</v>
      </c>
    </row>
    <row r="88" spans="1:12" ht="243.7" x14ac:dyDescent="0.5">
      <c r="A88" s="1" t="s">
        <v>3351</v>
      </c>
      <c r="B88" s="3" t="s">
        <v>752</v>
      </c>
      <c r="C88" s="3" t="s">
        <v>751</v>
      </c>
      <c r="D88" s="3" t="s">
        <v>754</v>
      </c>
      <c r="E88" s="3" t="s">
        <v>267</v>
      </c>
      <c r="F88" s="26">
        <v>45489</v>
      </c>
      <c r="G88" s="1">
        <v>2024</v>
      </c>
      <c r="H88" s="1" t="s">
        <v>61</v>
      </c>
      <c r="I88" s="3" t="s">
        <v>123</v>
      </c>
      <c r="J88" s="1" t="s">
        <v>642</v>
      </c>
      <c r="K88" s="1" t="s">
        <v>753</v>
      </c>
      <c r="L88" s="1" t="b">
        <v>1</v>
      </c>
    </row>
    <row r="89" spans="1:12" ht="28.7" x14ac:dyDescent="0.5">
      <c r="A89" s="1" t="s">
        <v>3352</v>
      </c>
      <c r="B89" s="3" t="s">
        <v>756</v>
      </c>
      <c r="C89" s="3" t="s">
        <v>755</v>
      </c>
      <c r="D89" s="3" t="s">
        <v>123</v>
      </c>
      <c r="E89" s="3" t="s">
        <v>757</v>
      </c>
      <c r="F89" s="26">
        <v>45017</v>
      </c>
      <c r="G89" s="1">
        <v>2023</v>
      </c>
      <c r="H89" s="1" t="s">
        <v>61</v>
      </c>
      <c r="I89" s="3" t="s">
        <v>123</v>
      </c>
      <c r="J89" s="1" t="s">
        <v>642</v>
      </c>
      <c r="K89" s="1" t="s">
        <v>758</v>
      </c>
      <c r="L89" s="1" t="b">
        <v>0</v>
      </c>
    </row>
    <row r="90" spans="1:12" ht="28.7" x14ac:dyDescent="0.5">
      <c r="A90" s="1" t="s">
        <v>3353</v>
      </c>
      <c r="B90" s="3" t="s">
        <v>760</v>
      </c>
      <c r="C90" s="3" t="s">
        <v>759</v>
      </c>
      <c r="D90" s="3" t="s">
        <v>123</v>
      </c>
      <c r="E90" s="3" t="s">
        <v>757</v>
      </c>
      <c r="F90" s="26">
        <v>45261</v>
      </c>
      <c r="G90" s="1">
        <v>2023</v>
      </c>
      <c r="H90" s="1" t="s">
        <v>61</v>
      </c>
      <c r="I90" s="3" t="s">
        <v>123</v>
      </c>
      <c r="J90" s="1" t="s">
        <v>642</v>
      </c>
      <c r="K90" s="1" t="s">
        <v>761</v>
      </c>
      <c r="L90" s="1" t="b">
        <v>0</v>
      </c>
    </row>
    <row r="91" spans="1:12" ht="28.7" x14ac:dyDescent="0.5">
      <c r="A91" s="1" t="s">
        <v>3354</v>
      </c>
      <c r="B91" s="3" t="s">
        <v>151</v>
      </c>
      <c r="C91" s="3" t="s">
        <v>762</v>
      </c>
      <c r="D91" s="3" t="s">
        <v>123</v>
      </c>
      <c r="E91" s="3" t="s">
        <v>152</v>
      </c>
      <c r="F91" s="26">
        <v>44440</v>
      </c>
      <c r="G91" s="1">
        <v>2021</v>
      </c>
      <c r="H91" s="1" t="s">
        <v>61</v>
      </c>
      <c r="I91" s="3" t="s">
        <v>123</v>
      </c>
      <c r="J91" s="1" t="s">
        <v>642</v>
      </c>
      <c r="K91" s="1" t="s">
        <v>153</v>
      </c>
      <c r="L91" s="1" t="b">
        <v>0</v>
      </c>
    </row>
    <row r="92" spans="1:12" ht="28.7" x14ac:dyDescent="0.5">
      <c r="A92" s="1" t="s">
        <v>3355</v>
      </c>
      <c r="B92" s="3" t="s">
        <v>764</v>
      </c>
      <c r="C92" s="3" t="s">
        <v>763</v>
      </c>
      <c r="D92" s="3" t="s">
        <v>123</v>
      </c>
      <c r="E92" s="3" t="s">
        <v>765</v>
      </c>
      <c r="F92" s="26">
        <v>45323</v>
      </c>
      <c r="G92" s="1">
        <v>2024</v>
      </c>
      <c r="H92" s="1" t="s">
        <v>61</v>
      </c>
      <c r="I92" s="3" t="s">
        <v>123</v>
      </c>
      <c r="J92" s="1" t="s">
        <v>642</v>
      </c>
      <c r="K92" s="1" t="s">
        <v>766</v>
      </c>
      <c r="L92" s="1" t="b">
        <v>0</v>
      </c>
    </row>
    <row r="93" spans="1:12" x14ac:dyDescent="0.5">
      <c r="A93" s="1" t="s">
        <v>3356</v>
      </c>
      <c r="B93" s="3" t="s">
        <v>748</v>
      </c>
      <c r="C93" s="3" t="s">
        <v>123</v>
      </c>
      <c r="D93" s="3" t="s">
        <v>123</v>
      </c>
      <c r="E93" s="3" t="s">
        <v>749</v>
      </c>
      <c r="F93" s="26">
        <v>44927</v>
      </c>
      <c r="G93" s="1">
        <v>2023</v>
      </c>
      <c r="H93" s="1" t="s">
        <v>688</v>
      </c>
      <c r="I93" s="3" t="s">
        <v>123</v>
      </c>
      <c r="J93" s="1" t="s">
        <v>642</v>
      </c>
      <c r="K93" s="1" t="s">
        <v>123</v>
      </c>
      <c r="L93" s="1" t="b">
        <v>0</v>
      </c>
    </row>
    <row r="94" spans="1:12" ht="28.7" x14ac:dyDescent="0.5">
      <c r="A94" s="1" t="s">
        <v>3357</v>
      </c>
      <c r="B94" s="3" t="s">
        <v>750</v>
      </c>
      <c r="C94" s="3" t="s">
        <v>123</v>
      </c>
      <c r="D94" s="3" t="s">
        <v>123</v>
      </c>
      <c r="E94" s="3" t="s">
        <v>123</v>
      </c>
      <c r="F94" s="26">
        <v>44927</v>
      </c>
      <c r="G94" s="1">
        <v>2023</v>
      </c>
      <c r="H94" s="1" t="s">
        <v>63</v>
      </c>
      <c r="I94" s="3" t="s">
        <v>123</v>
      </c>
      <c r="J94" s="1" t="s">
        <v>642</v>
      </c>
      <c r="K94" s="1" t="s">
        <v>123</v>
      </c>
      <c r="L94" s="1" t="b">
        <v>0</v>
      </c>
    </row>
    <row r="95" spans="1:12" ht="28.7" x14ac:dyDescent="0.5">
      <c r="A95" s="1" t="s">
        <v>3358</v>
      </c>
      <c r="B95" s="3" t="s">
        <v>769</v>
      </c>
      <c r="C95" s="3" t="s">
        <v>768</v>
      </c>
      <c r="D95" s="3" t="s">
        <v>123</v>
      </c>
      <c r="E95" s="3" t="s">
        <v>770</v>
      </c>
      <c r="F95" s="26">
        <v>45139</v>
      </c>
      <c r="G95" s="1">
        <v>2023</v>
      </c>
      <c r="H95" s="1" t="s">
        <v>61</v>
      </c>
      <c r="I95" s="3" t="s">
        <v>123</v>
      </c>
      <c r="J95" s="1" t="s">
        <v>642</v>
      </c>
      <c r="K95" s="1" t="s">
        <v>771</v>
      </c>
      <c r="L95" s="1" t="b">
        <v>0</v>
      </c>
    </row>
    <row r="96" spans="1:12" ht="28.7" x14ac:dyDescent="0.5">
      <c r="A96" s="1" t="s">
        <v>3359</v>
      </c>
      <c r="B96" s="3" t="s">
        <v>773</v>
      </c>
      <c r="C96" s="3" t="s">
        <v>772</v>
      </c>
      <c r="D96" s="3" t="s">
        <v>123</v>
      </c>
      <c r="E96" s="3" t="s">
        <v>271</v>
      </c>
      <c r="F96" s="26">
        <v>45108</v>
      </c>
      <c r="G96" s="1">
        <v>2023</v>
      </c>
      <c r="H96" s="1" t="s">
        <v>61</v>
      </c>
      <c r="I96" s="3" t="s">
        <v>123</v>
      </c>
      <c r="J96" s="1" t="s">
        <v>642</v>
      </c>
      <c r="K96" s="1" t="s">
        <v>774</v>
      </c>
      <c r="L96" s="1" t="b">
        <v>0</v>
      </c>
    </row>
    <row r="97" spans="1:12" ht="28.7" x14ac:dyDescent="0.5">
      <c r="A97" s="1" t="s">
        <v>3360</v>
      </c>
      <c r="B97" s="3" t="s">
        <v>776</v>
      </c>
      <c r="C97" s="3" t="s">
        <v>775</v>
      </c>
      <c r="D97" s="3" t="s">
        <v>123</v>
      </c>
      <c r="E97" s="3" t="s">
        <v>279</v>
      </c>
      <c r="F97" s="26">
        <v>45474</v>
      </c>
      <c r="G97" s="1">
        <v>2024</v>
      </c>
      <c r="H97" s="1" t="s">
        <v>61</v>
      </c>
      <c r="I97" s="3" t="s">
        <v>123</v>
      </c>
      <c r="J97" s="1" t="s">
        <v>642</v>
      </c>
      <c r="K97" s="1" t="s">
        <v>777</v>
      </c>
      <c r="L97" s="1" t="b">
        <v>0</v>
      </c>
    </row>
    <row r="98" spans="1:12" ht="28.7" x14ac:dyDescent="0.5">
      <c r="A98" s="1" t="s">
        <v>3361</v>
      </c>
      <c r="B98" s="3" t="s">
        <v>779</v>
      </c>
      <c r="C98" s="3" t="s">
        <v>778</v>
      </c>
      <c r="D98" s="3" t="s">
        <v>123</v>
      </c>
      <c r="E98" s="3" t="s">
        <v>180</v>
      </c>
      <c r="F98" s="26">
        <v>44958</v>
      </c>
      <c r="G98" s="1">
        <v>2023</v>
      </c>
      <c r="H98" s="1" t="s">
        <v>61</v>
      </c>
      <c r="I98" s="3" t="s">
        <v>123</v>
      </c>
      <c r="J98" s="1" t="s">
        <v>642</v>
      </c>
      <c r="K98" s="1" t="s">
        <v>780</v>
      </c>
      <c r="L98" s="1" t="b">
        <v>0</v>
      </c>
    </row>
    <row r="99" spans="1:12" x14ac:dyDescent="0.5">
      <c r="A99" s="1" t="s">
        <v>3362</v>
      </c>
      <c r="B99" s="3" t="s">
        <v>782</v>
      </c>
      <c r="C99" s="3" t="s">
        <v>781</v>
      </c>
      <c r="D99" s="3" t="s">
        <v>123</v>
      </c>
      <c r="E99" s="3" t="s">
        <v>783</v>
      </c>
      <c r="F99" s="26">
        <v>45261</v>
      </c>
      <c r="G99" s="1">
        <v>2023</v>
      </c>
      <c r="H99" s="1" t="s">
        <v>61</v>
      </c>
      <c r="I99" s="3" t="s">
        <v>123</v>
      </c>
      <c r="J99" s="1" t="s">
        <v>642</v>
      </c>
      <c r="K99" s="1" t="s">
        <v>784</v>
      </c>
      <c r="L99" s="1" t="b">
        <v>0</v>
      </c>
    </row>
    <row r="100" spans="1:12" ht="329.7" x14ac:dyDescent="0.5">
      <c r="A100" s="1" t="s">
        <v>3363</v>
      </c>
      <c r="B100" s="3" t="s">
        <v>786</v>
      </c>
      <c r="C100" s="3" t="s">
        <v>785</v>
      </c>
      <c r="D100" s="3" t="s">
        <v>789</v>
      </c>
      <c r="E100" s="3" t="s">
        <v>787</v>
      </c>
      <c r="F100" s="26">
        <v>45627</v>
      </c>
      <c r="G100" s="1">
        <v>2024</v>
      </c>
      <c r="H100" s="1" t="s">
        <v>61</v>
      </c>
      <c r="I100" s="3" t="s">
        <v>123</v>
      </c>
      <c r="J100" s="1" t="s">
        <v>642</v>
      </c>
      <c r="K100" s="1" t="s">
        <v>788</v>
      </c>
      <c r="L100" s="1" t="b">
        <v>1</v>
      </c>
    </row>
    <row r="101" spans="1:12" ht="409.6" x14ac:dyDescent="0.5">
      <c r="A101" s="1" t="s">
        <v>3364</v>
      </c>
      <c r="B101" s="3" t="s">
        <v>791</v>
      </c>
      <c r="C101" s="3" t="s">
        <v>790</v>
      </c>
      <c r="D101" s="3" t="s">
        <v>793</v>
      </c>
      <c r="E101" s="3" t="s">
        <v>267</v>
      </c>
      <c r="F101" s="26">
        <v>45226</v>
      </c>
      <c r="G101" s="1">
        <v>2023</v>
      </c>
      <c r="H101" s="1" t="s">
        <v>61</v>
      </c>
      <c r="I101" s="3" t="s">
        <v>123</v>
      </c>
      <c r="J101" s="1" t="s">
        <v>642</v>
      </c>
      <c r="K101" s="1" t="s">
        <v>792</v>
      </c>
      <c r="L101" s="1" t="b">
        <v>1</v>
      </c>
    </row>
    <row r="102" spans="1:12" ht="28.7" x14ac:dyDescent="0.5">
      <c r="A102" s="1" t="s">
        <v>3365</v>
      </c>
      <c r="B102" s="3" t="s">
        <v>795</v>
      </c>
      <c r="C102" s="3" t="s">
        <v>794</v>
      </c>
      <c r="D102" s="3" t="s">
        <v>123</v>
      </c>
      <c r="E102" s="3" t="s">
        <v>765</v>
      </c>
      <c r="F102" s="26">
        <v>45597</v>
      </c>
      <c r="G102" s="1">
        <v>2024</v>
      </c>
      <c r="H102" s="1" t="s">
        <v>61</v>
      </c>
      <c r="I102" s="3" t="s">
        <v>123</v>
      </c>
      <c r="J102" s="1" t="s">
        <v>642</v>
      </c>
      <c r="K102" s="1" t="s">
        <v>796</v>
      </c>
      <c r="L102" s="1" t="b">
        <v>0</v>
      </c>
    </row>
    <row r="103" spans="1:12" ht="28.7" x14ac:dyDescent="0.5">
      <c r="A103" s="1" t="s">
        <v>3366</v>
      </c>
      <c r="B103" s="3" t="s">
        <v>797</v>
      </c>
      <c r="C103" s="3" t="s">
        <v>123</v>
      </c>
      <c r="D103" s="3" t="s">
        <v>123</v>
      </c>
      <c r="E103" s="3" t="s">
        <v>137</v>
      </c>
      <c r="F103" s="26">
        <v>44706</v>
      </c>
      <c r="G103" s="1">
        <v>2022</v>
      </c>
      <c r="H103" s="1" t="s">
        <v>61</v>
      </c>
      <c r="I103" s="3" t="s">
        <v>123</v>
      </c>
      <c r="J103" s="1" t="s">
        <v>642</v>
      </c>
      <c r="K103" s="1" t="s">
        <v>138</v>
      </c>
      <c r="L103" s="1" t="b">
        <v>0</v>
      </c>
    </row>
    <row r="104" spans="1:12" ht="28.7" x14ac:dyDescent="0.5">
      <c r="A104" s="1" t="s">
        <v>3367</v>
      </c>
      <c r="B104" s="3" t="s">
        <v>215</v>
      </c>
      <c r="C104" s="3" t="s">
        <v>798</v>
      </c>
      <c r="D104" s="3" t="s">
        <v>123</v>
      </c>
      <c r="E104" s="3" t="s">
        <v>216</v>
      </c>
      <c r="F104" s="26">
        <v>44531</v>
      </c>
      <c r="G104" s="1">
        <v>2021</v>
      </c>
      <c r="H104" s="1" t="s">
        <v>61</v>
      </c>
      <c r="I104" s="3" t="s">
        <v>123</v>
      </c>
      <c r="J104" s="1" t="s">
        <v>642</v>
      </c>
      <c r="K104" s="1" t="s">
        <v>217</v>
      </c>
      <c r="L104" s="1" t="b">
        <v>0</v>
      </c>
    </row>
    <row r="105" spans="1:12" x14ac:dyDescent="0.5">
      <c r="A105" s="1" t="s">
        <v>3368</v>
      </c>
      <c r="B105" s="3" t="s">
        <v>800</v>
      </c>
      <c r="C105" s="3" t="s">
        <v>799</v>
      </c>
      <c r="D105" s="3" t="s">
        <v>123</v>
      </c>
      <c r="E105" s="3" t="s">
        <v>801</v>
      </c>
      <c r="F105" s="26">
        <v>45261</v>
      </c>
      <c r="G105" s="1">
        <v>2023</v>
      </c>
      <c r="H105" s="1" t="s">
        <v>61</v>
      </c>
      <c r="I105" s="3" t="s">
        <v>123</v>
      </c>
      <c r="J105" s="1" t="s">
        <v>642</v>
      </c>
      <c r="K105" s="1" t="s">
        <v>802</v>
      </c>
      <c r="L105" s="1" t="b">
        <v>0</v>
      </c>
    </row>
    <row r="106" spans="1:12" ht="28.7" x14ac:dyDescent="0.5">
      <c r="A106" s="1" t="s">
        <v>3369</v>
      </c>
      <c r="B106" s="3" t="s">
        <v>804</v>
      </c>
      <c r="C106" s="3" t="s">
        <v>803</v>
      </c>
      <c r="D106" s="3" t="s">
        <v>123</v>
      </c>
      <c r="E106" s="3" t="s">
        <v>805</v>
      </c>
      <c r="F106" s="26">
        <v>45345</v>
      </c>
      <c r="G106" s="1">
        <v>2024</v>
      </c>
      <c r="H106" s="1" t="s">
        <v>61</v>
      </c>
      <c r="I106" s="3" t="s">
        <v>123</v>
      </c>
      <c r="J106" s="1" t="s">
        <v>642</v>
      </c>
      <c r="K106" s="1" t="s">
        <v>806</v>
      </c>
      <c r="L106" s="1" t="b">
        <v>0</v>
      </c>
    </row>
    <row r="107" spans="1:12" x14ac:dyDescent="0.5">
      <c r="A107" s="1" t="s">
        <v>3370</v>
      </c>
      <c r="B107" s="3" t="s">
        <v>726</v>
      </c>
      <c r="C107" s="3" t="s">
        <v>123</v>
      </c>
      <c r="D107" s="3" t="s">
        <v>123</v>
      </c>
      <c r="E107" s="3" t="s">
        <v>57</v>
      </c>
      <c r="F107" s="26">
        <v>45292</v>
      </c>
      <c r="G107" s="1">
        <v>2024</v>
      </c>
      <c r="H107" s="1" t="s">
        <v>688</v>
      </c>
      <c r="I107" s="3" t="s">
        <v>123</v>
      </c>
      <c r="J107" s="1" t="s">
        <v>642</v>
      </c>
      <c r="K107" s="1" t="s">
        <v>123</v>
      </c>
      <c r="L107" s="1" t="b">
        <v>0</v>
      </c>
    </row>
    <row r="108" spans="1:12" ht="43" x14ac:dyDescent="0.5">
      <c r="A108" s="1" t="s">
        <v>3371</v>
      </c>
      <c r="B108" s="3" t="s">
        <v>727</v>
      </c>
      <c r="C108" s="3" t="s">
        <v>123</v>
      </c>
      <c r="D108" s="3" t="s">
        <v>123</v>
      </c>
      <c r="E108" s="3" t="s">
        <v>123</v>
      </c>
      <c r="F108" s="26">
        <v>45292</v>
      </c>
      <c r="G108" s="1">
        <v>2024</v>
      </c>
      <c r="H108" s="1" t="s">
        <v>63</v>
      </c>
      <c r="I108" s="3" t="s">
        <v>123</v>
      </c>
      <c r="J108" s="1" t="s">
        <v>642</v>
      </c>
      <c r="K108" s="1" t="s">
        <v>123</v>
      </c>
      <c r="L108" s="1" t="b">
        <v>0</v>
      </c>
    </row>
    <row r="109" spans="1:12" x14ac:dyDescent="0.5">
      <c r="A109" s="1" t="s">
        <v>3372</v>
      </c>
      <c r="B109" s="3" t="s">
        <v>731</v>
      </c>
      <c r="C109" s="3" t="s">
        <v>123</v>
      </c>
      <c r="D109" s="3" t="s">
        <v>123</v>
      </c>
      <c r="E109" s="3" t="s">
        <v>119</v>
      </c>
      <c r="F109" s="26">
        <v>45292</v>
      </c>
      <c r="G109" s="1">
        <v>2024</v>
      </c>
      <c r="H109" s="1" t="s">
        <v>688</v>
      </c>
      <c r="I109" s="3" t="s">
        <v>123</v>
      </c>
      <c r="J109" s="1" t="s">
        <v>642</v>
      </c>
      <c r="K109" s="1" t="s">
        <v>123</v>
      </c>
      <c r="L109" s="1" t="b">
        <v>0</v>
      </c>
    </row>
    <row r="110" spans="1:12" ht="57.35" x14ac:dyDescent="0.5">
      <c r="A110" s="1" t="s">
        <v>3373</v>
      </c>
      <c r="B110" s="3" t="s">
        <v>732</v>
      </c>
      <c r="C110" s="3" t="s">
        <v>123</v>
      </c>
      <c r="D110" s="3" t="s">
        <v>123</v>
      </c>
      <c r="E110" s="3" t="s">
        <v>123</v>
      </c>
      <c r="F110" s="26">
        <v>45292</v>
      </c>
      <c r="G110" s="1">
        <v>2024</v>
      </c>
      <c r="H110" s="1" t="s">
        <v>63</v>
      </c>
      <c r="I110" s="3" t="s">
        <v>123</v>
      </c>
      <c r="J110" s="1" t="s">
        <v>642</v>
      </c>
      <c r="K110" s="1" t="s">
        <v>123</v>
      </c>
      <c r="L110" s="1" t="b">
        <v>0</v>
      </c>
    </row>
    <row r="111" spans="1:12" x14ac:dyDescent="0.5">
      <c r="A111" s="1" t="s">
        <v>3374</v>
      </c>
      <c r="B111" s="3" t="s">
        <v>809</v>
      </c>
      <c r="C111" s="3" t="s">
        <v>808</v>
      </c>
      <c r="D111" s="3" t="s">
        <v>123</v>
      </c>
      <c r="E111" s="3" t="s">
        <v>184</v>
      </c>
      <c r="F111" s="26">
        <v>44927</v>
      </c>
      <c r="G111" s="1">
        <v>2023</v>
      </c>
      <c r="H111" s="1" t="s">
        <v>61</v>
      </c>
      <c r="I111" s="3" t="s">
        <v>123</v>
      </c>
      <c r="J111" s="1" t="s">
        <v>642</v>
      </c>
      <c r="K111" s="1" t="s">
        <v>810</v>
      </c>
      <c r="L111" s="1" t="b">
        <v>0</v>
      </c>
    </row>
    <row r="112" spans="1:12" ht="258" x14ac:dyDescent="0.5">
      <c r="A112" s="1" t="s">
        <v>3375</v>
      </c>
      <c r="B112" s="3" t="s">
        <v>812</v>
      </c>
      <c r="C112" s="3" t="s">
        <v>811</v>
      </c>
      <c r="D112" s="3" t="s">
        <v>815</v>
      </c>
      <c r="E112" s="3" t="s">
        <v>813</v>
      </c>
      <c r="F112" s="26">
        <v>45200</v>
      </c>
      <c r="G112" s="1">
        <v>2023</v>
      </c>
      <c r="H112" s="1" t="s">
        <v>61</v>
      </c>
      <c r="I112" s="3" t="s">
        <v>123</v>
      </c>
      <c r="J112" s="1" t="s">
        <v>642</v>
      </c>
      <c r="K112" s="1" t="s">
        <v>814</v>
      </c>
      <c r="L112" s="1" t="b">
        <v>1</v>
      </c>
    </row>
    <row r="113" spans="1:12" ht="186.35" x14ac:dyDescent="0.5">
      <c r="A113" s="1" t="s">
        <v>3376</v>
      </c>
      <c r="B113" s="3" t="s">
        <v>282</v>
      </c>
      <c r="C113" s="3" t="s">
        <v>816</v>
      </c>
      <c r="D113" s="3" t="s">
        <v>817</v>
      </c>
      <c r="E113" s="3" t="s">
        <v>284</v>
      </c>
      <c r="F113" s="26">
        <v>44805</v>
      </c>
      <c r="G113" s="1">
        <v>2022</v>
      </c>
      <c r="H113" s="1" t="s">
        <v>61</v>
      </c>
      <c r="I113" s="3" t="s">
        <v>123</v>
      </c>
      <c r="J113" s="1" t="s">
        <v>642</v>
      </c>
      <c r="K113" s="1" t="s">
        <v>285</v>
      </c>
      <c r="L113" s="1" t="b">
        <v>1</v>
      </c>
    </row>
    <row r="114" spans="1:12" ht="28.7" x14ac:dyDescent="0.5">
      <c r="A114" s="1" t="s">
        <v>3377</v>
      </c>
      <c r="B114" s="3" t="s">
        <v>218</v>
      </c>
      <c r="C114" s="3" t="s">
        <v>818</v>
      </c>
      <c r="D114" s="3" t="s">
        <v>123</v>
      </c>
      <c r="E114" s="3" t="s">
        <v>219</v>
      </c>
      <c r="F114" s="26">
        <v>44287</v>
      </c>
      <c r="G114" s="1">
        <v>2021</v>
      </c>
      <c r="H114" s="1" t="s">
        <v>61</v>
      </c>
      <c r="I114" s="3" t="s">
        <v>123</v>
      </c>
      <c r="J114" s="1" t="s">
        <v>642</v>
      </c>
      <c r="K114" s="1" t="s">
        <v>220</v>
      </c>
      <c r="L114" s="1" t="b">
        <v>0</v>
      </c>
    </row>
    <row r="115" spans="1:12" ht="28.7" x14ac:dyDescent="0.5">
      <c r="A115" s="1" t="s">
        <v>3378</v>
      </c>
      <c r="B115" s="3" t="s">
        <v>820</v>
      </c>
      <c r="C115" s="3" t="s">
        <v>819</v>
      </c>
      <c r="D115" s="3" t="s">
        <v>123</v>
      </c>
      <c r="E115" s="3" t="s">
        <v>289</v>
      </c>
      <c r="F115" s="26">
        <v>44958</v>
      </c>
      <c r="G115" s="1">
        <v>2023</v>
      </c>
      <c r="H115" s="1" t="s">
        <v>61</v>
      </c>
      <c r="I115" s="3" t="s">
        <v>123</v>
      </c>
      <c r="J115" s="1" t="s">
        <v>642</v>
      </c>
      <c r="K115" s="1" t="s">
        <v>821</v>
      </c>
      <c r="L115" s="1" t="b">
        <v>0</v>
      </c>
    </row>
    <row r="116" spans="1:12" ht="28.7" x14ac:dyDescent="0.5">
      <c r="A116" s="1" t="s">
        <v>3379</v>
      </c>
      <c r="B116" s="3" t="s">
        <v>212</v>
      </c>
      <c r="C116" s="3" t="s">
        <v>822</v>
      </c>
      <c r="D116" s="3" t="s">
        <v>123</v>
      </c>
      <c r="E116" s="3" t="s">
        <v>184</v>
      </c>
      <c r="F116" s="26">
        <v>44440</v>
      </c>
      <c r="G116" s="1">
        <v>2021</v>
      </c>
      <c r="H116" s="1" t="s">
        <v>61</v>
      </c>
      <c r="I116" s="3" t="s">
        <v>123</v>
      </c>
      <c r="J116" s="1" t="s">
        <v>642</v>
      </c>
      <c r="K116" s="1" t="s">
        <v>213</v>
      </c>
      <c r="L116" s="1" t="b">
        <v>0</v>
      </c>
    </row>
    <row r="117" spans="1:12" ht="28.7" x14ac:dyDescent="0.5">
      <c r="A117" s="1" t="s">
        <v>3380</v>
      </c>
      <c r="B117" s="3" t="s">
        <v>268</v>
      </c>
      <c r="C117" s="3" t="s">
        <v>823</v>
      </c>
      <c r="D117" s="3" t="s">
        <v>123</v>
      </c>
      <c r="E117" s="3" t="s">
        <v>269</v>
      </c>
      <c r="F117" s="26">
        <v>44531</v>
      </c>
      <c r="G117" s="1">
        <v>2021</v>
      </c>
      <c r="H117" s="1" t="s">
        <v>61</v>
      </c>
      <c r="I117" s="3" t="s">
        <v>123</v>
      </c>
      <c r="J117" s="1" t="s">
        <v>642</v>
      </c>
      <c r="K117" s="1" t="s">
        <v>270</v>
      </c>
      <c r="L117" s="1" t="b">
        <v>0</v>
      </c>
    </row>
    <row r="118" spans="1:12" ht="57.35" x14ac:dyDescent="0.5">
      <c r="A118" s="1" t="s">
        <v>3381</v>
      </c>
      <c r="B118" s="3" t="s">
        <v>242</v>
      </c>
      <c r="C118" s="3" t="s">
        <v>824</v>
      </c>
      <c r="D118" s="3" t="s">
        <v>123</v>
      </c>
      <c r="E118" s="3" t="s">
        <v>155</v>
      </c>
      <c r="F118" s="26">
        <v>44317</v>
      </c>
      <c r="G118" s="1">
        <v>2021</v>
      </c>
      <c r="H118" s="1" t="s">
        <v>61</v>
      </c>
      <c r="I118" s="3" t="s">
        <v>123</v>
      </c>
      <c r="J118" s="1" t="s">
        <v>642</v>
      </c>
      <c r="K118" s="1" t="s">
        <v>244</v>
      </c>
      <c r="L118" s="1" t="b">
        <v>0</v>
      </c>
    </row>
    <row r="119" spans="1:12" x14ac:dyDescent="0.5">
      <c r="A119" s="1" t="s">
        <v>3382</v>
      </c>
      <c r="B119" s="3" t="s">
        <v>139</v>
      </c>
      <c r="C119" s="3" t="s">
        <v>123</v>
      </c>
      <c r="D119" s="3" t="s">
        <v>123</v>
      </c>
      <c r="E119" s="3" t="s">
        <v>140</v>
      </c>
      <c r="F119" s="26">
        <v>44926</v>
      </c>
      <c r="G119" s="1">
        <v>2022</v>
      </c>
      <c r="H119" s="1" t="s">
        <v>61</v>
      </c>
      <c r="I119" s="3" t="s">
        <v>123</v>
      </c>
      <c r="J119" s="1" t="s">
        <v>642</v>
      </c>
      <c r="K119" s="1" t="s">
        <v>141</v>
      </c>
      <c r="L119" s="1" t="b">
        <v>1</v>
      </c>
    </row>
    <row r="120" spans="1:12" ht="28.7" x14ac:dyDescent="0.5">
      <c r="A120" s="1" t="s">
        <v>3383</v>
      </c>
      <c r="B120" s="3" t="s">
        <v>826</v>
      </c>
      <c r="C120" s="3" t="s">
        <v>825</v>
      </c>
      <c r="D120" s="3" t="s">
        <v>123</v>
      </c>
      <c r="E120" s="3" t="s">
        <v>163</v>
      </c>
      <c r="F120" s="26">
        <v>45017</v>
      </c>
      <c r="G120" s="1">
        <v>2023</v>
      </c>
      <c r="H120" s="1" t="s">
        <v>61</v>
      </c>
      <c r="I120" s="3" t="s">
        <v>123</v>
      </c>
      <c r="J120" s="1" t="s">
        <v>642</v>
      </c>
      <c r="K120" s="1" t="s">
        <v>827</v>
      </c>
      <c r="L120" s="1" t="b">
        <v>0</v>
      </c>
    </row>
    <row r="121" spans="1:12" x14ac:dyDescent="0.5">
      <c r="A121" s="1" t="s">
        <v>3384</v>
      </c>
      <c r="B121" s="3" t="s">
        <v>733</v>
      </c>
      <c r="C121" s="3" t="s">
        <v>123</v>
      </c>
      <c r="D121" s="3" t="s">
        <v>123</v>
      </c>
      <c r="E121" s="3" t="s">
        <v>734</v>
      </c>
      <c r="F121" s="26">
        <v>45292</v>
      </c>
      <c r="G121" s="1">
        <v>2024</v>
      </c>
      <c r="H121" s="1" t="s">
        <v>688</v>
      </c>
      <c r="I121" s="3" t="s">
        <v>123</v>
      </c>
      <c r="J121" s="1" t="s">
        <v>642</v>
      </c>
      <c r="K121" s="1" t="s">
        <v>123</v>
      </c>
      <c r="L121" s="1" t="b">
        <v>0</v>
      </c>
    </row>
    <row r="122" spans="1:12" x14ac:dyDescent="0.5">
      <c r="A122" s="1" t="s">
        <v>3385</v>
      </c>
      <c r="B122" s="3" t="s">
        <v>735</v>
      </c>
      <c r="C122" s="3" t="s">
        <v>123</v>
      </c>
      <c r="D122" s="3" t="s">
        <v>123</v>
      </c>
      <c r="E122" s="3" t="s">
        <v>123</v>
      </c>
      <c r="F122" s="26">
        <v>45292</v>
      </c>
      <c r="G122" s="1">
        <v>2024</v>
      </c>
      <c r="H122" s="1" t="s">
        <v>63</v>
      </c>
      <c r="I122" s="3" t="s">
        <v>123</v>
      </c>
      <c r="J122" s="1" t="s">
        <v>642</v>
      </c>
      <c r="K122" s="1" t="s">
        <v>123</v>
      </c>
      <c r="L122" s="1" t="b">
        <v>0</v>
      </c>
    </row>
    <row r="123" spans="1:12" ht="28.7" x14ac:dyDescent="0.5">
      <c r="A123" s="1" t="s">
        <v>3386</v>
      </c>
      <c r="B123" s="3" t="s">
        <v>259</v>
      </c>
      <c r="C123" s="3" t="s">
        <v>832</v>
      </c>
      <c r="D123" s="3" t="s">
        <v>123</v>
      </c>
      <c r="E123" s="3" t="s">
        <v>155</v>
      </c>
      <c r="F123" s="26">
        <v>44593</v>
      </c>
      <c r="G123" s="1">
        <v>2022</v>
      </c>
      <c r="H123" s="1" t="s">
        <v>61</v>
      </c>
      <c r="I123" s="3" t="s">
        <v>123</v>
      </c>
      <c r="J123" s="1" t="s">
        <v>642</v>
      </c>
      <c r="K123" s="1" t="s">
        <v>260</v>
      </c>
      <c r="L123" s="1" t="b">
        <v>0</v>
      </c>
    </row>
    <row r="124" spans="1:12" x14ac:dyDescent="0.5">
      <c r="A124" s="1" t="s">
        <v>3387</v>
      </c>
      <c r="B124" s="3" t="s">
        <v>147</v>
      </c>
      <c r="C124" s="3" t="s">
        <v>123</v>
      </c>
      <c r="D124" s="3" t="s">
        <v>123</v>
      </c>
      <c r="E124" s="3" t="s">
        <v>148</v>
      </c>
      <c r="F124" s="26">
        <v>44440</v>
      </c>
      <c r="G124" s="1">
        <v>2021</v>
      </c>
      <c r="H124" s="1" t="s">
        <v>61</v>
      </c>
      <c r="I124" s="3" t="s">
        <v>123</v>
      </c>
      <c r="J124" s="1" t="s">
        <v>642</v>
      </c>
      <c r="K124" s="1" t="s">
        <v>149</v>
      </c>
      <c r="L124" s="1" t="b">
        <v>0</v>
      </c>
    </row>
    <row r="125" spans="1:12" x14ac:dyDescent="0.5">
      <c r="A125" s="1" t="s">
        <v>3388</v>
      </c>
      <c r="B125" s="3" t="s">
        <v>828</v>
      </c>
      <c r="C125" s="3" t="s">
        <v>123</v>
      </c>
      <c r="D125" s="3" t="s">
        <v>123</v>
      </c>
      <c r="E125" s="3" t="s">
        <v>829</v>
      </c>
      <c r="F125" s="26">
        <v>45292</v>
      </c>
      <c r="G125" s="1">
        <v>2024</v>
      </c>
      <c r="H125" s="1" t="s">
        <v>688</v>
      </c>
      <c r="I125" s="3" t="s">
        <v>123</v>
      </c>
      <c r="J125" s="1" t="s">
        <v>642</v>
      </c>
      <c r="K125" s="1" t="s">
        <v>123</v>
      </c>
      <c r="L125" s="1" t="b">
        <v>0</v>
      </c>
    </row>
    <row r="126" spans="1:12" x14ac:dyDescent="0.5">
      <c r="A126" s="1" t="s">
        <v>3389</v>
      </c>
      <c r="B126" s="3" t="s">
        <v>831</v>
      </c>
      <c r="C126" s="3" t="s">
        <v>830</v>
      </c>
      <c r="D126" s="3" t="s">
        <v>123</v>
      </c>
      <c r="E126" s="3" t="s">
        <v>123</v>
      </c>
      <c r="F126" s="26">
        <v>45292</v>
      </c>
      <c r="G126" s="1">
        <v>2024</v>
      </c>
      <c r="H126" s="1" t="s">
        <v>63</v>
      </c>
      <c r="I126" s="3" t="s">
        <v>123</v>
      </c>
      <c r="J126" s="1" t="s">
        <v>642</v>
      </c>
      <c r="K126" s="1" t="s">
        <v>123</v>
      </c>
      <c r="L126" s="1"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8CB2-82D6-4576-A4C0-B004D93B6B21}">
  <sheetPr codeName="Sheet18"/>
  <dimension ref="B3:J45"/>
  <sheetViews>
    <sheetView tabSelected="1" topLeftCell="C7" workbookViewId="0">
      <selection activeCell="D28" sqref="D28"/>
    </sheetView>
  </sheetViews>
  <sheetFormatPr defaultRowHeight="14.35" x14ac:dyDescent="0.5"/>
  <cols>
    <col min="2" max="2" width="12.05859375" bestFit="1" customWidth="1"/>
    <col min="3" max="3" width="15.3515625" bestFit="1" customWidth="1"/>
    <col min="4" max="4" width="18.8203125" bestFit="1" customWidth="1"/>
    <col min="5" max="5" width="15.3515625" bestFit="1" customWidth="1"/>
    <col min="6" max="6" width="18.8203125" bestFit="1" customWidth="1"/>
    <col min="7" max="7" width="17.8203125" bestFit="1" customWidth="1"/>
    <col min="8" max="8" width="15.87890625" bestFit="1" customWidth="1"/>
    <col min="9" max="9" width="21.46875" bestFit="1" customWidth="1"/>
    <col min="10" max="10" width="21.703125" bestFit="1" customWidth="1"/>
  </cols>
  <sheetData>
    <row r="3" spans="2:10" ht="20.7" x14ac:dyDescent="0.5">
      <c r="B3" s="77" t="s">
        <v>2500</v>
      </c>
      <c r="C3" s="77"/>
      <c r="D3" s="77"/>
      <c r="E3" s="77"/>
      <c r="F3" s="77"/>
      <c r="G3" s="77"/>
      <c r="H3" s="77"/>
      <c r="I3" s="77"/>
      <c r="J3" s="77"/>
    </row>
    <row r="4" spans="2:10" ht="14.7" thickBot="1" x14ac:dyDescent="0.55000000000000004">
      <c r="B4" s="21" t="s">
        <v>620</v>
      </c>
      <c r="C4" s="22" t="s">
        <v>2460</v>
      </c>
      <c r="D4" s="22" t="s">
        <v>2477</v>
      </c>
      <c r="E4" s="22" t="s">
        <v>2478</v>
      </c>
      <c r="F4" s="22" t="s">
        <v>2479</v>
      </c>
      <c r="G4" s="31" t="s">
        <v>2498</v>
      </c>
      <c r="H4" s="31" t="s">
        <v>2499</v>
      </c>
      <c r="I4" s="31" t="s">
        <v>2501</v>
      </c>
      <c r="J4" s="31" t="s">
        <v>2502</v>
      </c>
    </row>
    <row r="5" spans="2:10" ht="14.7" thickTop="1" x14ac:dyDescent="0.5">
      <c r="B5" s="6" t="s">
        <v>45</v>
      </c>
      <c r="C5" s="3">
        <v>154</v>
      </c>
      <c r="D5" s="3">
        <v>154</v>
      </c>
      <c r="E5" s="3">
        <v>64</v>
      </c>
      <c r="F5" s="3">
        <v>64</v>
      </c>
      <c r="G5" s="1">
        <f>Table10192636[[#This Row],[Total @2024]]-Table10192636[[#This Row],[Total @2020]]</f>
        <v>90</v>
      </c>
      <c r="H5" s="1">
        <f>Table10192636[[#This Row],[Available @2024]]-Table10192636[[#This Row],[Available @2020]]</f>
        <v>90</v>
      </c>
      <c r="I5" s="32">
        <f>Table10192636[[#This Row],[Tally Difference]]/Table10192636[[#This Row],[Total @2024]]</f>
        <v>0.58441558441558439</v>
      </c>
      <c r="J5" s="32">
        <f>Table10192636[[#This Row],[Available Diff]]/Table10192636[[#This Row],[Available @2024]]</f>
        <v>0.58441558441558439</v>
      </c>
    </row>
    <row r="6" spans="2:10" x14ac:dyDescent="0.5">
      <c r="B6" s="6" t="s">
        <v>47</v>
      </c>
      <c r="C6" s="3">
        <v>153</v>
      </c>
      <c r="D6" s="3">
        <v>41</v>
      </c>
      <c r="E6" s="3">
        <v>113</v>
      </c>
      <c r="F6" s="3">
        <v>24</v>
      </c>
      <c r="G6" s="1">
        <f>Table10192636[[#This Row],[Total @2024]]-Table10192636[[#This Row],[Total @2020]]</f>
        <v>40</v>
      </c>
      <c r="H6" s="1">
        <f>Table10192636[[#This Row],[Available @2024]]-Table10192636[[#This Row],[Available @2020]]</f>
        <v>17</v>
      </c>
      <c r="I6" s="32">
        <f>Table10192636[[#This Row],[Tally Difference]]/Table10192636[[#This Row],[Total @2024]]</f>
        <v>0.26143790849673204</v>
      </c>
      <c r="J6" s="32">
        <f>Table10192636[[#This Row],[Available Diff]]/Table10192636[[#This Row],[Available @2024]]</f>
        <v>0.41463414634146339</v>
      </c>
    </row>
    <row r="7" spans="2:10" x14ac:dyDescent="0.5">
      <c r="B7" s="6" t="s">
        <v>0</v>
      </c>
      <c r="C7" s="3">
        <v>174</v>
      </c>
      <c r="D7" s="3">
        <v>32</v>
      </c>
      <c r="E7" s="3">
        <v>128</v>
      </c>
      <c r="F7" s="3">
        <v>12</v>
      </c>
      <c r="G7" s="1">
        <f>Table10192636[[#This Row],[Total @2024]]-Table10192636[[#This Row],[Total @2020]]</f>
        <v>46</v>
      </c>
      <c r="H7" s="1">
        <f>Table10192636[[#This Row],[Available @2024]]-Table10192636[[#This Row],[Available @2020]]</f>
        <v>20</v>
      </c>
      <c r="I7" s="32">
        <f>Table10192636[[#This Row],[Tally Difference]]/Table10192636[[#This Row],[Total @2024]]</f>
        <v>0.26436781609195403</v>
      </c>
      <c r="J7" s="32">
        <f>Table10192636[[#This Row],[Available Diff]]/Table10192636[[#This Row],[Available @2024]]</f>
        <v>0.625</v>
      </c>
    </row>
    <row r="8" spans="2:10" x14ac:dyDescent="0.5">
      <c r="B8" s="6" t="s">
        <v>48</v>
      </c>
      <c r="C8" s="3">
        <v>443</v>
      </c>
      <c r="D8" s="3">
        <v>382</v>
      </c>
      <c r="E8" s="3">
        <v>190</v>
      </c>
      <c r="F8" s="3">
        <v>165</v>
      </c>
      <c r="G8" s="1">
        <f>Table10192636[[#This Row],[Total @2024]]-Table10192636[[#This Row],[Total @2020]]</f>
        <v>253</v>
      </c>
      <c r="H8" s="1">
        <f>Table10192636[[#This Row],[Available @2024]]-Table10192636[[#This Row],[Available @2020]]</f>
        <v>217</v>
      </c>
      <c r="I8" s="32">
        <f>Table10192636[[#This Row],[Tally Difference]]/Table10192636[[#This Row],[Total @2024]]</f>
        <v>0.57110609480812646</v>
      </c>
      <c r="J8" s="32">
        <f>Table10192636[[#This Row],[Available Diff]]/Table10192636[[#This Row],[Available @2024]]</f>
        <v>0.56806282722513091</v>
      </c>
    </row>
    <row r="9" spans="2:10" x14ac:dyDescent="0.5">
      <c r="B9" s="6" t="s">
        <v>1</v>
      </c>
      <c r="C9" s="3">
        <v>149</v>
      </c>
      <c r="D9" s="3">
        <v>149</v>
      </c>
      <c r="E9" s="3">
        <v>94</v>
      </c>
      <c r="F9" s="3">
        <v>94</v>
      </c>
      <c r="G9" s="1">
        <f>Table10192636[[#This Row],[Total @2024]]-Table10192636[[#This Row],[Total @2020]]</f>
        <v>55</v>
      </c>
      <c r="H9" s="1">
        <f>Table10192636[[#This Row],[Available @2024]]-Table10192636[[#This Row],[Available @2020]]</f>
        <v>55</v>
      </c>
      <c r="I9" s="32">
        <f>Table10192636[[#This Row],[Tally Difference]]/Table10192636[[#This Row],[Total @2024]]</f>
        <v>0.36912751677852351</v>
      </c>
      <c r="J9" s="32">
        <f>Table10192636[[#This Row],[Available Diff]]/Table10192636[[#This Row],[Available @2024]]</f>
        <v>0.36912751677852351</v>
      </c>
    </row>
    <row r="10" spans="2:10" x14ac:dyDescent="0.5">
      <c r="B10" s="6" t="s">
        <v>2503</v>
      </c>
      <c r="C10" s="3">
        <f>SUBTOTAL(109,Table10192636[Total @2024])</f>
        <v>1073</v>
      </c>
      <c r="D10" s="3">
        <f>SUBTOTAL(109,Table10192636[Available @2024])</f>
        <v>758</v>
      </c>
      <c r="E10" s="3">
        <f>SUBTOTAL(109,Table10192636[Total @2020])</f>
        <v>589</v>
      </c>
      <c r="F10" s="3">
        <f>SUBTOTAL(109,Table10192636[Available @2020])</f>
        <v>359</v>
      </c>
      <c r="G10" s="3">
        <f>SUBTOTAL(109,Table10192636[Tally Difference])</f>
        <v>484</v>
      </c>
      <c r="H10" s="3">
        <f>SUBTOTAL(109,Table10192636[Available Diff])</f>
        <v>399</v>
      </c>
      <c r="I10" s="33">
        <f>SUBTOTAL(101,Table10192636[Tally Pct Change '[%']])</f>
        <v>0.41009098411818401</v>
      </c>
      <c r="J10" s="33">
        <f>SUBTOTAL(101,Table10192636[Avail Pct Change '[%']])</f>
        <v>0.51224801495214045</v>
      </c>
    </row>
    <row r="12" spans="2:10" x14ac:dyDescent="0.5">
      <c r="B12" t="s">
        <v>2508</v>
      </c>
      <c r="D12" s="32">
        <f>(Table10192636[[#Totals],[Total @2024]]-Table10192636[[#Totals],[Available @2024]])/Table10192636[[#Totals],[Total @2024]]</f>
        <v>0.29356943150046599</v>
      </c>
      <c r="F12" s="32">
        <f>(Table10192636[[#Totals],[Total @2020]]-Table10192636[[#Totals],[Available @2020]])/Table10192636[[#Totals],[Total @2020]]</f>
        <v>0.39049235993208831</v>
      </c>
      <c r="H12" s="1" t="s">
        <v>2504</v>
      </c>
      <c r="I12" s="32">
        <f>MIN(Table10192636[[#Data],[#Totals],[Tally Pct Change '[%']]])</f>
        <v>0.26143790849673204</v>
      </c>
      <c r="J12" s="32">
        <f>MIN(Table10192636[[#Data],[#Totals],[Avail Pct Change '[%']]])</f>
        <v>0.36912751677852351</v>
      </c>
    </row>
    <row r="13" spans="2:10" x14ac:dyDescent="0.5">
      <c r="H13" s="1" t="s">
        <v>2505</v>
      </c>
      <c r="I13" s="32">
        <f>MAX(Table10192636[[#Data],[#Totals],[Tally Pct Change '[%']]])</f>
        <v>0.58441558441558439</v>
      </c>
      <c r="J13" s="32">
        <f>MAX(Table10192636[[#Data],[#Totals],[Avail Pct Change '[%']]])</f>
        <v>0.625</v>
      </c>
    </row>
    <row r="14" spans="2:10" x14ac:dyDescent="0.5">
      <c r="H14" s="1" t="s">
        <v>2506</v>
      </c>
      <c r="I14" s="32">
        <f>AVERAGE(Table10192636[[#Data],[#Totals],[Tally Pct Change '[%']]])</f>
        <v>0.41009098411818407</v>
      </c>
      <c r="J14" s="32">
        <f>AVERAGE(Table10192636[[#Data],[#Totals],[Avail Pct Change '[%']]])</f>
        <v>0.51224801495214045</v>
      </c>
    </row>
    <row r="15" spans="2:10" x14ac:dyDescent="0.5">
      <c r="H15" s="1" t="s">
        <v>2507</v>
      </c>
      <c r="I15" s="32">
        <f>_xlfn.STDEV.P(Table10192636[[#Data],[#Totals],[Tally Pct Change '[%']]])</f>
        <v>0.12995250182736542</v>
      </c>
      <c r="J15" s="32">
        <f>_xlfn.STDEV.P(Table10192636[[#Data],[#Totals],[Avail Pct Change '[%']]])</f>
        <v>9.2239187104478329E-2</v>
      </c>
    </row>
    <row r="19" spans="2:10" ht="20.7" x14ac:dyDescent="0.5">
      <c r="B19" s="77" t="s">
        <v>4214</v>
      </c>
      <c r="C19" s="77"/>
      <c r="D19" s="77"/>
      <c r="E19" s="77"/>
      <c r="F19" s="77"/>
      <c r="G19" s="77"/>
      <c r="H19" s="77"/>
      <c r="I19" s="77"/>
      <c r="J19" s="77"/>
    </row>
    <row r="20" spans="2:10" ht="14.7" thickBot="1" x14ac:dyDescent="0.55000000000000004">
      <c r="B20" s="21" t="s">
        <v>620</v>
      </c>
      <c r="C20" s="22" t="s">
        <v>2460</v>
      </c>
      <c r="D20" s="22" t="s">
        <v>2477</v>
      </c>
      <c r="E20" s="22" t="s">
        <v>2478</v>
      </c>
      <c r="F20" s="22" t="s">
        <v>2479</v>
      </c>
      <c r="G20" s="31" t="s">
        <v>2498</v>
      </c>
      <c r="H20" s="31" t="s">
        <v>2499</v>
      </c>
      <c r="I20" s="31" t="s">
        <v>2501</v>
      </c>
      <c r="J20" s="31" t="s">
        <v>2502</v>
      </c>
    </row>
    <row r="21" spans="2:10" ht="14.7" thickTop="1" x14ac:dyDescent="0.5">
      <c r="B21" s="6" t="s">
        <v>45</v>
      </c>
      <c r="C21" s="1">
        <v>130</v>
      </c>
      <c r="D21" s="1">
        <v>130</v>
      </c>
      <c r="E21" s="3">
        <v>40</v>
      </c>
      <c r="F21" s="3">
        <v>40</v>
      </c>
      <c r="G21" s="1">
        <f>Table1019263623[[#This Row],[Total @2024]]-Table1019263623[[#This Row],[Total @2020]]</f>
        <v>90</v>
      </c>
      <c r="H21" s="1">
        <f>Table1019263623[[#This Row],[Available @2024]]-Table1019263623[[#This Row],[Available @2020]]</f>
        <v>90</v>
      </c>
      <c r="I21" s="32">
        <f>Table1019263623[[#This Row],[Tally Difference]]/Table1019263623[[#This Row],[Total @2024]]</f>
        <v>0.69230769230769229</v>
      </c>
      <c r="J21" s="32">
        <f>Table1019263623[[#This Row],[Available Diff]]/Table1019263623[[#This Row],[Available @2024]]</f>
        <v>0.69230769230769229</v>
      </c>
    </row>
    <row r="22" spans="2:10" x14ac:dyDescent="0.5">
      <c r="B22" s="6" t="s">
        <v>47</v>
      </c>
      <c r="C22" s="1">
        <v>119</v>
      </c>
      <c r="D22" s="1">
        <v>39</v>
      </c>
      <c r="E22" s="3">
        <v>79</v>
      </c>
      <c r="F22" s="3">
        <v>22</v>
      </c>
      <c r="G22" s="1">
        <f>Table1019263623[[#This Row],[Total @2024]]-Table1019263623[[#This Row],[Total @2020]]</f>
        <v>40</v>
      </c>
      <c r="H22" s="1">
        <f>Table1019263623[[#This Row],[Available @2024]]-Table1019263623[[#This Row],[Available @2020]]</f>
        <v>17</v>
      </c>
      <c r="I22" s="32">
        <f>Table1019263623[[#This Row],[Tally Difference]]/Table1019263623[[#This Row],[Total @2024]]</f>
        <v>0.33613445378151263</v>
      </c>
      <c r="J22" s="32">
        <f>Table1019263623[[#This Row],[Available Diff]]/Table1019263623[[#This Row],[Available @2024]]</f>
        <v>0.4358974358974359</v>
      </c>
    </row>
    <row r="23" spans="2:10" x14ac:dyDescent="0.5">
      <c r="B23" s="6" t="s">
        <v>0</v>
      </c>
      <c r="C23" s="1">
        <v>99</v>
      </c>
      <c r="D23" s="1">
        <v>30</v>
      </c>
      <c r="E23" s="3">
        <v>53</v>
      </c>
      <c r="F23" s="3">
        <v>10</v>
      </c>
      <c r="G23" s="1">
        <f>Table1019263623[[#This Row],[Total @2024]]-Table1019263623[[#This Row],[Total @2020]]</f>
        <v>46</v>
      </c>
      <c r="H23" s="1">
        <f>Table1019263623[[#This Row],[Available @2024]]-Table1019263623[[#This Row],[Available @2020]]</f>
        <v>20</v>
      </c>
      <c r="I23" s="32">
        <f>Table1019263623[[#This Row],[Tally Difference]]/Table1019263623[[#This Row],[Total @2024]]</f>
        <v>0.46464646464646464</v>
      </c>
      <c r="J23" s="32">
        <f>Table1019263623[[#This Row],[Available Diff]]/Table1019263623[[#This Row],[Available @2024]]</f>
        <v>0.66666666666666663</v>
      </c>
    </row>
    <row r="24" spans="2:10" x14ac:dyDescent="0.5">
      <c r="B24" s="6" t="s">
        <v>48</v>
      </c>
      <c r="C24" s="1">
        <v>412</v>
      </c>
      <c r="D24" s="1">
        <v>357</v>
      </c>
      <c r="E24" s="3">
        <v>159</v>
      </c>
      <c r="F24" s="3">
        <v>140</v>
      </c>
      <c r="G24" s="1">
        <f>Table1019263623[[#This Row],[Total @2024]]-Table1019263623[[#This Row],[Total @2020]]</f>
        <v>253</v>
      </c>
      <c r="H24" s="1">
        <f>Table1019263623[[#This Row],[Available @2024]]-Table1019263623[[#This Row],[Available @2020]]</f>
        <v>217</v>
      </c>
      <c r="I24" s="32">
        <f>Table1019263623[[#This Row],[Tally Difference]]/Table1019263623[[#This Row],[Total @2024]]</f>
        <v>0.61407766990291257</v>
      </c>
      <c r="J24" s="32">
        <f>Table1019263623[[#This Row],[Available Diff]]/Table1019263623[[#This Row],[Available @2024]]</f>
        <v>0.60784313725490191</v>
      </c>
    </row>
    <row r="25" spans="2:10" x14ac:dyDescent="0.5">
      <c r="B25" s="6" t="s">
        <v>1</v>
      </c>
      <c r="C25" s="1">
        <v>100</v>
      </c>
      <c r="D25" s="1">
        <v>100</v>
      </c>
      <c r="E25" s="3">
        <v>45</v>
      </c>
      <c r="F25" s="3">
        <v>45</v>
      </c>
      <c r="G25" s="1">
        <f>Table1019263623[[#This Row],[Total @2024]]-Table1019263623[[#This Row],[Total @2020]]</f>
        <v>55</v>
      </c>
      <c r="H25" s="1">
        <f>Table1019263623[[#This Row],[Available @2024]]-Table1019263623[[#This Row],[Available @2020]]</f>
        <v>55</v>
      </c>
      <c r="I25" s="32">
        <f>Table1019263623[[#This Row],[Tally Difference]]/Table1019263623[[#This Row],[Total @2024]]</f>
        <v>0.55000000000000004</v>
      </c>
      <c r="J25" s="32">
        <f>Table1019263623[[#This Row],[Available Diff]]/Table1019263623[[#This Row],[Available @2024]]</f>
        <v>0.55000000000000004</v>
      </c>
    </row>
    <row r="26" spans="2:10" x14ac:dyDescent="0.5">
      <c r="B26" s="6" t="s">
        <v>2503</v>
      </c>
      <c r="C26" s="3">
        <f>SUBTOTAL(109,Table1019263623[Total @2024])</f>
        <v>860</v>
      </c>
      <c r="D26" s="3">
        <f>SUBTOTAL(109,Table1019263623[Available @2024])</f>
        <v>656</v>
      </c>
      <c r="E26" s="3">
        <f>SUBTOTAL(109,Table1019263623[Total @2020])</f>
        <v>376</v>
      </c>
      <c r="F26" s="3">
        <f>SUBTOTAL(109,Table1019263623[Available @2020])</f>
        <v>257</v>
      </c>
      <c r="G26" s="3">
        <f>SUBTOTAL(109,Table1019263623[Tally Difference])</f>
        <v>484</v>
      </c>
      <c r="H26" s="3">
        <f>SUBTOTAL(109,Table1019263623[Available Diff])</f>
        <v>399</v>
      </c>
      <c r="I26" s="33">
        <f>SUBTOTAL(101,Table1019263623[Tally Pct Change '[%']])</f>
        <v>0.53143325612771641</v>
      </c>
      <c r="J26" s="33">
        <f>SUBTOTAL(101,Table1019263623[Avail Pct Change '[%']])</f>
        <v>0.59054298642533942</v>
      </c>
    </row>
    <row r="28" spans="2:10" x14ac:dyDescent="0.5">
      <c r="B28" t="s">
        <v>2508</v>
      </c>
      <c r="D28" s="32">
        <f>Table1019263623[[#Totals],[Available @2024]]/Table1019263623[[#Totals],[Total @2024]]</f>
        <v>0.76279069767441865</v>
      </c>
      <c r="F28" s="32">
        <f>(Table1019263623[[#Totals],[Available @2020]])/Table1019263623[[#Totals],[Total @2020]]</f>
        <v>0.68351063829787229</v>
      </c>
      <c r="H28" s="1" t="s">
        <v>2504</v>
      </c>
      <c r="I28" s="32">
        <f>MIN(Table1019263623[[#Data],[#Totals],[Tally Pct Change '[%']]])</f>
        <v>0.33613445378151263</v>
      </c>
      <c r="J28" s="32">
        <f>MIN(Table1019263623[[#Data],[#Totals],[Avail Pct Change '[%']]])</f>
        <v>0.4358974358974359</v>
      </c>
    </row>
    <row r="29" spans="2:10" x14ac:dyDescent="0.5">
      <c r="H29" s="1" t="s">
        <v>2505</v>
      </c>
      <c r="I29" s="32">
        <f>MAX(Table1019263623[[#Data],[#Totals],[Tally Pct Change '[%']]])</f>
        <v>0.69230769230769229</v>
      </c>
      <c r="J29" s="32">
        <f>MAX(Table1019263623[[#Data],[#Totals],[Avail Pct Change '[%']]])</f>
        <v>0.69230769230769229</v>
      </c>
    </row>
    <row r="30" spans="2:10" x14ac:dyDescent="0.5">
      <c r="H30" s="1" t="s">
        <v>2506</v>
      </c>
      <c r="I30" s="32">
        <f>AVERAGE(Table1019263623[[#Data],[#Totals],[Tally Pct Change '[%']]])</f>
        <v>0.5314332561277163</v>
      </c>
      <c r="J30" s="32">
        <f>AVERAGE(Table1019263623[[#Data],[#Totals],[Avail Pct Change '[%']]])</f>
        <v>0.59054298642533942</v>
      </c>
    </row>
    <row r="31" spans="2:10" x14ac:dyDescent="0.5">
      <c r="H31" s="1" t="s">
        <v>2507</v>
      </c>
      <c r="I31" s="32">
        <f>_xlfn.STDEV.P(Table1019263623[[#Data],[#Totals],[Tally Pct Change '[%']]])</f>
        <v>0.11229240478672355</v>
      </c>
      <c r="J31" s="32">
        <f>_xlfn.STDEV.P(Table1019263623[[#Data],[#Totals],[Avail Pct Change '[%']]])</f>
        <v>8.3675111116244164E-2</v>
      </c>
    </row>
    <row r="39" spans="2:8" x14ac:dyDescent="0.5">
      <c r="B39" t="s">
        <v>620</v>
      </c>
      <c r="C39" t="s">
        <v>2458</v>
      </c>
      <c r="D39" t="s">
        <v>2476</v>
      </c>
      <c r="F39" t="s">
        <v>620</v>
      </c>
      <c r="G39" t="s">
        <v>2458</v>
      </c>
      <c r="H39" t="s">
        <v>2476</v>
      </c>
    </row>
    <row r="40" spans="2:8" x14ac:dyDescent="0.5">
      <c r="B40" t="s">
        <v>45</v>
      </c>
      <c r="C40">
        <v>130</v>
      </c>
      <c r="D40">
        <v>130</v>
      </c>
      <c r="F40" t="s">
        <v>45</v>
      </c>
      <c r="G40">
        <v>40</v>
      </c>
      <c r="H40">
        <v>40</v>
      </c>
    </row>
    <row r="41" spans="2:8" x14ac:dyDescent="0.5">
      <c r="B41" t="s">
        <v>47</v>
      </c>
      <c r="C41">
        <v>119</v>
      </c>
      <c r="D41">
        <v>39</v>
      </c>
      <c r="F41" t="s">
        <v>47</v>
      </c>
      <c r="G41">
        <v>79</v>
      </c>
      <c r="H41">
        <v>22</v>
      </c>
    </row>
    <row r="42" spans="2:8" x14ac:dyDescent="0.5">
      <c r="B42" t="s">
        <v>0</v>
      </c>
      <c r="C42">
        <v>99</v>
      </c>
      <c r="D42">
        <v>30</v>
      </c>
      <c r="F42" t="s">
        <v>0</v>
      </c>
      <c r="G42">
        <v>53</v>
      </c>
      <c r="H42">
        <v>10</v>
      </c>
    </row>
    <row r="43" spans="2:8" x14ac:dyDescent="0.5">
      <c r="B43" t="s">
        <v>48</v>
      </c>
      <c r="C43">
        <v>412</v>
      </c>
      <c r="D43">
        <v>357</v>
      </c>
      <c r="F43" t="s">
        <v>48</v>
      </c>
      <c r="G43">
        <v>159</v>
      </c>
      <c r="H43">
        <v>140</v>
      </c>
    </row>
    <row r="44" spans="2:8" x14ac:dyDescent="0.5">
      <c r="B44" t="s">
        <v>1</v>
      </c>
      <c r="C44">
        <v>100</v>
      </c>
      <c r="D44">
        <v>100</v>
      </c>
      <c r="F44" t="s">
        <v>1</v>
      </c>
      <c r="G44">
        <v>45</v>
      </c>
      <c r="H44">
        <v>45</v>
      </c>
    </row>
    <row r="45" spans="2:8" x14ac:dyDescent="0.5">
      <c r="B45" t="s">
        <v>2497</v>
      </c>
      <c r="C45">
        <v>860</v>
      </c>
      <c r="D45">
        <v>656</v>
      </c>
      <c r="F45" t="s">
        <v>2497</v>
      </c>
      <c r="G45">
        <v>376</v>
      </c>
      <c r="H45">
        <v>257</v>
      </c>
    </row>
  </sheetData>
  <mergeCells count="2">
    <mergeCell ref="B3:J3"/>
    <mergeCell ref="B19:J19"/>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EE6D-B548-4E42-8B64-B48468BCAC02}">
  <sheetPr codeName="Sheet1"/>
  <dimension ref="B1:H19"/>
  <sheetViews>
    <sheetView workbookViewId="0">
      <selection activeCell="B13" sqref="B13:D19"/>
    </sheetView>
  </sheetViews>
  <sheetFormatPr defaultRowHeight="14.35" x14ac:dyDescent="0.5"/>
  <cols>
    <col min="2" max="2" width="12.05859375" style="1" bestFit="1" customWidth="1"/>
    <col min="3" max="3" width="15.3515625" style="1" bestFit="1" customWidth="1"/>
    <col min="4" max="4" width="18.8203125" style="1" bestFit="1" customWidth="1"/>
    <col min="5" max="5" width="17.3515625" style="1" bestFit="1" customWidth="1"/>
    <col min="6" max="6" width="32.41015625" style="3" bestFit="1" customWidth="1"/>
    <col min="7" max="7" width="42.46875" style="1" bestFit="1" customWidth="1"/>
    <col min="8" max="8" width="15.87890625" style="1" bestFit="1" customWidth="1"/>
  </cols>
  <sheetData>
    <row r="1" spans="2:7" x14ac:dyDescent="0.5">
      <c r="B1" s="6"/>
      <c r="C1" s="3"/>
      <c r="D1" s="3"/>
      <c r="E1" s="3"/>
    </row>
    <row r="3" spans="2:7" ht="21" thickBot="1" x14ac:dyDescent="0.55000000000000004">
      <c r="B3" s="78" t="s">
        <v>2461</v>
      </c>
      <c r="C3" s="78"/>
      <c r="D3" s="78"/>
      <c r="E3" s="78"/>
      <c r="F3" s="78"/>
      <c r="G3" s="78"/>
    </row>
    <row r="4" spans="2:7" ht="15" thickTop="1" thickBot="1" x14ac:dyDescent="0.55000000000000004">
      <c r="B4" s="73" t="s">
        <v>620</v>
      </c>
      <c r="C4" s="74" t="s">
        <v>2458</v>
      </c>
      <c r="D4" s="74" t="s">
        <v>2476</v>
      </c>
      <c r="E4" s="74" t="s">
        <v>2459</v>
      </c>
      <c r="F4" s="74" t="s">
        <v>637</v>
      </c>
      <c r="G4" s="74" t="s">
        <v>621</v>
      </c>
    </row>
    <row r="5" spans="2:7" ht="72" thickTop="1" x14ac:dyDescent="0.5">
      <c r="B5" s="6" t="s">
        <v>45</v>
      </c>
      <c r="C5" s="3">
        <v>130</v>
      </c>
      <c r="D5" s="3">
        <v>130</v>
      </c>
      <c r="E5" s="3" t="s">
        <v>631</v>
      </c>
      <c r="F5" s="3" t="s">
        <v>633</v>
      </c>
      <c r="G5" s="3" t="s">
        <v>634</v>
      </c>
    </row>
    <row r="6" spans="2:7" ht="71.7" x14ac:dyDescent="0.5">
      <c r="B6" s="6" t="s">
        <v>47</v>
      </c>
      <c r="C6" s="3">
        <v>119</v>
      </c>
      <c r="D6" s="3">
        <v>39</v>
      </c>
      <c r="E6" s="3" t="s">
        <v>629</v>
      </c>
      <c r="F6" s="3" t="s">
        <v>627</v>
      </c>
      <c r="G6" s="3" t="s">
        <v>628</v>
      </c>
    </row>
    <row r="7" spans="2:7" ht="71.7" x14ac:dyDescent="0.5">
      <c r="B7" s="6" t="s">
        <v>0</v>
      </c>
      <c r="C7" s="3">
        <v>99</v>
      </c>
      <c r="D7" s="3">
        <v>30</v>
      </c>
      <c r="E7" s="3" t="s">
        <v>2495</v>
      </c>
      <c r="F7" s="3" t="s">
        <v>2493</v>
      </c>
      <c r="G7" s="3" t="s">
        <v>2494</v>
      </c>
    </row>
    <row r="8" spans="2:7" ht="71.7" x14ac:dyDescent="0.5">
      <c r="B8" s="6" t="s">
        <v>48</v>
      </c>
      <c r="C8" s="3">
        <v>412</v>
      </c>
      <c r="D8" s="3">
        <v>357</v>
      </c>
      <c r="E8" s="3" t="s">
        <v>2491</v>
      </c>
      <c r="F8" s="3" t="s">
        <v>2490</v>
      </c>
      <c r="G8" s="3" t="s">
        <v>2492</v>
      </c>
    </row>
    <row r="9" spans="2:7" ht="71.7" x14ac:dyDescent="0.5">
      <c r="B9" s="6" t="s">
        <v>1</v>
      </c>
      <c r="C9" s="3">
        <v>100</v>
      </c>
      <c r="D9" s="3">
        <v>100</v>
      </c>
      <c r="E9" s="3" t="s">
        <v>624</v>
      </c>
      <c r="F9" s="3" t="s">
        <v>625</v>
      </c>
      <c r="G9" s="3" t="s">
        <v>638</v>
      </c>
    </row>
    <row r="10" spans="2:7" x14ac:dyDescent="0.5">
      <c r="B10" s="6" t="s">
        <v>2497</v>
      </c>
      <c r="C10" s="3">
        <f>SUBTOTAL(109,Table101926[Tally])</f>
        <v>860</v>
      </c>
      <c r="D10" s="3">
        <f>SUBTOTAL(109,Table101926[Available])</f>
        <v>656</v>
      </c>
      <c r="E10" s="3"/>
      <c r="G10" s="3"/>
    </row>
    <row r="11" spans="2:7" x14ac:dyDescent="0.5">
      <c r="B11" s="6"/>
      <c r="C11" s="3"/>
      <c r="D11" s="3"/>
      <c r="E11" s="3"/>
    </row>
    <row r="12" spans="2:7" ht="21" thickBot="1" x14ac:dyDescent="0.55000000000000004">
      <c r="B12" s="78" t="s">
        <v>2462</v>
      </c>
      <c r="C12" s="78"/>
      <c r="D12" s="78"/>
      <c r="E12" s="78"/>
      <c r="F12" s="78"/>
      <c r="G12" s="78"/>
    </row>
    <row r="13" spans="2:7" ht="15" thickTop="1" thickBot="1" x14ac:dyDescent="0.55000000000000004">
      <c r="B13" s="73" t="s">
        <v>620</v>
      </c>
      <c r="C13" s="74" t="s">
        <v>2458</v>
      </c>
      <c r="D13" s="74" t="s">
        <v>2476</v>
      </c>
      <c r="E13" s="74" t="s">
        <v>2459</v>
      </c>
      <c r="F13" s="74" t="s">
        <v>637</v>
      </c>
      <c r="G13" s="74" t="s">
        <v>621</v>
      </c>
    </row>
    <row r="14" spans="2:7" ht="72" thickTop="1" x14ac:dyDescent="0.5">
      <c r="B14" s="6" t="s">
        <v>45</v>
      </c>
      <c r="C14" s="3">
        <v>40</v>
      </c>
      <c r="D14" s="3">
        <v>40</v>
      </c>
      <c r="E14" s="3" t="s">
        <v>632</v>
      </c>
      <c r="F14" s="3" t="s">
        <v>636</v>
      </c>
      <c r="G14" s="3" t="s">
        <v>635</v>
      </c>
    </row>
    <row r="15" spans="2:7" ht="71.7" x14ac:dyDescent="0.5">
      <c r="B15" s="6" t="s">
        <v>47</v>
      </c>
      <c r="C15" s="3">
        <v>79</v>
      </c>
      <c r="D15" s="3">
        <v>22</v>
      </c>
      <c r="E15" s="3" t="s">
        <v>630</v>
      </c>
      <c r="F15" s="3" t="s">
        <v>626</v>
      </c>
      <c r="G15" s="3" t="s">
        <v>616</v>
      </c>
    </row>
    <row r="16" spans="2:7" ht="71.7" x14ac:dyDescent="0.5">
      <c r="B16" s="6" t="s">
        <v>0</v>
      </c>
      <c r="C16" s="3">
        <v>53</v>
      </c>
      <c r="D16" s="3">
        <v>10</v>
      </c>
      <c r="E16" s="3" t="s">
        <v>2496</v>
      </c>
      <c r="F16" s="3" t="s">
        <v>2485</v>
      </c>
      <c r="G16" s="3" t="s">
        <v>2486</v>
      </c>
    </row>
    <row r="17" spans="2:7" ht="71.7" x14ac:dyDescent="0.5">
      <c r="B17" s="6" t="s">
        <v>48</v>
      </c>
      <c r="C17" s="3">
        <v>159</v>
      </c>
      <c r="D17" s="3">
        <v>140</v>
      </c>
      <c r="E17" s="3" t="s">
        <v>2489</v>
      </c>
      <c r="F17" s="3" t="s">
        <v>2487</v>
      </c>
      <c r="G17" s="3" t="s">
        <v>2488</v>
      </c>
    </row>
    <row r="18" spans="2:7" ht="71.7" x14ac:dyDescent="0.5">
      <c r="B18" s="6" t="s">
        <v>1</v>
      </c>
      <c r="C18" s="3">
        <v>45</v>
      </c>
      <c r="D18" s="3">
        <v>45</v>
      </c>
      <c r="E18" s="3" t="s">
        <v>623</v>
      </c>
      <c r="F18" s="3" t="s">
        <v>617</v>
      </c>
      <c r="G18" s="3" t="s">
        <v>639</v>
      </c>
    </row>
    <row r="19" spans="2:7" x14ac:dyDescent="0.5">
      <c r="B19" s="6" t="s">
        <v>2497</v>
      </c>
      <c r="C19" s="3">
        <f>SUBTOTAL(109,Table10192616[Tally])</f>
        <v>376</v>
      </c>
      <c r="D19" s="3">
        <f>SUBTOTAL(109,Table10192616[Available])</f>
        <v>257</v>
      </c>
      <c r="E19" s="3"/>
      <c r="G19" s="3"/>
    </row>
  </sheetData>
  <mergeCells count="2">
    <mergeCell ref="B12:G12"/>
    <mergeCell ref="B3:G3"/>
  </mergeCells>
  <phoneticPr fontId="4" type="noConversion"/>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A72F-2FE9-45D4-9DD7-7CA5018C37A1}">
  <dimension ref="A1:AI681"/>
  <sheetViews>
    <sheetView zoomScale="90" zoomScaleNormal="90" workbookViewId="0">
      <pane xSplit="6" ySplit="1" topLeftCell="G2" activePane="bottomRight" state="frozen"/>
      <selection pane="topRight" activeCell="G1" sqref="G1"/>
      <selection pane="bottomLeft" activeCell="A2" sqref="A2"/>
      <selection pane="bottomRight" activeCell="F1" sqref="F1:F1048576"/>
    </sheetView>
  </sheetViews>
  <sheetFormatPr defaultRowHeight="14.35" x14ac:dyDescent="0.5"/>
  <cols>
    <col min="1" max="1" width="7.5859375" bestFit="1" customWidth="1"/>
    <col min="2" max="2" width="19.29296875" bestFit="1" customWidth="1"/>
    <col min="3" max="3" width="11.41015625" bestFit="1" customWidth="1"/>
    <col min="4" max="4" width="27.1171875" style="10" customWidth="1"/>
    <col min="5" max="5" width="33.76171875" style="10" customWidth="1"/>
    <col min="6" max="6" width="65.703125" customWidth="1"/>
    <col min="7" max="7" width="36.52734375" style="10" customWidth="1"/>
    <col min="8" max="8" width="10.41015625" style="38" bestFit="1" customWidth="1"/>
    <col min="9" max="9" width="19.5859375" bestFit="1" customWidth="1"/>
    <col min="10" max="10" width="19.234375" bestFit="1" customWidth="1"/>
    <col min="11" max="11" width="50.87890625" style="10" bestFit="1" customWidth="1"/>
    <col min="12" max="12" width="14.52734375" bestFit="1" customWidth="1"/>
    <col min="13" max="13" width="36.29296875" bestFit="1" customWidth="1"/>
    <col min="14" max="14" width="14" bestFit="1" customWidth="1"/>
    <col min="15" max="20" width="11.1171875" bestFit="1" customWidth="1"/>
    <col min="21" max="21" width="12.5859375" bestFit="1" customWidth="1"/>
    <col min="22" max="23" width="16.9375" bestFit="1" customWidth="1"/>
    <col min="24" max="27" width="10.76171875" bestFit="1" customWidth="1"/>
    <col min="28" max="28" width="12.234375" bestFit="1" customWidth="1"/>
    <col min="29" max="29" width="11.87890625" bestFit="1" customWidth="1"/>
    <col min="30" max="30" width="12.29296875" bestFit="1" customWidth="1"/>
    <col min="31" max="31" width="15.41015625" bestFit="1" customWidth="1"/>
    <col min="32" max="32" width="17.46875" bestFit="1" customWidth="1"/>
    <col min="33" max="33" width="14.3515625" bestFit="1" customWidth="1"/>
    <col min="34" max="34" width="13.703125" bestFit="1" customWidth="1"/>
    <col min="35" max="35" width="14.29296875" bestFit="1" customWidth="1"/>
  </cols>
  <sheetData>
    <row r="1" spans="1:35" x14ac:dyDescent="0.5">
      <c r="A1" s="2" t="s">
        <v>50</v>
      </c>
      <c r="B1" s="2" t="s">
        <v>620</v>
      </c>
      <c r="C1" s="20" t="s">
        <v>20</v>
      </c>
      <c r="D1" s="28" t="s">
        <v>9</v>
      </c>
      <c r="E1" s="28" t="s">
        <v>10</v>
      </c>
      <c r="F1" s="24" t="s">
        <v>11</v>
      </c>
      <c r="G1" s="27" t="s">
        <v>12</v>
      </c>
      <c r="H1" s="37" t="s">
        <v>15</v>
      </c>
      <c r="I1" s="24" t="s">
        <v>14</v>
      </c>
      <c r="J1" s="24" t="s">
        <v>49</v>
      </c>
      <c r="K1" s="27" t="s">
        <v>84</v>
      </c>
      <c r="L1" s="24" t="s">
        <v>33</v>
      </c>
      <c r="M1" s="24" t="s">
        <v>16</v>
      </c>
      <c r="N1" s="24" t="s">
        <v>2509</v>
      </c>
      <c r="O1" s="24" t="s">
        <v>1022</v>
      </c>
      <c r="P1" s="24" t="s">
        <v>1023</v>
      </c>
      <c r="Q1" s="24" t="s">
        <v>1024</v>
      </c>
      <c r="R1" s="3" t="s">
        <v>1025</v>
      </c>
      <c r="S1" s="24" t="s">
        <v>1026</v>
      </c>
      <c r="T1" s="24" t="s">
        <v>1029</v>
      </c>
      <c r="U1" s="24" t="s">
        <v>1027</v>
      </c>
      <c r="V1" s="24" t="s">
        <v>2480</v>
      </c>
      <c r="W1" s="24" t="s">
        <v>2481</v>
      </c>
      <c r="X1" s="24" t="s">
        <v>1018</v>
      </c>
      <c r="Y1" s="24" t="s">
        <v>1019</v>
      </c>
      <c r="Z1" s="24" t="s">
        <v>1020</v>
      </c>
      <c r="AA1" s="24" t="s">
        <v>1021</v>
      </c>
      <c r="AB1" s="24" t="s">
        <v>1028</v>
      </c>
      <c r="AC1" s="24" t="s">
        <v>1030</v>
      </c>
      <c r="AD1" s="24" t="s">
        <v>1032</v>
      </c>
      <c r="AE1" s="24" t="s">
        <v>2483</v>
      </c>
      <c r="AF1" s="24" t="s">
        <v>3846</v>
      </c>
      <c r="AG1" s="24" t="s">
        <v>3845</v>
      </c>
      <c r="AH1" s="24" t="s">
        <v>1031</v>
      </c>
      <c r="AI1" s="24" t="s">
        <v>2484</v>
      </c>
    </row>
    <row r="2" spans="1:35" ht="114.7" x14ac:dyDescent="0.5">
      <c r="A2" s="2">
        <v>1</v>
      </c>
      <c r="B2" s="20" t="s">
        <v>2</v>
      </c>
      <c r="C2" s="20" t="s">
        <v>2510</v>
      </c>
      <c r="D2" s="20" t="s">
        <v>2511</v>
      </c>
      <c r="E2" s="20" t="s">
        <v>3844</v>
      </c>
      <c r="F2" s="2" t="s">
        <v>2512</v>
      </c>
      <c r="G2" s="20" t="s">
        <v>2513</v>
      </c>
      <c r="H2" s="36">
        <v>40452</v>
      </c>
      <c r="I2" s="20">
        <v>2010</v>
      </c>
      <c r="J2" s="20" t="s">
        <v>61</v>
      </c>
      <c r="K2" s="20" t="s">
        <v>2514</v>
      </c>
      <c r="L2" s="20" t="s">
        <v>2515</v>
      </c>
      <c r="M2" s="20" t="s">
        <v>2516</v>
      </c>
      <c r="N2" s="20" t="b">
        <v>0</v>
      </c>
      <c r="O2" s="2" t="b">
        <f>IF(Table1938[[#This Row],[Title]]="",TRUE,FALSE)</f>
        <v>0</v>
      </c>
      <c r="P2" s="2" t="b">
        <f>IF(Table1938[[#This Row],[Author]]="",TRUE,FALSE)</f>
        <v>0</v>
      </c>
      <c r="Q2" s="2" t="b">
        <f>IF(Table1938[[#This Row],[DOI]]&lt;&gt;"", FALSE,TRUE)</f>
        <v>0</v>
      </c>
      <c r="R2" s="2" t="b">
        <f>IF(Table1938[[#This Row],[Abstract]]="",TRUE,FALSE)</f>
        <v>0</v>
      </c>
      <c r="S2" s="2" t="b">
        <f>IF(OR(Table1938[[#This Row],[Document Type]]="book",Table1938[[#This Row],[Document Type]]="bookSection"),TRUE,FALSE)</f>
        <v>0</v>
      </c>
      <c r="T2" s="2" t="b">
        <f>NOT(IF(OR(Table1938[[#This Row],[Language]]&lt;&gt;"en",Table1938[[#This Row],[Language]]&lt;&gt;"EN",Table1938[[#This Row],[Language]]&lt;&gt;"spa",Table1938[[#This Row],[Language]]&lt;&gt;"SPA"),TRUE,FALSE))</f>
        <v>0</v>
      </c>
      <c r="U2" s="2" t="b">
        <f>IF(AND(Table1938[[#This Row],[EC-01]]=FALSE,Table1938[[#This Row],[EC-02]]=FALSE,Table1938[[#This Row],[EC-03]]=FALSE,Table1938[[#This Row],[EC-04]]=FALSE,Table1938[[#This Row],[EC-05]]=FALSE,Table1938[[#This Row],[EC-06]]=FALSE),TRUE,FALSE)</f>
        <v>1</v>
      </c>
      <c r="V2" s="2" t="b">
        <f>IF(Table1938[[#This Row],[Date]]&lt;&gt;"",AND(YEAR(Table1938[[#This Row],[Date]])&gt;=2010, YEAR(Table1938[[#This Row],[Date]])&lt;=2024),FALSE)</f>
        <v>1</v>
      </c>
      <c r="W2" s="2" t="b">
        <f>IF(Table1938[[#This Row],[Date]]&lt;&gt;"",AND(YEAR(Table1938[[#This Row],[Date]])&gt;=2010, YEAR(Table1938[[#This Row],[Date]])&lt;=2020),FALSE)</f>
        <v>1</v>
      </c>
      <c r="X2" s="2" t="b">
        <f>IF(AND(Table1938[[#This Row],[Accesible]]=TRUE,Table1938[[#This Row],[DOI]]&lt;&gt;""),TRUE,FALSE)</f>
        <v>0</v>
      </c>
      <c r="Y2" s="2" t="b">
        <f>OR(Table1938[[#This Row],[Document Type]]="journalArticle",Table1938[[#This Row],[Document Type]]="conferencePaper",Table1938[[#This Row],[Document Type]]="review")</f>
        <v>1</v>
      </c>
      <c r="Z2" s="2" t="b" cm="1">
        <f t="array" ref="Z2">SUMPRODUCT(--ISNUMBER(SEARCH({"dimensional analysis","dimensionless coefficients","Π","Pi","theorem","software","design","tools","development","architecture","similar"}, LOWER(Table1938[[#This Row],[Title]]))))&gt;0</f>
        <v>0</v>
      </c>
      <c r="AA2" s="2" t="b" cm="1">
        <f t="array" ref="AA2">SUMPRODUCT(--ISNUMBER(SEARCH({"dimensional analysis","dimensionless coefficients","Π","Pi","theorem","software","design","tools","development","architecture","similar"}, LOWER(Table1938[[#This Row],[Abstract]]))))&gt;0</f>
        <v>1</v>
      </c>
      <c r="AB2" s="2" t="b">
        <f>AND(OR(Table1938[[#This Row],[IC-01 @2024]:[IC-01 @2020]])=TRUE,Table1938[[#This Row],[IC-02]]=TRUE,Table1938[[#This Row],[IC-03]]=TRUE,Table1938[[#This Row],[IC-04]]=TRUE,Table1938[[#This Row],[IC-05]]=TRUE)</f>
        <v>0</v>
      </c>
      <c r="AC2" s="2" t="b">
        <f>AND(Table1938[[#This Row],[Pass-IC]]=TRUE,Table1938[[#This Row],[Pass-EC]]=TRUE)</f>
        <v>0</v>
      </c>
      <c r="AD2" s="2" t="b">
        <f>COUNTIF($D1:D$681, Table1938[[#This Row],[Title]]) = 1</f>
        <v>1</v>
      </c>
      <c r="AE2" s="2" t="b">
        <f>AND(Table1938[[#This Row],[IC + EC]:[Unique]])</f>
        <v>0</v>
      </c>
      <c r="AF2" s="2" t="b">
        <v>0</v>
      </c>
      <c r="AG2" s="2" t="b">
        <v>0</v>
      </c>
      <c r="AH2" s="2" t="b">
        <v>0</v>
      </c>
      <c r="AI2" s="2" t="b">
        <f>IF(AND(Table1938[[#This Row],[Double Check]]=TRUE,Table1938[[#This Row],[Inspected]]=TRUE,Table1938[[#This Row],[Relevant]]=TRUE),TRUE,FALSE)</f>
        <v>0</v>
      </c>
    </row>
    <row r="3" spans="1:35" ht="71.7" x14ac:dyDescent="0.5">
      <c r="A3" s="2">
        <v>2</v>
      </c>
      <c r="B3" s="20" t="s">
        <v>2</v>
      </c>
      <c r="C3" s="20" t="s">
        <v>2517</v>
      </c>
      <c r="D3" s="20" t="s">
        <v>2518</v>
      </c>
      <c r="E3" s="20" t="s">
        <v>123</v>
      </c>
      <c r="F3" s="2" t="s">
        <v>123</v>
      </c>
      <c r="G3" s="20" t="s">
        <v>2519</v>
      </c>
      <c r="H3" s="36" t="s">
        <v>123</v>
      </c>
      <c r="I3" s="20" t="s">
        <v>123</v>
      </c>
      <c r="J3" s="20" t="s">
        <v>2520</v>
      </c>
      <c r="K3" s="20" t="s">
        <v>123</v>
      </c>
      <c r="L3" s="20" t="s">
        <v>642</v>
      </c>
      <c r="M3" s="20" t="s">
        <v>123</v>
      </c>
      <c r="N3" s="20" t="b">
        <v>1</v>
      </c>
      <c r="O3" s="2" t="b">
        <f>IF(Table1938[[#This Row],[Title]]="",TRUE,FALSE)</f>
        <v>0</v>
      </c>
      <c r="P3" s="2" t="b">
        <f>IF(Table1938[[#This Row],[Author]]="",TRUE,FALSE)</f>
        <v>1</v>
      </c>
      <c r="Q3" s="2" t="b">
        <f>IF(Table1938[[#This Row],[DOI]]&lt;&gt;"", FALSE,TRUE)</f>
        <v>1</v>
      </c>
      <c r="R3" s="2" t="b">
        <f>IF(Table1938[[#This Row],[Abstract]]="",TRUE,FALSE)</f>
        <v>1</v>
      </c>
      <c r="S3" s="2" t="b">
        <f>IF(OR(Table1938[[#This Row],[Document Type]]="book",Table1938[[#This Row],[Document Type]]="bookSection"),TRUE,FALSE)</f>
        <v>0</v>
      </c>
      <c r="T3" s="2" t="b">
        <f>NOT(IF(OR(Table1938[[#This Row],[Language]]&lt;&gt;"en",Table1938[[#This Row],[Language]]&lt;&gt;"EN",Table1938[[#This Row],[Language]]&lt;&gt;"spa",Table1938[[#This Row],[Language]]&lt;&gt;"SPA"),TRUE,FALSE))</f>
        <v>0</v>
      </c>
      <c r="U3" s="2" t="b">
        <f>IF(AND(Table1938[[#This Row],[EC-01]]=FALSE,Table1938[[#This Row],[EC-02]]=FALSE,Table1938[[#This Row],[EC-03]]=FALSE,Table1938[[#This Row],[EC-04]]=FALSE,Table1938[[#This Row],[EC-05]]=FALSE,Table1938[[#This Row],[EC-06]]=FALSE),TRUE,FALSE)</f>
        <v>0</v>
      </c>
      <c r="V3" s="2" t="b">
        <f>IF(Table1938[[#This Row],[Date]]&lt;&gt;"",AND(YEAR(Table1938[[#This Row],[Date]])&gt;=2010, YEAR(Table1938[[#This Row],[Date]])&lt;=2024),FALSE)</f>
        <v>0</v>
      </c>
      <c r="W3" s="2" t="b">
        <f>IF(Table1938[[#This Row],[Date]]&lt;&gt;"",AND(YEAR(Table1938[[#This Row],[Date]])&gt;=2010, YEAR(Table1938[[#This Row],[Date]])&lt;=2020),FALSE)</f>
        <v>0</v>
      </c>
      <c r="X3" s="2" t="b">
        <f>IF(AND(Table1938[[#This Row],[Accesible]]=TRUE,Table1938[[#This Row],[DOI]]&lt;&gt;""),TRUE,FALSE)</f>
        <v>0</v>
      </c>
      <c r="Y3" s="2" t="b">
        <f>OR(Table1938[[#This Row],[Document Type]]="journalArticle",Table1938[[#This Row],[Document Type]]="conferencePaper",Table1938[[#This Row],[Document Type]]="review")</f>
        <v>0</v>
      </c>
      <c r="Z3" s="2" t="b" cm="1">
        <f t="array" ref="Z3">SUMPRODUCT(--ISNUMBER(SEARCH({"dimensional analysis","dimensionless coefficients","Π","Pi","theorem","software","design","tools","development","architecture","similar"}, LOWER(Table1938[[#This Row],[Title]]))))&gt;0</f>
        <v>1</v>
      </c>
      <c r="AA3" s="2" t="b" cm="1">
        <f t="array" ref="AA3">SUMPRODUCT(--ISNUMBER(SEARCH({"dimensional analysis","dimensionless coefficients","Π","Pi","theorem","software","design","tools","development","architecture","similar"}, LOWER(Table1938[[#This Row],[Abstract]]))))&gt;0</f>
        <v>0</v>
      </c>
      <c r="AB3" s="2" t="b">
        <f>AND(OR(Table1938[[#This Row],[IC-01 @2024]:[IC-01 @2020]])=TRUE,Table1938[[#This Row],[IC-02]]=TRUE,Table1938[[#This Row],[IC-03]]=TRUE,Table1938[[#This Row],[IC-04]]=TRUE,Table1938[[#This Row],[IC-05]]=TRUE)</f>
        <v>0</v>
      </c>
      <c r="AC3" s="2" t="b">
        <f>AND(Table1938[[#This Row],[Pass-IC]]=TRUE,Table1938[[#This Row],[Pass-EC]]=TRUE)</f>
        <v>0</v>
      </c>
      <c r="AD3" s="2" t="b">
        <f>COUNTIF($D1:D$680, Table1938[[#This Row],[Title]]) = 1</f>
        <v>1</v>
      </c>
      <c r="AE3" s="2" t="b">
        <f>AND(Table1938[[#This Row],[IC + EC]:[Unique]])</f>
        <v>0</v>
      </c>
      <c r="AF3" s="2" t="b">
        <v>0</v>
      </c>
      <c r="AG3" s="2" t="b">
        <v>0</v>
      </c>
      <c r="AH3" s="2" t="b">
        <v>0</v>
      </c>
      <c r="AI3" s="2" t="b">
        <f>IF(AND(Table1938[[#This Row],[Double Check]]=TRUE,Table1938[[#This Row],[Inspected]]=TRUE,Table1938[[#This Row],[Relevant]]=TRUE),TRUE,FALSE)</f>
        <v>0</v>
      </c>
    </row>
    <row r="4" spans="1:35" ht="57.35" x14ac:dyDescent="0.5">
      <c r="A4" s="2">
        <v>3</v>
      </c>
      <c r="B4" s="20" t="s">
        <v>2</v>
      </c>
      <c r="C4" s="20" t="s">
        <v>2521</v>
      </c>
      <c r="D4" s="20" t="s">
        <v>645</v>
      </c>
      <c r="E4" s="20" t="s">
        <v>644</v>
      </c>
      <c r="F4" s="2" t="s">
        <v>300</v>
      </c>
      <c r="G4" s="20" t="s">
        <v>169</v>
      </c>
      <c r="H4" s="36">
        <v>40544</v>
      </c>
      <c r="I4" s="20">
        <v>2011</v>
      </c>
      <c r="J4" s="20" t="s">
        <v>61</v>
      </c>
      <c r="K4" s="20" t="s">
        <v>2522</v>
      </c>
      <c r="L4" s="20" t="s">
        <v>642</v>
      </c>
      <c r="M4" s="20" t="s">
        <v>170</v>
      </c>
      <c r="N4" s="20" t="b">
        <v>1</v>
      </c>
      <c r="O4" s="2" t="b">
        <f>IF(Table1938[[#This Row],[Title]]="",TRUE,FALSE)</f>
        <v>0</v>
      </c>
      <c r="P4" s="2" t="b">
        <f>IF(Table1938[[#This Row],[Author]]="",TRUE,FALSE)</f>
        <v>0</v>
      </c>
      <c r="Q4" s="2" t="b">
        <f>IF(Table1938[[#This Row],[DOI]]&lt;&gt;"", FALSE,TRUE)</f>
        <v>0</v>
      </c>
      <c r="R4" s="2" t="b">
        <f>IF(Table1938[[#This Row],[Abstract]]="",TRUE,FALSE)</f>
        <v>0</v>
      </c>
      <c r="S4" s="2" t="b">
        <f>IF(OR(Table1938[[#This Row],[Document Type]]="book",Table1938[[#This Row],[Document Type]]="bookSection"),TRUE,FALSE)</f>
        <v>0</v>
      </c>
      <c r="T4" s="2" t="b">
        <f>NOT(IF(OR(Table1938[[#This Row],[Language]]&lt;&gt;"en",Table1938[[#This Row],[Language]]&lt;&gt;"EN",Table1938[[#This Row],[Language]]&lt;&gt;"spa",Table1938[[#This Row],[Language]]&lt;&gt;"SPA"),TRUE,FALSE))</f>
        <v>0</v>
      </c>
      <c r="U4" s="2" t="b">
        <f>IF(AND(Table1938[[#This Row],[EC-01]]=FALSE,Table1938[[#This Row],[EC-02]]=FALSE,Table1938[[#This Row],[EC-03]]=FALSE,Table1938[[#This Row],[EC-04]]=FALSE,Table1938[[#This Row],[EC-05]]=FALSE,Table1938[[#This Row],[EC-06]]=FALSE),TRUE,FALSE)</f>
        <v>1</v>
      </c>
      <c r="V4" s="2" t="b">
        <f>IF(Table1938[[#This Row],[Date]]&lt;&gt;"",AND(YEAR(Table1938[[#This Row],[Date]])&gt;=2010, YEAR(Table1938[[#This Row],[Date]])&lt;=2024),FALSE)</f>
        <v>1</v>
      </c>
      <c r="W4" s="2" t="b">
        <f>IF(Table1938[[#This Row],[Date]]&lt;&gt;"",AND(YEAR(Table1938[[#This Row],[Date]])&gt;=2010, YEAR(Table1938[[#This Row],[Date]])&lt;=2020),FALSE)</f>
        <v>1</v>
      </c>
      <c r="X4" s="2" t="b">
        <f>IF(AND(Table1938[[#This Row],[Accesible]]=TRUE,Table1938[[#This Row],[DOI]]&lt;&gt;""),TRUE,FALSE)</f>
        <v>1</v>
      </c>
      <c r="Y4" s="2" t="b">
        <f>OR(Table1938[[#This Row],[Document Type]]="journalArticle",Table1938[[#This Row],[Document Type]]="conferencePaper",Table1938[[#This Row],[Document Type]]="review")</f>
        <v>1</v>
      </c>
      <c r="Z4" s="2" t="b" cm="1">
        <f t="array" ref="Z4">SUMPRODUCT(--ISNUMBER(SEARCH({"dimensional analysis","dimensionless coefficients","Π","Pi","theorem","software","design","tools","development","architecture","similar"}, LOWER(Table1938[[#This Row],[Title]]))))&gt;0</f>
        <v>0</v>
      </c>
      <c r="AA4" s="2" t="b" cm="1">
        <f t="array" ref="AA4">SUMPRODUCT(--ISNUMBER(SEARCH({"dimensional analysis","dimensionless coefficients","Π","Pi","theorem","software","design","tools","development","architecture","similar"}, LOWER(Table1938[[#This Row],[Abstract]]))))&gt;0</f>
        <v>1</v>
      </c>
      <c r="AB4" s="2" t="b">
        <f>AND(OR(Table1938[[#This Row],[IC-01 @2024]:[IC-01 @2020]])=TRUE,Table1938[[#This Row],[IC-02]]=TRUE,Table1938[[#This Row],[IC-03]]=TRUE,Table1938[[#This Row],[IC-04]]=TRUE,Table1938[[#This Row],[IC-05]]=TRUE)</f>
        <v>0</v>
      </c>
      <c r="AC4" s="2" t="b">
        <f>AND(Table1938[[#This Row],[Pass-IC]]=TRUE,Table1938[[#This Row],[Pass-EC]]=TRUE)</f>
        <v>0</v>
      </c>
      <c r="AD4" s="2" t="b">
        <f>COUNTIF($D1:D$679, Table1938[[#This Row],[Title]]) = 1</f>
        <v>0</v>
      </c>
      <c r="AE4" s="2" t="b">
        <f>AND(Table1938[[#This Row],[IC + EC]:[Unique]])</f>
        <v>0</v>
      </c>
      <c r="AF4" s="2" t="b">
        <v>0</v>
      </c>
      <c r="AG4" s="2" t="b">
        <v>0</v>
      </c>
      <c r="AH4" s="2" t="b">
        <v>0</v>
      </c>
      <c r="AI4" s="2" t="b">
        <f>IF(AND(Table1938[[#This Row],[Double Check]]=TRUE,Table1938[[#This Row],[Inspected]]=TRUE,Table1938[[#This Row],[Relevant]]=TRUE),TRUE,FALSE)</f>
        <v>0</v>
      </c>
    </row>
    <row r="5" spans="1:35" ht="28.7" x14ac:dyDescent="0.5">
      <c r="A5" s="2">
        <v>4</v>
      </c>
      <c r="B5" s="20" t="s">
        <v>2</v>
      </c>
      <c r="C5" s="20" t="s">
        <v>2523</v>
      </c>
      <c r="D5" s="20" t="s">
        <v>455</v>
      </c>
      <c r="E5" s="20" t="s">
        <v>450</v>
      </c>
      <c r="F5" s="2" t="s">
        <v>461</v>
      </c>
      <c r="G5" s="20" t="s">
        <v>465</v>
      </c>
      <c r="H5" s="36">
        <v>42005</v>
      </c>
      <c r="I5" s="20">
        <v>2015</v>
      </c>
      <c r="J5" s="20" t="s">
        <v>62</v>
      </c>
      <c r="K5" s="20" t="s">
        <v>2524</v>
      </c>
      <c r="L5" s="20" t="s">
        <v>2515</v>
      </c>
      <c r="M5" s="20" t="s">
        <v>444</v>
      </c>
      <c r="N5" s="20" t="b">
        <v>1</v>
      </c>
      <c r="O5" s="2" t="b">
        <f>IF(Table1938[[#This Row],[Title]]="",TRUE,FALSE)</f>
        <v>0</v>
      </c>
      <c r="P5" s="2" t="b">
        <f>IF(Table1938[[#This Row],[Author]]="",TRUE,FALSE)</f>
        <v>0</v>
      </c>
      <c r="Q5" s="2" t="b">
        <f>IF(Table1938[[#This Row],[DOI]]&lt;&gt;"", FALSE,TRUE)</f>
        <v>0</v>
      </c>
      <c r="R5" s="2" t="b">
        <f>IF(Table1938[[#This Row],[Abstract]]="",TRUE,FALSE)</f>
        <v>0</v>
      </c>
      <c r="S5" s="2" t="b">
        <f>IF(OR(Table1938[[#This Row],[Document Type]]="book",Table1938[[#This Row],[Document Type]]="bookSection"),TRUE,FALSE)</f>
        <v>0</v>
      </c>
      <c r="T5" s="2" t="b">
        <f>NOT(IF(OR(Table1938[[#This Row],[Language]]&lt;&gt;"en",Table1938[[#This Row],[Language]]&lt;&gt;"EN",Table1938[[#This Row],[Language]]&lt;&gt;"spa",Table1938[[#This Row],[Language]]&lt;&gt;"SPA"),TRUE,FALSE))</f>
        <v>0</v>
      </c>
      <c r="U5" s="2" t="b">
        <f>IF(AND(Table1938[[#This Row],[EC-01]]=FALSE,Table1938[[#This Row],[EC-02]]=FALSE,Table1938[[#This Row],[EC-03]]=FALSE,Table1938[[#This Row],[EC-04]]=FALSE,Table1938[[#This Row],[EC-05]]=FALSE,Table1938[[#This Row],[EC-06]]=FALSE),TRUE,FALSE)</f>
        <v>1</v>
      </c>
      <c r="V5" s="2" t="b">
        <f>IF(Table1938[[#This Row],[Date]]&lt;&gt;"",AND(YEAR(Table1938[[#This Row],[Date]])&gt;=2010, YEAR(Table1938[[#This Row],[Date]])&lt;=2024),FALSE)</f>
        <v>1</v>
      </c>
      <c r="W5" s="2" t="b">
        <f>IF(Table1938[[#This Row],[Date]]&lt;&gt;"",AND(YEAR(Table1938[[#This Row],[Date]])&gt;=2010, YEAR(Table1938[[#This Row],[Date]])&lt;=2020),FALSE)</f>
        <v>1</v>
      </c>
      <c r="X5" s="2" t="b">
        <f>IF(AND(Table1938[[#This Row],[Accesible]]=TRUE,Table1938[[#This Row],[DOI]]&lt;&gt;""),TRUE,FALSE)</f>
        <v>1</v>
      </c>
      <c r="Y5" s="2" t="b">
        <f>OR(Table1938[[#This Row],[Document Type]]="journalArticle",Table1938[[#This Row],[Document Type]]="conferencePaper",Table1938[[#This Row],[Document Type]]="review")</f>
        <v>1</v>
      </c>
      <c r="Z5" s="2" t="b" cm="1">
        <f t="array" ref="Z5">SUMPRODUCT(--ISNUMBER(SEARCH({"dimensional analysis","dimensionless coefficients","Π","Pi","theorem","software","design","tools","development","architecture","similar"}, LOWER(Table1938[[#This Row],[Title]]))))&gt;0</f>
        <v>0</v>
      </c>
      <c r="AA5" s="2" t="b" cm="1">
        <f t="array" ref="AA5">SUMPRODUCT(--ISNUMBER(SEARCH({"dimensional analysis","dimensionless coefficients","Π","Pi","theorem","software","design","tools","development","architecture","similar"}, LOWER(Table1938[[#This Row],[Abstract]]))))&gt;0</f>
        <v>1</v>
      </c>
      <c r="AB5" s="2" t="b">
        <f>AND(OR(Table1938[[#This Row],[IC-01 @2024]:[IC-01 @2020]])=TRUE,Table1938[[#This Row],[IC-02]]=TRUE,Table1938[[#This Row],[IC-03]]=TRUE,Table1938[[#This Row],[IC-04]]=TRUE,Table1938[[#This Row],[IC-05]]=TRUE)</f>
        <v>0</v>
      </c>
      <c r="AC5" s="2" t="b">
        <f>AND(Table1938[[#This Row],[Pass-IC]]=TRUE,Table1938[[#This Row],[Pass-EC]]=TRUE)</f>
        <v>0</v>
      </c>
      <c r="AD5" s="2" t="b">
        <f>COUNTIF($D1:D$678, Table1938[[#This Row],[Title]]) = 1</f>
        <v>1</v>
      </c>
      <c r="AE5" s="2" t="b">
        <f>AND(Table1938[[#This Row],[IC + EC]:[Unique]])</f>
        <v>0</v>
      </c>
      <c r="AF5" s="2" t="b">
        <v>0</v>
      </c>
      <c r="AG5" s="2" t="b">
        <v>0</v>
      </c>
      <c r="AH5" s="2" t="b">
        <v>0</v>
      </c>
      <c r="AI5" s="2" t="b">
        <f>IF(AND(Table1938[[#This Row],[Double Check]]=TRUE,Table1938[[#This Row],[Inspected]]=TRUE,Table1938[[#This Row],[Relevant]]=TRUE),TRUE,FALSE)</f>
        <v>0</v>
      </c>
    </row>
    <row r="6" spans="1:35" ht="28.7" x14ac:dyDescent="0.5">
      <c r="A6" s="2">
        <v>5</v>
      </c>
      <c r="B6" s="20" t="s">
        <v>2</v>
      </c>
      <c r="C6" s="20" t="s">
        <v>2525</v>
      </c>
      <c r="D6" s="20" t="s">
        <v>2526</v>
      </c>
      <c r="E6" s="20" t="s">
        <v>123</v>
      </c>
      <c r="F6" s="2" t="s">
        <v>123</v>
      </c>
      <c r="G6" s="20" t="s">
        <v>2519</v>
      </c>
      <c r="H6" s="36" t="s">
        <v>123</v>
      </c>
      <c r="I6" s="20" t="s">
        <v>123</v>
      </c>
      <c r="J6" s="20" t="s">
        <v>2520</v>
      </c>
      <c r="K6" s="20" t="s">
        <v>123</v>
      </c>
      <c r="L6" s="20" t="s">
        <v>642</v>
      </c>
      <c r="M6" s="20" t="s">
        <v>123</v>
      </c>
      <c r="N6" s="20" t="b">
        <v>1</v>
      </c>
      <c r="O6" s="2" t="b">
        <f>IF(Table1938[[#This Row],[Title]]="",TRUE,FALSE)</f>
        <v>0</v>
      </c>
      <c r="P6" s="2" t="b">
        <f>IF(Table1938[[#This Row],[Author]]="",TRUE,FALSE)</f>
        <v>1</v>
      </c>
      <c r="Q6" s="2" t="b">
        <f>IF(Table1938[[#This Row],[DOI]]&lt;&gt;"", FALSE,TRUE)</f>
        <v>1</v>
      </c>
      <c r="R6" s="2" t="b">
        <f>IF(Table1938[[#This Row],[Abstract]]="",TRUE,FALSE)</f>
        <v>1</v>
      </c>
      <c r="S6" s="2" t="b">
        <f>IF(OR(Table1938[[#This Row],[Document Type]]="book",Table1938[[#This Row],[Document Type]]="bookSection"),TRUE,FALSE)</f>
        <v>0</v>
      </c>
      <c r="T6" s="2" t="b">
        <f>NOT(IF(OR(Table1938[[#This Row],[Language]]&lt;&gt;"en",Table1938[[#This Row],[Language]]&lt;&gt;"EN",Table1938[[#This Row],[Language]]&lt;&gt;"spa",Table1938[[#This Row],[Language]]&lt;&gt;"SPA"),TRUE,FALSE))</f>
        <v>0</v>
      </c>
      <c r="U6" s="2" t="b">
        <f>IF(AND(Table1938[[#This Row],[EC-01]]=FALSE,Table1938[[#This Row],[EC-02]]=FALSE,Table1938[[#This Row],[EC-03]]=FALSE,Table1938[[#This Row],[EC-04]]=FALSE,Table1938[[#This Row],[EC-05]]=FALSE,Table1938[[#This Row],[EC-06]]=FALSE),TRUE,FALSE)</f>
        <v>0</v>
      </c>
      <c r="V6" s="2" t="b">
        <f>IF(Table1938[[#This Row],[Date]]&lt;&gt;"",AND(YEAR(Table1938[[#This Row],[Date]])&gt;=2010, YEAR(Table1938[[#This Row],[Date]])&lt;=2024),FALSE)</f>
        <v>0</v>
      </c>
      <c r="W6" s="2" t="b">
        <f>IF(Table1938[[#This Row],[Date]]&lt;&gt;"",AND(YEAR(Table1938[[#This Row],[Date]])&gt;=2010, YEAR(Table1938[[#This Row],[Date]])&lt;=2020),FALSE)</f>
        <v>0</v>
      </c>
      <c r="X6" s="2" t="b">
        <f>IF(AND(Table1938[[#This Row],[Accesible]]=TRUE,Table1938[[#This Row],[DOI]]&lt;&gt;""),TRUE,FALSE)</f>
        <v>0</v>
      </c>
      <c r="Y6" s="2" t="b">
        <f>OR(Table1938[[#This Row],[Document Type]]="journalArticle",Table1938[[#This Row],[Document Type]]="conferencePaper",Table1938[[#This Row],[Document Type]]="review")</f>
        <v>0</v>
      </c>
      <c r="Z6" s="2" t="b" cm="1">
        <f t="array" ref="Z6">SUMPRODUCT(--ISNUMBER(SEARCH({"dimensional analysis","dimensionless coefficients","Π","Pi","theorem","software","design","tools","development","architecture","similar"}, LOWER(Table1938[[#This Row],[Title]]))))&gt;0</f>
        <v>0</v>
      </c>
      <c r="AA6" s="2" t="b" cm="1">
        <f t="array" ref="AA6">SUMPRODUCT(--ISNUMBER(SEARCH({"dimensional analysis","dimensionless coefficients","Π","Pi","theorem","software","design","tools","development","architecture","similar"}, LOWER(Table1938[[#This Row],[Abstract]]))))&gt;0</f>
        <v>0</v>
      </c>
      <c r="AB6" s="2" t="b">
        <f>AND(OR(Table1938[[#This Row],[IC-01 @2024]:[IC-01 @2020]])=TRUE,Table1938[[#This Row],[IC-02]]=TRUE,Table1938[[#This Row],[IC-03]]=TRUE,Table1938[[#This Row],[IC-04]]=TRUE,Table1938[[#This Row],[IC-05]]=TRUE)</f>
        <v>0</v>
      </c>
      <c r="AC6" s="2" t="b">
        <f>AND(Table1938[[#This Row],[Pass-IC]]=TRUE,Table1938[[#This Row],[Pass-EC]]=TRUE)</f>
        <v>0</v>
      </c>
      <c r="AD6" s="2" t="b">
        <f>COUNTIF($D1:D$677, Table1938[[#This Row],[Title]]) = 1</f>
        <v>1</v>
      </c>
      <c r="AE6" s="2" t="b">
        <f>AND(Table1938[[#This Row],[IC + EC]:[Unique]])</f>
        <v>0</v>
      </c>
      <c r="AF6" s="2" t="b">
        <v>0</v>
      </c>
      <c r="AG6" s="2" t="b">
        <v>0</v>
      </c>
      <c r="AH6" s="2" t="b">
        <v>0</v>
      </c>
      <c r="AI6" s="2" t="b">
        <f>IF(AND(Table1938[[#This Row],[Double Check]]=TRUE,Table1938[[#This Row],[Inspected]]=TRUE,Table1938[[#This Row],[Relevant]]=TRUE),TRUE,FALSE)</f>
        <v>0</v>
      </c>
    </row>
    <row r="7" spans="1:35" ht="71.7" x14ac:dyDescent="0.5">
      <c r="A7" s="2">
        <v>6</v>
      </c>
      <c r="B7" s="20" t="s">
        <v>2</v>
      </c>
      <c r="C7" s="20" t="s">
        <v>2527</v>
      </c>
      <c r="D7" s="20" t="s">
        <v>2528</v>
      </c>
      <c r="E7" s="20" t="s">
        <v>2529</v>
      </c>
      <c r="F7" s="2" t="s">
        <v>2530</v>
      </c>
      <c r="G7" s="20" t="s">
        <v>2531</v>
      </c>
      <c r="H7" s="36">
        <v>45086</v>
      </c>
      <c r="I7" s="20">
        <v>2023</v>
      </c>
      <c r="J7" s="20" t="s">
        <v>61</v>
      </c>
      <c r="K7" s="20" t="s">
        <v>123</v>
      </c>
      <c r="L7" s="20" t="s">
        <v>2515</v>
      </c>
      <c r="M7" s="20" t="s">
        <v>2532</v>
      </c>
      <c r="N7" s="20" t="b">
        <v>1</v>
      </c>
      <c r="O7" s="2" t="b">
        <f>IF(Table1938[[#This Row],[Title]]="",TRUE,FALSE)</f>
        <v>0</v>
      </c>
      <c r="P7" s="2" t="b">
        <f>IF(Table1938[[#This Row],[Author]]="",TRUE,FALSE)</f>
        <v>0</v>
      </c>
      <c r="Q7" s="2" t="b">
        <f>IF(Table1938[[#This Row],[DOI]]&lt;&gt;"", FALSE,TRUE)</f>
        <v>0</v>
      </c>
      <c r="R7" s="2" t="b">
        <f>IF(Table1938[[#This Row],[Abstract]]="",TRUE,FALSE)</f>
        <v>0</v>
      </c>
      <c r="S7" s="2" t="b">
        <f>IF(OR(Table1938[[#This Row],[Document Type]]="book",Table1938[[#This Row],[Document Type]]="bookSection"),TRUE,FALSE)</f>
        <v>0</v>
      </c>
      <c r="T7" s="2" t="b">
        <f>NOT(IF(OR(Table1938[[#This Row],[Language]]&lt;&gt;"en",Table1938[[#This Row],[Language]]&lt;&gt;"EN",Table1938[[#This Row],[Language]]&lt;&gt;"spa",Table1938[[#This Row],[Language]]&lt;&gt;"SPA"),TRUE,FALSE))</f>
        <v>0</v>
      </c>
      <c r="U7" s="2" t="b">
        <f>IF(AND(Table1938[[#This Row],[EC-01]]=FALSE,Table1938[[#This Row],[EC-02]]=FALSE,Table1938[[#This Row],[EC-03]]=FALSE,Table1938[[#This Row],[EC-04]]=FALSE,Table1938[[#This Row],[EC-05]]=FALSE,Table1938[[#This Row],[EC-06]]=FALSE),TRUE,FALSE)</f>
        <v>1</v>
      </c>
      <c r="V7" s="2" t="b">
        <f>IF(Table1938[[#This Row],[Date]]&lt;&gt;"",AND(YEAR(Table1938[[#This Row],[Date]])&gt;=2010, YEAR(Table1938[[#This Row],[Date]])&lt;=2024),FALSE)</f>
        <v>1</v>
      </c>
      <c r="W7" s="2" t="b">
        <f>IF(Table1938[[#This Row],[Date]]&lt;&gt;"",AND(YEAR(Table1938[[#This Row],[Date]])&gt;=2010, YEAR(Table1938[[#This Row],[Date]])&lt;=2020),FALSE)</f>
        <v>0</v>
      </c>
      <c r="X7" s="2" t="b">
        <f>IF(AND(Table1938[[#This Row],[Accesible]]=TRUE,Table1938[[#This Row],[DOI]]&lt;&gt;""),TRUE,FALSE)</f>
        <v>1</v>
      </c>
      <c r="Y7" s="2" t="b">
        <f>OR(Table1938[[#This Row],[Document Type]]="journalArticle",Table1938[[#This Row],[Document Type]]="conferencePaper",Table1938[[#This Row],[Document Type]]="review")</f>
        <v>1</v>
      </c>
      <c r="Z7" s="2" t="b" cm="1">
        <f t="array" ref="Z7">SUMPRODUCT(--ISNUMBER(SEARCH({"dimensional analysis","dimensionless coefficients","Π","Pi","theorem","software","design","tools","development","architecture","similar"}, LOWER(Table1938[[#This Row],[Title]]))))&gt;0</f>
        <v>0</v>
      </c>
      <c r="AA7" s="2" t="b" cm="1">
        <f t="array" ref="AA7">SUMPRODUCT(--ISNUMBER(SEARCH({"dimensional analysis","dimensionless coefficients","Π","Pi","theorem","software","design","tools","development","architecture","similar"}, LOWER(Table1938[[#This Row],[Abstract]]))))&gt;0</f>
        <v>0</v>
      </c>
      <c r="AB7" s="2" t="b">
        <f>AND(OR(Table1938[[#This Row],[IC-01 @2024]:[IC-01 @2020]])=TRUE,Table1938[[#This Row],[IC-02]]=TRUE,Table1938[[#This Row],[IC-03]]=TRUE,Table1938[[#This Row],[IC-04]]=TRUE,Table1938[[#This Row],[IC-05]]=TRUE)</f>
        <v>0</v>
      </c>
      <c r="AC7" s="2" t="b">
        <f>AND(Table1938[[#This Row],[Pass-IC]]=TRUE,Table1938[[#This Row],[Pass-EC]]=TRUE)</f>
        <v>0</v>
      </c>
      <c r="AD7" s="2" t="b">
        <f>COUNTIF($D1:D$676, Table1938[[#This Row],[Title]]) = 1</f>
        <v>1</v>
      </c>
      <c r="AE7" s="2" t="b">
        <f>AND(Table1938[[#This Row],[IC + EC]:[Unique]])</f>
        <v>0</v>
      </c>
      <c r="AF7" s="2" t="b">
        <v>0</v>
      </c>
      <c r="AG7" s="2" t="b">
        <v>0</v>
      </c>
      <c r="AH7" s="2" t="b">
        <v>0</v>
      </c>
      <c r="AI7" s="2" t="b">
        <f>IF(AND(Table1938[[#This Row],[Double Check]]=TRUE,Table1938[[#This Row],[Inspected]]=TRUE,Table1938[[#This Row],[Relevant]]=TRUE),TRUE,FALSE)</f>
        <v>0</v>
      </c>
    </row>
    <row r="8" spans="1:35" ht="57.35" x14ac:dyDescent="0.5">
      <c r="A8" s="2">
        <v>7</v>
      </c>
      <c r="B8" s="20" t="s">
        <v>2</v>
      </c>
      <c r="C8" s="20" t="s">
        <v>2533</v>
      </c>
      <c r="D8" s="20" t="s">
        <v>2534</v>
      </c>
      <c r="E8" s="20" t="s">
        <v>123</v>
      </c>
      <c r="F8" s="2" t="s">
        <v>123</v>
      </c>
      <c r="G8" s="20" t="s">
        <v>2535</v>
      </c>
      <c r="H8" s="36" t="s">
        <v>123</v>
      </c>
      <c r="I8" s="20" t="s">
        <v>123</v>
      </c>
      <c r="J8" s="20" t="s">
        <v>2520</v>
      </c>
      <c r="K8" s="20" t="s">
        <v>123</v>
      </c>
      <c r="L8" s="20" t="s">
        <v>642</v>
      </c>
      <c r="M8" s="20" t="s">
        <v>123</v>
      </c>
      <c r="N8" s="20" t="b">
        <v>1</v>
      </c>
      <c r="O8" s="2" t="b">
        <f>IF(Table1938[[#This Row],[Title]]="",TRUE,FALSE)</f>
        <v>0</v>
      </c>
      <c r="P8" s="2" t="b">
        <f>IF(Table1938[[#This Row],[Author]]="",TRUE,FALSE)</f>
        <v>1</v>
      </c>
      <c r="Q8" s="2" t="b">
        <f>IF(Table1938[[#This Row],[DOI]]&lt;&gt;"", FALSE,TRUE)</f>
        <v>1</v>
      </c>
      <c r="R8" s="2" t="b">
        <f>IF(Table1938[[#This Row],[Abstract]]="",TRUE,FALSE)</f>
        <v>1</v>
      </c>
      <c r="S8" s="2" t="b">
        <f>IF(OR(Table1938[[#This Row],[Document Type]]="book",Table1938[[#This Row],[Document Type]]="bookSection"),TRUE,FALSE)</f>
        <v>0</v>
      </c>
      <c r="T8" s="2" t="b">
        <f>NOT(IF(OR(Table1938[[#This Row],[Language]]&lt;&gt;"en",Table1938[[#This Row],[Language]]&lt;&gt;"EN",Table1938[[#This Row],[Language]]&lt;&gt;"spa",Table1938[[#This Row],[Language]]&lt;&gt;"SPA"),TRUE,FALSE))</f>
        <v>0</v>
      </c>
      <c r="U8" s="2" t="b">
        <f>IF(AND(Table1938[[#This Row],[EC-01]]=FALSE,Table1938[[#This Row],[EC-02]]=FALSE,Table1938[[#This Row],[EC-03]]=FALSE,Table1938[[#This Row],[EC-04]]=FALSE,Table1938[[#This Row],[EC-05]]=FALSE,Table1938[[#This Row],[EC-06]]=FALSE),TRUE,FALSE)</f>
        <v>0</v>
      </c>
      <c r="V8" s="2" t="b">
        <f>IF(Table1938[[#This Row],[Date]]&lt;&gt;"",AND(YEAR(Table1938[[#This Row],[Date]])&gt;=2010, YEAR(Table1938[[#This Row],[Date]])&lt;=2024),FALSE)</f>
        <v>0</v>
      </c>
      <c r="W8" s="2" t="b">
        <f>IF(Table1938[[#This Row],[Date]]&lt;&gt;"",AND(YEAR(Table1938[[#This Row],[Date]])&gt;=2010, YEAR(Table1938[[#This Row],[Date]])&lt;=2020),FALSE)</f>
        <v>0</v>
      </c>
      <c r="X8" s="2" t="b">
        <f>IF(AND(Table1938[[#This Row],[Accesible]]=TRUE,Table1938[[#This Row],[DOI]]&lt;&gt;""),TRUE,FALSE)</f>
        <v>0</v>
      </c>
      <c r="Y8" s="2" t="b">
        <f>OR(Table1938[[#This Row],[Document Type]]="journalArticle",Table1938[[#This Row],[Document Type]]="conferencePaper",Table1938[[#This Row],[Document Type]]="review")</f>
        <v>0</v>
      </c>
      <c r="Z8" s="2" t="b" cm="1">
        <f t="array" ref="Z8">SUMPRODUCT(--ISNUMBER(SEARCH({"dimensional analysis","dimensionless coefficients","Π","Pi","theorem","software","design","tools","development","architecture","similar"}, LOWER(Table1938[[#This Row],[Title]]))))&gt;0</f>
        <v>1</v>
      </c>
      <c r="AA8" s="2" t="b" cm="1">
        <f t="array" ref="AA8">SUMPRODUCT(--ISNUMBER(SEARCH({"dimensional analysis","dimensionless coefficients","Π","Pi","theorem","software","design","tools","development","architecture","similar"}, LOWER(Table1938[[#This Row],[Abstract]]))))&gt;0</f>
        <v>0</v>
      </c>
      <c r="AB8" s="2" t="b">
        <f>AND(OR(Table1938[[#This Row],[IC-01 @2024]:[IC-01 @2020]])=TRUE,Table1938[[#This Row],[IC-02]]=TRUE,Table1938[[#This Row],[IC-03]]=TRUE,Table1938[[#This Row],[IC-04]]=TRUE,Table1938[[#This Row],[IC-05]]=TRUE)</f>
        <v>0</v>
      </c>
      <c r="AC8" s="2" t="b">
        <f>AND(Table1938[[#This Row],[Pass-IC]]=TRUE,Table1938[[#This Row],[Pass-EC]]=TRUE)</f>
        <v>0</v>
      </c>
      <c r="AD8" s="2" t="b">
        <f>COUNTIF($D1:D$675, Table1938[[#This Row],[Title]]) = 1</f>
        <v>1</v>
      </c>
      <c r="AE8" s="2" t="b">
        <f>AND(Table1938[[#This Row],[IC + EC]:[Unique]])</f>
        <v>0</v>
      </c>
      <c r="AF8" s="2" t="b">
        <v>0</v>
      </c>
      <c r="AG8" s="2" t="b">
        <v>0</v>
      </c>
      <c r="AH8" s="2" t="b">
        <v>0</v>
      </c>
      <c r="AI8" s="2" t="b">
        <f>IF(AND(Table1938[[#This Row],[Double Check]]=TRUE,Table1938[[#This Row],[Inspected]]=TRUE,Table1938[[#This Row],[Relevant]]=TRUE),TRUE,FALSE)</f>
        <v>0</v>
      </c>
    </row>
    <row r="9" spans="1:35" ht="43" x14ac:dyDescent="0.5">
      <c r="A9" s="2">
        <v>8</v>
      </c>
      <c r="B9" s="20" t="s">
        <v>2</v>
      </c>
      <c r="C9" s="20" t="s">
        <v>2536</v>
      </c>
      <c r="D9" s="20" t="s">
        <v>320</v>
      </c>
      <c r="E9" s="20" t="s">
        <v>345</v>
      </c>
      <c r="F9" s="2" t="s">
        <v>370</v>
      </c>
      <c r="G9" s="20" t="s">
        <v>2537</v>
      </c>
      <c r="H9" s="36">
        <v>43525</v>
      </c>
      <c r="I9" s="20">
        <v>2019</v>
      </c>
      <c r="J9" s="20" t="s">
        <v>61</v>
      </c>
      <c r="K9" s="20" t="s">
        <v>2538</v>
      </c>
      <c r="L9" s="20" t="s">
        <v>2515</v>
      </c>
      <c r="M9" s="20" t="s">
        <v>395</v>
      </c>
      <c r="N9" s="20" t="b">
        <v>0</v>
      </c>
      <c r="O9" s="2" t="b">
        <f>IF(Table1938[[#This Row],[Title]]="",TRUE,FALSE)</f>
        <v>0</v>
      </c>
      <c r="P9" s="2" t="b">
        <f>IF(Table1938[[#This Row],[Author]]="",TRUE,FALSE)</f>
        <v>0</v>
      </c>
      <c r="Q9" s="2" t="b">
        <f>IF(Table1938[[#This Row],[DOI]]&lt;&gt;"", FALSE,TRUE)</f>
        <v>0</v>
      </c>
      <c r="R9" s="2" t="b">
        <f>IF(Table1938[[#This Row],[Abstract]]="",TRUE,FALSE)</f>
        <v>0</v>
      </c>
      <c r="S9" s="2" t="b">
        <f>IF(OR(Table1938[[#This Row],[Document Type]]="book",Table1938[[#This Row],[Document Type]]="bookSection"),TRUE,FALSE)</f>
        <v>0</v>
      </c>
      <c r="T9" s="2" t="b">
        <f>NOT(IF(OR(Table1938[[#This Row],[Language]]&lt;&gt;"en",Table1938[[#This Row],[Language]]&lt;&gt;"EN",Table1938[[#This Row],[Language]]&lt;&gt;"spa",Table1938[[#This Row],[Language]]&lt;&gt;"SPA"),TRUE,FALSE))</f>
        <v>0</v>
      </c>
      <c r="U9" s="2" t="b">
        <f>IF(AND(Table1938[[#This Row],[EC-01]]=FALSE,Table1938[[#This Row],[EC-02]]=FALSE,Table1938[[#This Row],[EC-03]]=FALSE,Table1938[[#This Row],[EC-04]]=FALSE,Table1938[[#This Row],[EC-05]]=FALSE,Table1938[[#This Row],[EC-06]]=FALSE),TRUE,FALSE)</f>
        <v>1</v>
      </c>
      <c r="V9" s="2" t="b">
        <f>IF(Table1938[[#This Row],[Date]]&lt;&gt;"",AND(YEAR(Table1938[[#This Row],[Date]])&gt;=2010, YEAR(Table1938[[#This Row],[Date]])&lt;=2024),FALSE)</f>
        <v>1</v>
      </c>
      <c r="W9" s="2" t="b">
        <f>IF(Table1938[[#This Row],[Date]]&lt;&gt;"",AND(YEAR(Table1938[[#This Row],[Date]])&gt;=2010, YEAR(Table1938[[#This Row],[Date]])&lt;=2020),FALSE)</f>
        <v>1</v>
      </c>
      <c r="X9" s="2" t="b">
        <f>IF(AND(Table1938[[#This Row],[Accesible]]=TRUE,Table1938[[#This Row],[DOI]]&lt;&gt;""),TRUE,FALSE)</f>
        <v>0</v>
      </c>
      <c r="Y9" s="2" t="b">
        <f>OR(Table1938[[#This Row],[Document Type]]="journalArticle",Table1938[[#This Row],[Document Type]]="conferencePaper",Table1938[[#This Row],[Document Type]]="review")</f>
        <v>1</v>
      </c>
      <c r="Z9" s="2" t="b" cm="1">
        <f t="array" ref="Z9">SUMPRODUCT(--ISNUMBER(SEARCH({"dimensional analysis","dimensionless coefficients","Π","Pi","theorem","software","design","tools","development","architecture","similar"}, LOWER(Table1938[[#This Row],[Title]]))))&gt;0</f>
        <v>0</v>
      </c>
      <c r="AA9" s="2" t="b" cm="1">
        <f t="array" ref="AA9">SUMPRODUCT(--ISNUMBER(SEARCH({"dimensional analysis","dimensionless coefficients","Π","Pi","theorem","software","design","tools","development","architecture","similar"}, LOWER(Table1938[[#This Row],[Abstract]]))))&gt;0</f>
        <v>1</v>
      </c>
      <c r="AB9" s="2" t="b">
        <f>AND(OR(Table1938[[#This Row],[IC-01 @2024]:[IC-01 @2020]])=TRUE,Table1938[[#This Row],[IC-02]]=TRUE,Table1938[[#This Row],[IC-03]]=TRUE,Table1938[[#This Row],[IC-04]]=TRUE,Table1938[[#This Row],[IC-05]]=TRUE)</f>
        <v>0</v>
      </c>
      <c r="AC9" s="2" t="b">
        <f>AND(Table1938[[#This Row],[Pass-IC]]=TRUE,Table1938[[#This Row],[Pass-EC]]=TRUE)</f>
        <v>0</v>
      </c>
      <c r="AD9" s="2" t="b">
        <f>COUNTIF($D1:D$674, Table1938[[#This Row],[Title]]) = 1</f>
        <v>1</v>
      </c>
      <c r="AE9" s="2" t="b">
        <f>AND(Table1938[[#This Row],[IC + EC]:[Unique]])</f>
        <v>0</v>
      </c>
      <c r="AF9" s="2" t="b">
        <v>0</v>
      </c>
      <c r="AG9" s="2" t="b">
        <v>0</v>
      </c>
      <c r="AH9" s="2" t="b">
        <v>0</v>
      </c>
      <c r="AI9" s="2" t="b">
        <f>IF(AND(Table1938[[#This Row],[Double Check]]=TRUE,Table1938[[#This Row],[Inspected]]=TRUE,Table1938[[#This Row],[Relevant]]=TRUE),TRUE,FALSE)</f>
        <v>0</v>
      </c>
    </row>
    <row r="10" spans="1:35" ht="57.35" x14ac:dyDescent="0.5">
      <c r="A10" s="2">
        <v>9</v>
      </c>
      <c r="B10" s="20" t="s">
        <v>2</v>
      </c>
      <c r="C10" s="20" t="s">
        <v>2539</v>
      </c>
      <c r="D10" s="20" t="s">
        <v>2540</v>
      </c>
      <c r="E10" s="20" t="s">
        <v>123</v>
      </c>
      <c r="F10" s="2" t="s">
        <v>123</v>
      </c>
      <c r="G10" s="20" t="s">
        <v>2535</v>
      </c>
      <c r="H10" s="36" t="s">
        <v>123</v>
      </c>
      <c r="I10" s="20" t="s">
        <v>123</v>
      </c>
      <c r="J10" s="20" t="s">
        <v>2520</v>
      </c>
      <c r="K10" s="20" t="s">
        <v>123</v>
      </c>
      <c r="L10" s="20" t="s">
        <v>642</v>
      </c>
      <c r="M10" s="20" t="s">
        <v>123</v>
      </c>
      <c r="N10" s="20" t="b">
        <v>1</v>
      </c>
      <c r="O10" s="2" t="b">
        <f>IF(Table1938[[#This Row],[Title]]="",TRUE,FALSE)</f>
        <v>0</v>
      </c>
      <c r="P10" s="2" t="b">
        <f>IF(Table1938[[#This Row],[Author]]="",TRUE,FALSE)</f>
        <v>1</v>
      </c>
      <c r="Q10" s="2" t="b">
        <f>IF(Table1938[[#This Row],[DOI]]&lt;&gt;"", FALSE,TRUE)</f>
        <v>1</v>
      </c>
      <c r="R10" s="2" t="b">
        <f>IF(Table1938[[#This Row],[Abstract]]="",TRUE,FALSE)</f>
        <v>1</v>
      </c>
      <c r="S10" s="2" t="b">
        <f>IF(OR(Table1938[[#This Row],[Document Type]]="book",Table1938[[#This Row],[Document Type]]="bookSection"),TRUE,FALSE)</f>
        <v>0</v>
      </c>
      <c r="T10" s="2" t="b">
        <f>NOT(IF(OR(Table1938[[#This Row],[Language]]&lt;&gt;"en",Table1938[[#This Row],[Language]]&lt;&gt;"EN",Table1938[[#This Row],[Language]]&lt;&gt;"spa",Table1938[[#This Row],[Language]]&lt;&gt;"SPA"),TRUE,FALSE))</f>
        <v>0</v>
      </c>
      <c r="U10" s="2" t="b">
        <f>IF(AND(Table1938[[#This Row],[EC-01]]=FALSE,Table1938[[#This Row],[EC-02]]=FALSE,Table1938[[#This Row],[EC-03]]=FALSE,Table1938[[#This Row],[EC-04]]=FALSE,Table1938[[#This Row],[EC-05]]=FALSE,Table1938[[#This Row],[EC-06]]=FALSE),TRUE,FALSE)</f>
        <v>0</v>
      </c>
      <c r="V10" s="2" t="b">
        <f>IF(Table1938[[#This Row],[Date]]&lt;&gt;"",AND(YEAR(Table1938[[#This Row],[Date]])&gt;=2010, YEAR(Table1938[[#This Row],[Date]])&lt;=2024),FALSE)</f>
        <v>0</v>
      </c>
      <c r="W10" s="2" t="b">
        <f>IF(Table1938[[#This Row],[Date]]&lt;&gt;"",AND(YEAR(Table1938[[#This Row],[Date]])&gt;=2010, YEAR(Table1938[[#This Row],[Date]])&lt;=2020),FALSE)</f>
        <v>0</v>
      </c>
      <c r="X10" s="2" t="b">
        <f>IF(AND(Table1938[[#This Row],[Accesible]]=TRUE,Table1938[[#This Row],[DOI]]&lt;&gt;""),TRUE,FALSE)</f>
        <v>0</v>
      </c>
      <c r="Y10" s="2" t="b">
        <f>OR(Table1938[[#This Row],[Document Type]]="journalArticle",Table1938[[#This Row],[Document Type]]="conferencePaper",Table1938[[#This Row],[Document Type]]="review")</f>
        <v>0</v>
      </c>
      <c r="Z10" s="2" t="b" cm="1">
        <f t="array" ref="Z10">SUMPRODUCT(--ISNUMBER(SEARCH({"dimensional analysis","dimensionless coefficients","Π","Pi","theorem","software","design","tools","development","architecture","similar"}, LOWER(Table1938[[#This Row],[Title]]))))&gt;0</f>
        <v>0</v>
      </c>
      <c r="AA10" s="2" t="b" cm="1">
        <f t="array" ref="AA10">SUMPRODUCT(--ISNUMBER(SEARCH({"dimensional analysis","dimensionless coefficients","Π","Pi","theorem","software","design","tools","development","architecture","similar"}, LOWER(Table1938[[#This Row],[Abstract]]))))&gt;0</f>
        <v>0</v>
      </c>
      <c r="AB10" s="2" t="b">
        <f>AND(OR(Table1938[[#This Row],[IC-01 @2024]:[IC-01 @2020]])=TRUE,Table1938[[#This Row],[IC-02]]=TRUE,Table1938[[#This Row],[IC-03]]=TRUE,Table1938[[#This Row],[IC-04]]=TRUE,Table1938[[#This Row],[IC-05]]=TRUE)</f>
        <v>0</v>
      </c>
      <c r="AC10" s="2" t="b">
        <f>AND(Table1938[[#This Row],[Pass-IC]]=TRUE,Table1938[[#This Row],[Pass-EC]]=TRUE)</f>
        <v>0</v>
      </c>
      <c r="AD10" s="2" t="b">
        <f>COUNTIF($D1:D$673, Table1938[[#This Row],[Title]]) = 1</f>
        <v>1</v>
      </c>
      <c r="AE10" s="2" t="b">
        <f>AND(Table1938[[#This Row],[IC + EC]:[Unique]])</f>
        <v>0</v>
      </c>
      <c r="AF10" s="2" t="b">
        <v>0</v>
      </c>
      <c r="AG10" s="2" t="b">
        <v>0</v>
      </c>
      <c r="AH10" s="2" t="b">
        <v>0</v>
      </c>
      <c r="AI10" s="2" t="b">
        <f>IF(AND(Table1938[[#This Row],[Double Check]]=TRUE,Table1938[[#This Row],[Inspected]]=TRUE,Table1938[[#This Row],[Relevant]]=TRUE),TRUE,FALSE)</f>
        <v>0</v>
      </c>
    </row>
    <row r="11" spans="1:35" ht="57.35" x14ac:dyDescent="0.5">
      <c r="A11" s="2">
        <v>10</v>
      </c>
      <c r="B11" s="20" t="s">
        <v>2</v>
      </c>
      <c r="C11" s="20" t="s">
        <v>2541</v>
      </c>
      <c r="D11" s="20" t="s">
        <v>2542</v>
      </c>
      <c r="E11" s="20" t="s">
        <v>2543</v>
      </c>
      <c r="F11" s="2" t="s">
        <v>123</v>
      </c>
      <c r="G11" s="20" t="s">
        <v>2544</v>
      </c>
      <c r="H11" s="36">
        <v>45017</v>
      </c>
      <c r="I11" s="20">
        <v>2023</v>
      </c>
      <c r="J11" s="20" t="s">
        <v>61</v>
      </c>
      <c r="K11" s="20" t="s">
        <v>2545</v>
      </c>
      <c r="L11" s="20" t="s">
        <v>2515</v>
      </c>
      <c r="M11" s="20" t="s">
        <v>2546</v>
      </c>
      <c r="N11" s="20" t="b">
        <v>0</v>
      </c>
      <c r="O11" s="2" t="b">
        <f>IF(Table1938[[#This Row],[Title]]="",TRUE,FALSE)</f>
        <v>0</v>
      </c>
      <c r="P11" s="2" t="b">
        <f>IF(Table1938[[#This Row],[Author]]="",TRUE,FALSE)</f>
        <v>0</v>
      </c>
      <c r="Q11" s="2" t="b">
        <f>IF(Table1938[[#This Row],[DOI]]&lt;&gt;"", FALSE,TRUE)</f>
        <v>0</v>
      </c>
      <c r="R11" s="2" t="b">
        <f>IF(Table1938[[#This Row],[Abstract]]="",TRUE,FALSE)</f>
        <v>1</v>
      </c>
      <c r="S11" s="2" t="b">
        <f>IF(OR(Table1938[[#This Row],[Document Type]]="book",Table1938[[#This Row],[Document Type]]="bookSection"),TRUE,FALSE)</f>
        <v>0</v>
      </c>
      <c r="T11" s="2" t="b">
        <f>NOT(IF(OR(Table1938[[#This Row],[Language]]&lt;&gt;"en",Table1938[[#This Row],[Language]]&lt;&gt;"EN",Table1938[[#This Row],[Language]]&lt;&gt;"spa",Table1938[[#This Row],[Language]]&lt;&gt;"SPA"),TRUE,FALSE))</f>
        <v>0</v>
      </c>
      <c r="U11" s="2" t="b">
        <f>IF(AND(Table1938[[#This Row],[EC-01]]=FALSE,Table1938[[#This Row],[EC-02]]=FALSE,Table1938[[#This Row],[EC-03]]=FALSE,Table1938[[#This Row],[EC-04]]=FALSE,Table1938[[#This Row],[EC-05]]=FALSE,Table1938[[#This Row],[EC-06]]=FALSE),TRUE,FALSE)</f>
        <v>0</v>
      </c>
      <c r="V11" s="2" t="b">
        <f>IF(Table1938[[#This Row],[Date]]&lt;&gt;"",AND(YEAR(Table1938[[#This Row],[Date]])&gt;=2010, YEAR(Table1938[[#This Row],[Date]])&lt;=2024),FALSE)</f>
        <v>1</v>
      </c>
      <c r="W11" s="2" t="b">
        <f>IF(Table1938[[#This Row],[Date]]&lt;&gt;"",AND(YEAR(Table1938[[#This Row],[Date]])&gt;=2010, YEAR(Table1938[[#This Row],[Date]])&lt;=2020),FALSE)</f>
        <v>0</v>
      </c>
      <c r="X11" s="2" t="b">
        <f>IF(AND(Table1938[[#This Row],[Accesible]]=TRUE,Table1938[[#This Row],[DOI]]&lt;&gt;""),TRUE,FALSE)</f>
        <v>0</v>
      </c>
      <c r="Y11" s="2" t="b">
        <f>OR(Table1938[[#This Row],[Document Type]]="journalArticle",Table1938[[#This Row],[Document Type]]="conferencePaper",Table1938[[#This Row],[Document Type]]="review")</f>
        <v>1</v>
      </c>
      <c r="Z11" s="2" t="b" cm="1">
        <f t="array" ref="Z11">SUMPRODUCT(--ISNUMBER(SEARCH({"dimensional analysis","dimensionless coefficients","Π","Pi","theorem","software","design","tools","development","architecture","similar"}, LOWER(Table1938[[#This Row],[Title]]))))&gt;0</f>
        <v>0</v>
      </c>
      <c r="AA11" s="2" t="b" cm="1">
        <f t="array" ref="AA11">SUMPRODUCT(--ISNUMBER(SEARCH({"dimensional analysis","dimensionless coefficients","Π","Pi","theorem","software","design","tools","development","architecture","similar"}, LOWER(Table1938[[#This Row],[Abstract]]))))&gt;0</f>
        <v>0</v>
      </c>
      <c r="AB11" s="2" t="b">
        <f>AND(OR(Table1938[[#This Row],[IC-01 @2024]:[IC-01 @2020]])=TRUE,Table1938[[#This Row],[IC-02]]=TRUE,Table1938[[#This Row],[IC-03]]=TRUE,Table1938[[#This Row],[IC-04]]=TRUE,Table1938[[#This Row],[IC-05]]=TRUE)</f>
        <v>0</v>
      </c>
      <c r="AC11" s="2" t="b">
        <f>AND(Table1938[[#This Row],[Pass-IC]]=TRUE,Table1938[[#This Row],[Pass-EC]]=TRUE)</f>
        <v>0</v>
      </c>
      <c r="AD11" s="2" t="b">
        <f>COUNTIF($D1:D$672, Table1938[[#This Row],[Title]]) = 1</f>
        <v>1</v>
      </c>
      <c r="AE11" s="2" t="b">
        <f>AND(Table1938[[#This Row],[IC + EC]:[Unique]])</f>
        <v>0</v>
      </c>
      <c r="AF11" s="2" t="b">
        <v>0</v>
      </c>
      <c r="AG11" s="2" t="b">
        <v>0</v>
      </c>
      <c r="AH11" s="2" t="b">
        <v>0</v>
      </c>
      <c r="AI11" s="2" t="b">
        <f>IF(AND(Table1938[[#This Row],[Double Check]]=TRUE,Table1938[[#This Row],[Inspected]]=TRUE,Table1938[[#This Row],[Relevant]]=TRUE),TRUE,FALSE)</f>
        <v>0</v>
      </c>
    </row>
    <row r="12" spans="1:35" ht="57.35" x14ac:dyDescent="0.5">
      <c r="A12" s="2">
        <v>11</v>
      </c>
      <c r="B12" s="20" t="s">
        <v>2</v>
      </c>
      <c r="C12" s="20" t="s">
        <v>2547</v>
      </c>
      <c r="D12" s="20" t="s">
        <v>247</v>
      </c>
      <c r="E12" s="20" t="s">
        <v>673</v>
      </c>
      <c r="F12" s="2" t="s">
        <v>135</v>
      </c>
      <c r="G12" s="20" t="s">
        <v>674</v>
      </c>
      <c r="H12" s="36">
        <v>42644</v>
      </c>
      <c r="I12" s="20">
        <v>2016</v>
      </c>
      <c r="J12" s="20" t="s">
        <v>61</v>
      </c>
      <c r="K12" s="20" t="s">
        <v>123</v>
      </c>
      <c r="L12" s="20" t="s">
        <v>2515</v>
      </c>
      <c r="M12" s="20" t="s">
        <v>249</v>
      </c>
      <c r="N12" s="20" t="b">
        <v>1</v>
      </c>
      <c r="O12" s="2" t="b">
        <f>IF(Table1938[[#This Row],[Title]]="",TRUE,FALSE)</f>
        <v>0</v>
      </c>
      <c r="P12" s="2" t="b">
        <f>IF(Table1938[[#This Row],[Author]]="",TRUE,FALSE)</f>
        <v>0</v>
      </c>
      <c r="Q12" s="2" t="b">
        <f>IF(Table1938[[#This Row],[DOI]]&lt;&gt;"", FALSE,TRUE)</f>
        <v>0</v>
      </c>
      <c r="R12" s="2" t="b">
        <f>IF(Table1938[[#This Row],[Abstract]]="",TRUE,FALSE)</f>
        <v>0</v>
      </c>
      <c r="S12" s="2" t="b">
        <f>IF(OR(Table1938[[#This Row],[Document Type]]="book",Table1938[[#This Row],[Document Type]]="bookSection"),TRUE,FALSE)</f>
        <v>0</v>
      </c>
      <c r="T12" s="2" t="b">
        <f>NOT(IF(OR(Table1938[[#This Row],[Language]]&lt;&gt;"en",Table1938[[#This Row],[Language]]&lt;&gt;"EN",Table1938[[#This Row],[Language]]&lt;&gt;"spa",Table1938[[#This Row],[Language]]&lt;&gt;"SPA"),TRUE,FALSE))</f>
        <v>0</v>
      </c>
      <c r="U12" s="2" t="b">
        <f>IF(AND(Table1938[[#This Row],[EC-01]]=FALSE,Table1938[[#This Row],[EC-02]]=FALSE,Table1938[[#This Row],[EC-03]]=FALSE,Table1938[[#This Row],[EC-04]]=FALSE,Table1938[[#This Row],[EC-05]]=FALSE,Table1938[[#This Row],[EC-06]]=FALSE),TRUE,FALSE)</f>
        <v>1</v>
      </c>
      <c r="V12" s="2" t="b">
        <f>IF(Table1938[[#This Row],[Date]]&lt;&gt;"",AND(YEAR(Table1938[[#This Row],[Date]])&gt;=2010, YEAR(Table1938[[#This Row],[Date]])&lt;=2024),FALSE)</f>
        <v>1</v>
      </c>
      <c r="W12" s="2" t="b">
        <f>IF(Table1938[[#This Row],[Date]]&lt;&gt;"",AND(YEAR(Table1938[[#This Row],[Date]])&gt;=2010, YEAR(Table1938[[#This Row],[Date]])&lt;=2020),FALSE)</f>
        <v>1</v>
      </c>
      <c r="X12" s="2" t="b">
        <f>IF(AND(Table1938[[#This Row],[Accesible]]=TRUE,Table1938[[#This Row],[DOI]]&lt;&gt;""),TRUE,FALSE)</f>
        <v>1</v>
      </c>
      <c r="Y12" s="2" t="b">
        <f>OR(Table1938[[#This Row],[Document Type]]="journalArticle",Table1938[[#This Row],[Document Type]]="conferencePaper",Table1938[[#This Row],[Document Type]]="review")</f>
        <v>1</v>
      </c>
      <c r="Z12" s="2" t="b" cm="1">
        <f t="array" ref="Z12">SUMPRODUCT(--ISNUMBER(SEARCH({"dimensional analysis","dimensionless coefficients","Π","Pi","theorem","software","design","tools","development","architecture","similar"}, LOWER(Table1938[[#This Row],[Title]]))))&gt;0</f>
        <v>0</v>
      </c>
      <c r="AA12" s="2" t="b" cm="1">
        <f t="array" ref="AA12">SUMPRODUCT(--ISNUMBER(SEARCH({"dimensional analysis","dimensionless coefficients","Π","Pi","theorem","software","design","tools","development","architecture","similar"}, LOWER(Table1938[[#This Row],[Abstract]]))))&gt;0</f>
        <v>1</v>
      </c>
      <c r="AB12" s="2" t="b">
        <f>AND(OR(Table1938[[#This Row],[IC-01 @2024]:[IC-01 @2020]])=TRUE,Table1938[[#This Row],[IC-02]]=TRUE,Table1938[[#This Row],[IC-03]]=TRUE,Table1938[[#This Row],[IC-04]]=TRUE,Table1938[[#This Row],[IC-05]]=TRUE)</f>
        <v>0</v>
      </c>
      <c r="AC12" s="2" t="b">
        <f>AND(Table1938[[#This Row],[Pass-IC]]=TRUE,Table1938[[#This Row],[Pass-EC]]=TRUE)</f>
        <v>0</v>
      </c>
      <c r="AD12" s="2" t="b">
        <f>COUNTIF($D1:D$671, Table1938[[#This Row],[Title]]) = 1</f>
        <v>0</v>
      </c>
      <c r="AE12" s="2" t="b">
        <f>AND(Table1938[[#This Row],[IC + EC]:[Unique]])</f>
        <v>0</v>
      </c>
      <c r="AF12" s="2" t="b">
        <v>0</v>
      </c>
      <c r="AG12" s="2" t="b">
        <v>0</v>
      </c>
      <c r="AH12" s="2" t="b">
        <v>0</v>
      </c>
      <c r="AI12" s="2" t="b">
        <f>IF(AND(Table1938[[#This Row],[Double Check]]=TRUE,Table1938[[#This Row],[Inspected]]=TRUE,Table1938[[#This Row],[Relevant]]=TRUE),TRUE,FALSE)</f>
        <v>0</v>
      </c>
    </row>
    <row r="13" spans="1:35" ht="43" x14ac:dyDescent="0.5">
      <c r="A13" s="2">
        <v>12</v>
      </c>
      <c r="B13" s="20" t="s">
        <v>2</v>
      </c>
      <c r="C13" s="20" t="s">
        <v>2548</v>
      </c>
      <c r="D13" s="20" t="s">
        <v>2549</v>
      </c>
      <c r="E13" s="20" t="s">
        <v>123</v>
      </c>
      <c r="F13" s="2" t="s">
        <v>123</v>
      </c>
      <c r="G13" s="20" t="s">
        <v>2535</v>
      </c>
      <c r="H13" s="36" t="s">
        <v>123</v>
      </c>
      <c r="I13" s="20" t="s">
        <v>123</v>
      </c>
      <c r="J13" s="20" t="s">
        <v>2520</v>
      </c>
      <c r="K13" s="20" t="s">
        <v>123</v>
      </c>
      <c r="L13" s="20" t="s">
        <v>642</v>
      </c>
      <c r="M13" s="20" t="s">
        <v>123</v>
      </c>
      <c r="N13" s="20" t="b">
        <v>1</v>
      </c>
      <c r="O13" s="2" t="b">
        <f>IF(Table1938[[#This Row],[Title]]="",TRUE,FALSE)</f>
        <v>0</v>
      </c>
      <c r="P13" s="2" t="b">
        <f>IF(Table1938[[#This Row],[Author]]="",TRUE,FALSE)</f>
        <v>1</v>
      </c>
      <c r="Q13" s="2" t="b">
        <f>IF(Table1938[[#This Row],[DOI]]&lt;&gt;"", FALSE,TRUE)</f>
        <v>1</v>
      </c>
      <c r="R13" s="2" t="b">
        <f>IF(Table1938[[#This Row],[Abstract]]="",TRUE,FALSE)</f>
        <v>1</v>
      </c>
      <c r="S13" s="2" t="b">
        <f>IF(OR(Table1938[[#This Row],[Document Type]]="book",Table1938[[#This Row],[Document Type]]="bookSection"),TRUE,FALSE)</f>
        <v>0</v>
      </c>
      <c r="T13" s="2" t="b">
        <f>NOT(IF(OR(Table1938[[#This Row],[Language]]&lt;&gt;"en",Table1938[[#This Row],[Language]]&lt;&gt;"EN",Table1938[[#This Row],[Language]]&lt;&gt;"spa",Table1938[[#This Row],[Language]]&lt;&gt;"SPA"),TRUE,FALSE))</f>
        <v>0</v>
      </c>
      <c r="U13" s="2" t="b">
        <f>IF(AND(Table1938[[#This Row],[EC-01]]=FALSE,Table1938[[#This Row],[EC-02]]=FALSE,Table1938[[#This Row],[EC-03]]=FALSE,Table1938[[#This Row],[EC-04]]=FALSE,Table1938[[#This Row],[EC-05]]=FALSE,Table1938[[#This Row],[EC-06]]=FALSE),TRUE,FALSE)</f>
        <v>0</v>
      </c>
      <c r="V13" s="2" t="b">
        <f>IF(Table1938[[#This Row],[Date]]&lt;&gt;"",AND(YEAR(Table1938[[#This Row],[Date]])&gt;=2010, YEAR(Table1938[[#This Row],[Date]])&lt;=2024),FALSE)</f>
        <v>0</v>
      </c>
      <c r="W13" s="2" t="b">
        <f>IF(Table1938[[#This Row],[Date]]&lt;&gt;"",AND(YEAR(Table1938[[#This Row],[Date]])&gt;=2010, YEAR(Table1938[[#This Row],[Date]])&lt;=2020),FALSE)</f>
        <v>0</v>
      </c>
      <c r="X13" s="2" t="b">
        <f>IF(AND(Table1938[[#This Row],[Accesible]]=TRUE,Table1938[[#This Row],[DOI]]&lt;&gt;""),TRUE,FALSE)</f>
        <v>0</v>
      </c>
      <c r="Y13" s="2" t="b">
        <f>OR(Table1938[[#This Row],[Document Type]]="journalArticle",Table1938[[#This Row],[Document Type]]="conferencePaper",Table1938[[#This Row],[Document Type]]="review")</f>
        <v>0</v>
      </c>
      <c r="Z13" s="2" t="b" cm="1">
        <f t="array" ref="Z13">SUMPRODUCT(--ISNUMBER(SEARCH({"dimensional analysis","dimensionless coefficients","Π","Pi","theorem","software","design","tools","development","architecture","similar"}, LOWER(Table1938[[#This Row],[Title]]))))&gt;0</f>
        <v>0</v>
      </c>
      <c r="AA13" s="2" t="b" cm="1">
        <f t="array" ref="AA13">SUMPRODUCT(--ISNUMBER(SEARCH({"dimensional analysis","dimensionless coefficients","Π","Pi","theorem","software","design","tools","development","architecture","similar"}, LOWER(Table1938[[#This Row],[Abstract]]))))&gt;0</f>
        <v>0</v>
      </c>
      <c r="AB13" s="2" t="b">
        <f>AND(OR(Table1938[[#This Row],[IC-01 @2024]:[IC-01 @2020]])=TRUE,Table1938[[#This Row],[IC-02]]=TRUE,Table1938[[#This Row],[IC-03]]=TRUE,Table1938[[#This Row],[IC-04]]=TRUE,Table1938[[#This Row],[IC-05]]=TRUE)</f>
        <v>0</v>
      </c>
      <c r="AC13" s="2" t="b">
        <f>AND(Table1938[[#This Row],[Pass-IC]]=TRUE,Table1938[[#This Row],[Pass-EC]]=TRUE)</f>
        <v>0</v>
      </c>
      <c r="AD13" s="2" t="b">
        <f>COUNTIF($D1:D$670, Table1938[[#This Row],[Title]]) = 1</f>
        <v>1</v>
      </c>
      <c r="AE13" s="2" t="b">
        <f>AND(Table1938[[#This Row],[IC + EC]:[Unique]])</f>
        <v>0</v>
      </c>
      <c r="AF13" s="2" t="b">
        <v>0</v>
      </c>
      <c r="AG13" s="2" t="b">
        <v>0</v>
      </c>
      <c r="AH13" s="2" t="b">
        <v>0</v>
      </c>
      <c r="AI13" s="2" t="b">
        <f>IF(AND(Table1938[[#This Row],[Double Check]]=TRUE,Table1938[[#This Row],[Inspected]]=TRUE,Table1938[[#This Row],[Relevant]]=TRUE),TRUE,FALSE)</f>
        <v>0</v>
      </c>
    </row>
    <row r="14" spans="1:35" ht="57.35" x14ac:dyDescent="0.5">
      <c r="A14" s="2">
        <v>13</v>
      </c>
      <c r="B14" s="20" t="s">
        <v>2</v>
      </c>
      <c r="C14" s="20" t="s">
        <v>2550</v>
      </c>
      <c r="D14" s="20" t="s">
        <v>2551</v>
      </c>
      <c r="E14" s="20" t="s">
        <v>123</v>
      </c>
      <c r="F14" s="2" t="s">
        <v>123</v>
      </c>
      <c r="G14" s="20" t="s">
        <v>2535</v>
      </c>
      <c r="H14" s="36" t="s">
        <v>123</v>
      </c>
      <c r="I14" s="20" t="s">
        <v>123</v>
      </c>
      <c r="J14" s="20" t="s">
        <v>2520</v>
      </c>
      <c r="K14" s="20" t="s">
        <v>123</v>
      </c>
      <c r="L14" s="20" t="s">
        <v>642</v>
      </c>
      <c r="M14" s="20" t="s">
        <v>123</v>
      </c>
      <c r="N14" s="20" t="b">
        <v>1</v>
      </c>
      <c r="O14" s="2" t="b">
        <f>IF(Table1938[[#This Row],[Title]]="",TRUE,FALSE)</f>
        <v>0</v>
      </c>
      <c r="P14" s="2" t="b">
        <f>IF(Table1938[[#This Row],[Author]]="",TRUE,FALSE)</f>
        <v>1</v>
      </c>
      <c r="Q14" s="2" t="b">
        <f>IF(Table1938[[#This Row],[DOI]]&lt;&gt;"", FALSE,TRUE)</f>
        <v>1</v>
      </c>
      <c r="R14" s="2" t="b">
        <f>IF(Table1938[[#This Row],[Abstract]]="",TRUE,FALSE)</f>
        <v>1</v>
      </c>
      <c r="S14" s="2" t="b">
        <f>IF(OR(Table1938[[#This Row],[Document Type]]="book",Table1938[[#This Row],[Document Type]]="bookSection"),TRUE,FALSE)</f>
        <v>0</v>
      </c>
      <c r="T14" s="2" t="b">
        <f>NOT(IF(OR(Table1938[[#This Row],[Language]]&lt;&gt;"en",Table1938[[#This Row],[Language]]&lt;&gt;"EN",Table1938[[#This Row],[Language]]&lt;&gt;"spa",Table1938[[#This Row],[Language]]&lt;&gt;"SPA"),TRUE,FALSE))</f>
        <v>0</v>
      </c>
      <c r="U14" s="2" t="b">
        <f>IF(AND(Table1938[[#This Row],[EC-01]]=FALSE,Table1938[[#This Row],[EC-02]]=FALSE,Table1938[[#This Row],[EC-03]]=FALSE,Table1938[[#This Row],[EC-04]]=FALSE,Table1938[[#This Row],[EC-05]]=FALSE,Table1938[[#This Row],[EC-06]]=FALSE),TRUE,FALSE)</f>
        <v>0</v>
      </c>
      <c r="V14" s="2" t="b">
        <f>IF(Table1938[[#This Row],[Date]]&lt;&gt;"",AND(YEAR(Table1938[[#This Row],[Date]])&gt;=2010, YEAR(Table1938[[#This Row],[Date]])&lt;=2024),FALSE)</f>
        <v>0</v>
      </c>
      <c r="W14" s="2" t="b">
        <f>IF(Table1938[[#This Row],[Date]]&lt;&gt;"",AND(YEAR(Table1938[[#This Row],[Date]])&gt;=2010, YEAR(Table1938[[#This Row],[Date]])&lt;=2020),FALSE)</f>
        <v>0</v>
      </c>
      <c r="X14" s="2" t="b">
        <f>IF(AND(Table1938[[#This Row],[Accesible]]=TRUE,Table1938[[#This Row],[DOI]]&lt;&gt;""),TRUE,FALSE)</f>
        <v>0</v>
      </c>
      <c r="Y14" s="2" t="b">
        <f>OR(Table1938[[#This Row],[Document Type]]="journalArticle",Table1938[[#This Row],[Document Type]]="conferencePaper",Table1938[[#This Row],[Document Type]]="review")</f>
        <v>0</v>
      </c>
      <c r="Z14" s="2" t="b" cm="1">
        <f t="array" ref="Z14">SUMPRODUCT(--ISNUMBER(SEARCH({"dimensional analysis","dimensionless coefficients","Π","Pi","theorem","software","design","tools","development","architecture","similar"}, LOWER(Table1938[[#This Row],[Title]]))))&gt;0</f>
        <v>0</v>
      </c>
      <c r="AA14" s="2" t="b" cm="1">
        <f t="array" ref="AA14">SUMPRODUCT(--ISNUMBER(SEARCH({"dimensional analysis","dimensionless coefficients","Π","Pi","theorem","software","design","tools","development","architecture","similar"}, LOWER(Table1938[[#This Row],[Abstract]]))))&gt;0</f>
        <v>0</v>
      </c>
      <c r="AB14" s="2" t="b">
        <f>AND(OR(Table1938[[#This Row],[IC-01 @2024]:[IC-01 @2020]])=TRUE,Table1938[[#This Row],[IC-02]]=TRUE,Table1938[[#This Row],[IC-03]]=TRUE,Table1938[[#This Row],[IC-04]]=TRUE,Table1938[[#This Row],[IC-05]]=TRUE)</f>
        <v>0</v>
      </c>
      <c r="AC14" s="2" t="b">
        <f>AND(Table1938[[#This Row],[Pass-IC]]=TRUE,Table1938[[#This Row],[Pass-EC]]=TRUE)</f>
        <v>0</v>
      </c>
      <c r="AD14" s="2" t="b">
        <f>COUNTIF($D1:D$669, Table1938[[#This Row],[Title]]) = 1</f>
        <v>1</v>
      </c>
      <c r="AE14" s="2" t="b">
        <f>AND(Table1938[[#This Row],[IC + EC]:[Unique]])</f>
        <v>0</v>
      </c>
      <c r="AF14" s="2" t="b">
        <v>0</v>
      </c>
      <c r="AG14" s="2" t="b">
        <v>0</v>
      </c>
      <c r="AH14" s="2" t="b">
        <v>0</v>
      </c>
      <c r="AI14" s="2" t="b">
        <f>IF(AND(Table1938[[#This Row],[Double Check]]=TRUE,Table1938[[#This Row],[Inspected]]=TRUE,Table1938[[#This Row],[Relevant]]=TRUE),TRUE,FALSE)</f>
        <v>0</v>
      </c>
    </row>
    <row r="15" spans="1:35" ht="86" x14ac:dyDescent="0.5">
      <c r="A15" s="2">
        <v>14</v>
      </c>
      <c r="B15" s="20" t="s">
        <v>2</v>
      </c>
      <c r="C15" s="20" t="s">
        <v>2552</v>
      </c>
      <c r="D15" s="20" t="s">
        <v>2553</v>
      </c>
      <c r="E15" s="20" t="s">
        <v>2554</v>
      </c>
      <c r="F15" s="2" t="s">
        <v>123</v>
      </c>
      <c r="G15" s="20" t="s">
        <v>2555</v>
      </c>
      <c r="H15" s="36">
        <v>45139</v>
      </c>
      <c r="I15" s="20">
        <v>2023</v>
      </c>
      <c r="J15" s="20" t="s">
        <v>61</v>
      </c>
      <c r="K15" s="20" t="s">
        <v>2556</v>
      </c>
      <c r="L15" s="20" t="s">
        <v>2515</v>
      </c>
      <c r="M15" s="20" t="s">
        <v>2557</v>
      </c>
      <c r="N15" s="20" t="b">
        <v>0</v>
      </c>
      <c r="O15" s="2" t="b">
        <f>IF(Table1938[[#This Row],[Title]]="",TRUE,FALSE)</f>
        <v>0</v>
      </c>
      <c r="P15" s="2" t="b">
        <f>IF(Table1938[[#This Row],[Author]]="",TRUE,FALSE)</f>
        <v>0</v>
      </c>
      <c r="Q15" s="2" t="b">
        <f>IF(Table1938[[#This Row],[DOI]]&lt;&gt;"", FALSE,TRUE)</f>
        <v>0</v>
      </c>
      <c r="R15" s="2" t="b">
        <f>IF(Table1938[[#This Row],[Abstract]]="",TRUE,FALSE)</f>
        <v>1</v>
      </c>
      <c r="S15" s="2" t="b">
        <f>IF(OR(Table1938[[#This Row],[Document Type]]="book",Table1938[[#This Row],[Document Type]]="bookSection"),TRUE,FALSE)</f>
        <v>0</v>
      </c>
      <c r="T15" s="2" t="b">
        <f>NOT(IF(OR(Table1938[[#This Row],[Language]]&lt;&gt;"en",Table1938[[#This Row],[Language]]&lt;&gt;"EN",Table1938[[#This Row],[Language]]&lt;&gt;"spa",Table1938[[#This Row],[Language]]&lt;&gt;"SPA"),TRUE,FALSE))</f>
        <v>0</v>
      </c>
      <c r="U15" s="2" t="b">
        <f>IF(AND(Table1938[[#This Row],[EC-01]]=FALSE,Table1938[[#This Row],[EC-02]]=FALSE,Table1938[[#This Row],[EC-03]]=FALSE,Table1938[[#This Row],[EC-04]]=FALSE,Table1938[[#This Row],[EC-05]]=FALSE,Table1938[[#This Row],[EC-06]]=FALSE),TRUE,FALSE)</f>
        <v>0</v>
      </c>
      <c r="V15" s="2" t="b">
        <f>IF(Table1938[[#This Row],[Date]]&lt;&gt;"",AND(YEAR(Table1938[[#This Row],[Date]])&gt;=2010, YEAR(Table1938[[#This Row],[Date]])&lt;=2024),FALSE)</f>
        <v>1</v>
      </c>
      <c r="W15" s="2" t="b">
        <f>IF(Table1938[[#This Row],[Date]]&lt;&gt;"",AND(YEAR(Table1938[[#This Row],[Date]])&gt;=2010, YEAR(Table1938[[#This Row],[Date]])&lt;=2020),FALSE)</f>
        <v>0</v>
      </c>
      <c r="X15" s="2" t="b">
        <f>IF(AND(Table1938[[#This Row],[Accesible]]=TRUE,Table1938[[#This Row],[DOI]]&lt;&gt;""),TRUE,FALSE)</f>
        <v>0</v>
      </c>
      <c r="Y15" s="2" t="b">
        <f>OR(Table1938[[#This Row],[Document Type]]="journalArticle",Table1938[[#This Row],[Document Type]]="conferencePaper",Table1938[[#This Row],[Document Type]]="review")</f>
        <v>1</v>
      </c>
      <c r="Z15" s="2" t="b" cm="1">
        <f t="array" ref="Z15">SUMPRODUCT(--ISNUMBER(SEARCH({"dimensional analysis","dimensionless coefficients","Π","Pi","theorem","software","design","tools","development","architecture","similar"}, LOWER(Table1938[[#This Row],[Title]]))))&gt;0</f>
        <v>0</v>
      </c>
      <c r="AA15" s="2" t="b" cm="1">
        <f t="array" ref="AA15">SUMPRODUCT(--ISNUMBER(SEARCH({"dimensional analysis","dimensionless coefficients","Π","Pi","theorem","software","design","tools","development","architecture","similar"}, LOWER(Table1938[[#This Row],[Abstract]]))))&gt;0</f>
        <v>0</v>
      </c>
      <c r="AB15" s="2" t="b">
        <f>AND(OR(Table1938[[#This Row],[IC-01 @2024]:[IC-01 @2020]])=TRUE,Table1938[[#This Row],[IC-02]]=TRUE,Table1938[[#This Row],[IC-03]]=TRUE,Table1938[[#This Row],[IC-04]]=TRUE,Table1938[[#This Row],[IC-05]]=TRUE)</f>
        <v>0</v>
      </c>
      <c r="AC15" s="2" t="b">
        <f>AND(Table1938[[#This Row],[Pass-IC]]=TRUE,Table1938[[#This Row],[Pass-EC]]=TRUE)</f>
        <v>0</v>
      </c>
      <c r="AD15" s="2" t="b">
        <f>COUNTIF($D1:D$668, Table1938[[#This Row],[Title]]) = 1</f>
        <v>1</v>
      </c>
      <c r="AE15" s="2" t="b">
        <f>AND(Table1938[[#This Row],[IC + EC]:[Unique]])</f>
        <v>0</v>
      </c>
      <c r="AF15" s="2" t="b">
        <v>0</v>
      </c>
      <c r="AG15" s="2" t="b">
        <v>0</v>
      </c>
      <c r="AH15" s="2" t="b">
        <v>0</v>
      </c>
      <c r="AI15" s="2" t="b">
        <f>IF(AND(Table1938[[#This Row],[Double Check]]=TRUE,Table1938[[#This Row],[Inspected]]=TRUE,Table1938[[#This Row],[Relevant]]=TRUE),TRUE,FALSE)</f>
        <v>0</v>
      </c>
    </row>
    <row r="16" spans="1:35" ht="57.35" x14ac:dyDescent="0.5">
      <c r="A16" s="2">
        <v>15</v>
      </c>
      <c r="B16" s="20" t="s">
        <v>2</v>
      </c>
      <c r="C16" s="20" t="s">
        <v>2558</v>
      </c>
      <c r="D16" s="20" t="s">
        <v>2559</v>
      </c>
      <c r="E16" s="20" t="s">
        <v>2560</v>
      </c>
      <c r="F16" s="2" t="s">
        <v>123</v>
      </c>
      <c r="G16" s="20" t="s">
        <v>2561</v>
      </c>
      <c r="H16" s="36">
        <v>44805</v>
      </c>
      <c r="I16" s="20">
        <v>2022</v>
      </c>
      <c r="J16" s="20" t="s">
        <v>61</v>
      </c>
      <c r="K16" s="20" t="s">
        <v>2562</v>
      </c>
      <c r="L16" s="20" t="s">
        <v>2515</v>
      </c>
      <c r="M16" s="20" t="s">
        <v>2563</v>
      </c>
      <c r="N16" s="20" t="b">
        <v>0</v>
      </c>
      <c r="O16" s="2" t="b">
        <f>IF(Table1938[[#This Row],[Title]]="",TRUE,FALSE)</f>
        <v>0</v>
      </c>
      <c r="P16" s="2" t="b">
        <f>IF(Table1938[[#This Row],[Author]]="",TRUE,FALSE)</f>
        <v>0</v>
      </c>
      <c r="Q16" s="2" t="b">
        <f>IF(Table1938[[#This Row],[DOI]]&lt;&gt;"", FALSE,TRUE)</f>
        <v>0</v>
      </c>
      <c r="R16" s="2" t="b">
        <f>IF(Table1938[[#This Row],[Abstract]]="",TRUE,FALSE)</f>
        <v>1</v>
      </c>
      <c r="S16" s="2" t="b">
        <f>IF(OR(Table1938[[#This Row],[Document Type]]="book",Table1938[[#This Row],[Document Type]]="bookSection"),TRUE,FALSE)</f>
        <v>0</v>
      </c>
      <c r="T16" s="2" t="b">
        <f>NOT(IF(OR(Table1938[[#This Row],[Language]]&lt;&gt;"en",Table1938[[#This Row],[Language]]&lt;&gt;"EN",Table1938[[#This Row],[Language]]&lt;&gt;"spa",Table1938[[#This Row],[Language]]&lt;&gt;"SPA"),TRUE,FALSE))</f>
        <v>0</v>
      </c>
      <c r="U16" s="2" t="b">
        <f>IF(AND(Table1938[[#This Row],[EC-01]]=FALSE,Table1938[[#This Row],[EC-02]]=FALSE,Table1938[[#This Row],[EC-03]]=FALSE,Table1938[[#This Row],[EC-04]]=FALSE,Table1938[[#This Row],[EC-05]]=FALSE,Table1938[[#This Row],[EC-06]]=FALSE),TRUE,FALSE)</f>
        <v>0</v>
      </c>
      <c r="V16" s="2" t="b">
        <f>IF(Table1938[[#This Row],[Date]]&lt;&gt;"",AND(YEAR(Table1938[[#This Row],[Date]])&gt;=2010, YEAR(Table1938[[#This Row],[Date]])&lt;=2024),FALSE)</f>
        <v>1</v>
      </c>
      <c r="W16" s="2" t="b">
        <f>IF(Table1938[[#This Row],[Date]]&lt;&gt;"",AND(YEAR(Table1938[[#This Row],[Date]])&gt;=2010, YEAR(Table1938[[#This Row],[Date]])&lt;=2020),FALSE)</f>
        <v>0</v>
      </c>
      <c r="X16" s="2" t="b">
        <f>IF(AND(Table1938[[#This Row],[Accesible]]=TRUE,Table1938[[#This Row],[DOI]]&lt;&gt;""),TRUE,FALSE)</f>
        <v>0</v>
      </c>
      <c r="Y16" s="2" t="b">
        <f>OR(Table1938[[#This Row],[Document Type]]="journalArticle",Table1938[[#This Row],[Document Type]]="conferencePaper",Table1938[[#This Row],[Document Type]]="review")</f>
        <v>1</v>
      </c>
      <c r="Z16" s="2" t="b" cm="1">
        <f t="array" ref="Z16">SUMPRODUCT(--ISNUMBER(SEARCH({"dimensional analysis","dimensionless coefficients","Π","Pi","theorem","software","design","tools","development","architecture","similar"}, LOWER(Table1938[[#This Row],[Title]]))))&gt;0</f>
        <v>0</v>
      </c>
      <c r="AA16" s="2" t="b" cm="1">
        <f t="array" ref="AA16">SUMPRODUCT(--ISNUMBER(SEARCH({"dimensional analysis","dimensionless coefficients","Π","Pi","theorem","software","design","tools","development","architecture","similar"}, LOWER(Table1938[[#This Row],[Abstract]]))))&gt;0</f>
        <v>0</v>
      </c>
      <c r="AB16" s="2" t="b">
        <f>AND(OR(Table1938[[#This Row],[IC-01 @2024]:[IC-01 @2020]])=TRUE,Table1938[[#This Row],[IC-02]]=TRUE,Table1938[[#This Row],[IC-03]]=TRUE,Table1938[[#This Row],[IC-04]]=TRUE,Table1938[[#This Row],[IC-05]]=TRUE)</f>
        <v>0</v>
      </c>
      <c r="AC16" s="2" t="b">
        <f>AND(Table1938[[#This Row],[Pass-IC]]=TRUE,Table1938[[#This Row],[Pass-EC]]=TRUE)</f>
        <v>0</v>
      </c>
      <c r="AD16" s="2" t="b">
        <f>COUNTIF($D1:D$667, Table1938[[#This Row],[Title]]) = 1</f>
        <v>1</v>
      </c>
      <c r="AE16" s="2" t="b">
        <f>AND(Table1938[[#This Row],[IC + EC]:[Unique]])</f>
        <v>0</v>
      </c>
      <c r="AF16" s="2" t="b">
        <v>0</v>
      </c>
      <c r="AG16" s="2" t="b">
        <v>0</v>
      </c>
      <c r="AH16" s="2" t="b">
        <v>0</v>
      </c>
      <c r="AI16" s="2" t="b">
        <f>IF(AND(Table1938[[#This Row],[Double Check]]=TRUE,Table1938[[#This Row],[Inspected]]=TRUE,Table1938[[#This Row],[Relevant]]=TRUE),TRUE,FALSE)</f>
        <v>0</v>
      </c>
    </row>
    <row r="17" spans="1:35" ht="57.35" x14ac:dyDescent="0.5">
      <c r="A17" s="2">
        <v>16</v>
      </c>
      <c r="B17" s="20" t="s">
        <v>2</v>
      </c>
      <c r="C17" s="20" t="s">
        <v>2564</v>
      </c>
      <c r="D17" s="20" t="s">
        <v>2565</v>
      </c>
      <c r="E17" s="20" t="s">
        <v>123</v>
      </c>
      <c r="F17" s="2" t="s">
        <v>123</v>
      </c>
      <c r="G17" s="20" t="s">
        <v>2535</v>
      </c>
      <c r="H17" s="36" t="s">
        <v>123</v>
      </c>
      <c r="I17" s="20" t="s">
        <v>123</v>
      </c>
      <c r="J17" s="20" t="s">
        <v>2520</v>
      </c>
      <c r="K17" s="20" t="s">
        <v>123</v>
      </c>
      <c r="L17" s="20" t="s">
        <v>642</v>
      </c>
      <c r="M17" s="20" t="s">
        <v>123</v>
      </c>
      <c r="N17" s="20" t="b">
        <v>1</v>
      </c>
      <c r="O17" s="2" t="b">
        <f>IF(Table1938[[#This Row],[Title]]="",TRUE,FALSE)</f>
        <v>0</v>
      </c>
      <c r="P17" s="2" t="b">
        <f>IF(Table1938[[#This Row],[Author]]="",TRUE,FALSE)</f>
        <v>1</v>
      </c>
      <c r="Q17" s="2" t="b">
        <f>IF(Table1938[[#This Row],[DOI]]&lt;&gt;"", FALSE,TRUE)</f>
        <v>1</v>
      </c>
      <c r="R17" s="2" t="b">
        <f>IF(Table1938[[#This Row],[Abstract]]="",TRUE,FALSE)</f>
        <v>1</v>
      </c>
      <c r="S17" s="2" t="b">
        <f>IF(OR(Table1938[[#This Row],[Document Type]]="book",Table1938[[#This Row],[Document Type]]="bookSection"),TRUE,FALSE)</f>
        <v>0</v>
      </c>
      <c r="T17" s="2" t="b">
        <f>NOT(IF(OR(Table1938[[#This Row],[Language]]&lt;&gt;"en",Table1938[[#This Row],[Language]]&lt;&gt;"EN",Table1938[[#This Row],[Language]]&lt;&gt;"spa",Table1938[[#This Row],[Language]]&lt;&gt;"SPA"),TRUE,FALSE))</f>
        <v>0</v>
      </c>
      <c r="U17" s="2" t="b">
        <f>IF(AND(Table1938[[#This Row],[EC-01]]=FALSE,Table1938[[#This Row],[EC-02]]=FALSE,Table1938[[#This Row],[EC-03]]=FALSE,Table1938[[#This Row],[EC-04]]=FALSE,Table1938[[#This Row],[EC-05]]=FALSE,Table1938[[#This Row],[EC-06]]=FALSE),TRUE,FALSE)</f>
        <v>0</v>
      </c>
      <c r="V17" s="2" t="b">
        <f>IF(Table1938[[#This Row],[Date]]&lt;&gt;"",AND(YEAR(Table1938[[#This Row],[Date]])&gt;=2010, YEAR(Table1938[[#This Row],[Date]])&lt;=2024),FALSE)</f>
        <v>0</v>
      </c>
      <c r="W17" s="2" t="b">
        <f>IF(Table1938[[#This Row],[Date]]&lt;&gt;"",AND(YEAR(Table1938[[#This Row],[Date]])&gt;=2010, YEAR(Table1938[[#This Row],[Date]])&lt;=2020),FALSE)</f>
        <v>0</v>
      </c>
      <c r="X17" s="2" t="b">
        <f>IF(AND(Table1938[[#This Row],[Accesible]]=TRUE,Table1938[[#This Row],[DOI]]&lt;&gt;""),TRUE,FALSE)</f>
        <v>0</v>
      </c>
      <c r="Y17" s="2" t="b">
        <f>OR(Table1938[[#This Row],[Document Type]]="journalArticle",Table1938[[#This Row],[Document Type]]="conferencePaper",Table1938[[#This Row],[Document Type]]="review")</f>
        <v>0</v>
      </c>
      <c r="Z17" s="2" t="b" cm="1">
        <f t="array" ref="Z17">SUMPRODUCT(--ISNUMBER(SEARCH({"dimensional analysis","dimensionless coefficients","Π","Pi","theorem","software","design","tools","development","architecture","similar"}, LOWER(Table1938[[#This Row],[Title]]))))&gt;0</f>
        <v>0</v>
      </c>
      <c r="AA17" s="2" t="b" cm="1">
        <f t="array" ref="AA17">SUMPRODUCT(--ISNUMBER(SEARCH({"dimensional analysis","dimensionless coefficients","Π","Pi","theorem","software","design","tools","development","architecture","similar"}, LOWER(Table1938[[#This Row],[Abstract]]))))&gt;0</f>
        <v>0</v>
      </c>
      <c r="AB17" s="2" t="b">
        <f>AND(OR(Table1938[[#This Row],[IC-01 @2024]:[IC-01 @2020]])=TRUE,Table1938[[#This Row],[IC-02]]=TRUE,Table1938[[#This Row],[IC-03]]=TRUE,Table1938[[#This Row],[IC-04]]=TRUE,Table1938[[#This Row],[IC-05]]=TRUE)</f>
        <v>0</v>
      </c>
      <c r="AC17" s="2" t="b">
        <f>AND(Table1938[[#This Row],[Pass-IC]]=TRUE,Table1938[[#This Row],[Pass-EC]]=TRUE)</f>
        <v>0</v>
      </c>
      <c r="AD17" s="2" t="b">
        <f>COUNTIF($D1:D$666, Table1938[[#This Row],[Title]]) = 1</f>
        <v>1</v>
      </c>
      <c r="AE17" s="2" t="b">
        <f>AND(Table1938[[#This Row],[IC + EC]:[Unique]])</f>
        <v>0</v>
      </c>
      <c r="AF17" s="2" t="b">
        <v>0</v>
      </c>
      <c r="AG17" s="2" t="b">
        <v>0</v>
      </c>
      <c r="AH17" s="2" t="b">
        <v>0</v>
      </c>
      <c r="AI17" s="2" t="b">
        <f>IF(AND(Table1938[[#This Row],[Double Check]]=TRUE,Table1938[[#This Row],[Inspected]]=TRUE,Table1938[[#This Row],[Relevant]]=TRUE),TRUE,FALSE)</f>
        <v>0</v>
      </c>
    </row>
    <row r="18" spans="1:35" ht="43" x14ac:dyDescent="0.5">
      <c r="A18" s="2">
        <v>17</v>
      </c>
      <c r="B18" s="20" t="s">
        <v>2</v>
      </c>
      <c r="C18" s="20" t="s">
        <v>2566</v>
      </c>
      <c r="D18" s="20" t="s">
        <v>2567</v>
      </c>
      <c r="E18" s="20" t="s">
        <v>123</v>
      </c>
      <c r="F18" s="2" t="s">
        <v>123</v>
      </c>
      <c r="G18" s="20" t="s">
        <v>2519</v>
      </c>
      <c r="H18" s="36" t="s">
        <v>123</v>
      </c>
      <c r="I18" s="20" t="s">
        <v>123</v>
      </c>
      <c r="J18" s="20" t="s">
        <v>2520</v>
      </c>
      <c r="K18" s="20" t="s">
        <v>123</v>
      </c>
      <c r="L18" s="20" t="s">
        <v>642</v>
      </c>
      <c r="M18" s="20" t="s">
        <v>123</v>
      </c>
      <c r="N18" s="20" t="b">
        <v>1</v>
      </c>
      <c r="O18" s="2" t="b">
        <f>IF(Table1938[[#This Row],[Title]]="",TRUE,FALSE)</f>
        <v>0</v>
      </c>
      <c r="P18" s="2" t="b">
        <f>IF(Table1938[[#This Row],[Author]]="",TRUE,FALSE)</f>
        <v>1</v>
      </c>
      <c r="Q18" s="2" t="b">
        <f>IF(Table1938[[#This Row],[DOI]]&lt;&gt;"", FALSE,TRUE)</f>
        <v>1</v>
      </c>
      <c r="R18" s="2" t="b">
        <f>IF(Table1938[[#This Row],[Abstract]]="",TRUE,FALSE)</f>
        <v>1</v>
      </c>
      <c r="S18" s="2" t="b">
        <f>IF(OR(Table1938[[#This Row],[Document Type]]="book",Table1938[[#This Row],[Document Type]]="bookSection"),TRUE,FALSE)</f>
        <v>0</v>
      </c>
      <c r="T18" s="2" t="b">
        <f>NOT(IF(OR(Table1938[[#This Row],[Language]]&lt;&gt;"en",Table1938[[#This Row],[Language]]&lt;&gt;"EN",Table1938[[#This Row],[Language]]&lt;&gt;"spa",Table1938[[#This Row],[Language]]&lt;&gt;"SPA"),TRUE,FALSE))</f>
        <v>0</v>
      </c>
      <c r="U18" s="2" t="b">
        <f>IF(AND(Table1938[[#This Row],[EC-01]]=FALSE,Table1938[[#This Row],[EC-02]]=FALSE,Table1938[[#This Row],[EC-03]]=FALSE,Table1938[[#This Row],[EC-04]]=FALSE,Table1938[[#This Row],[EC-05]]=FALSE,Table1938[[#This Row],[EC-06]]=FALSE),TRUE,FALSE)</f>
        <v>0</v>
      </c>
      <c r="V18" s="2" t="b">
        <f>IF(Table1938[[#This Row],[Date]]&lt;&gt;"",AND(YEAR(Table1938[[#This Row],[Date]])&gt;=2010, YEAR(Table1938[[#This Row],[Date]])&lt;=2024),FALSE)</f>
        <v>0</v>
      </c>
      <c r="W18" s="2" t="b">
        <f>IF(Table1938[[#This Row],[Date]]&lt;&gt;"",AND(YEAR(Table1938[[#This Row],[Date]])&gt;=2010, YEAR(Table1938[[#This Row],[Date]])&lt;=2020),FALSE)</f>
        <v>0</v>
      </c>
      <c r="X18" s="2" t="b">
        <f>IF(AND(Table1938[[#This Row],[Accesible]]=TRUE,Table1938[[#This Row],[DOI]]&lt;&gt;""),TRUE,FALSE)</f>
        <v>0</v>
      </c>
      <c r="Y18" s="2" t="b">
        <f>OR(Table1938[[#This Row],[Document Type]]="journalArticle",Table1938[[#This Row],[Document Type]]="conferencePaper",Table1938[[#This Row],[Document Type]]="review")</f>
        <v>0</v>
      </c>
      <c r="Z18" s="2" t="b" cm="1">
        <f t="array" ref="Z18">SUMPRODUCT(--ISNUMBER(SEARCH({"dimensional analysis","dimensionless coefficients","Π","Pi","theorem","software","design","tools","development","architecture","similar"}, LOWER(Table1938[[#This Row],[Title]]))))&gt;0</f>
        <v>0</v>
      </c>
      <c r="AA18" s="2" t="b" cm="1">
        <f t="array" ref="AA18">SUMPRODUCT(--ISNUMBER(SEARCH({"dimensional analysis","dimensionless coefficients","Π","Pi","theorem","software","design","tools","development","architecture","similar"}, LOWER(Table1938[[#This Row],[Abstract]]))))&gt;0</f>
        <v>0</v>
      </c>
      <c r="AB18" s="2" t="b">
        <f>AND(OR(Table1938[[#This Row],[IC-01 @2024]:[IC-01 @2020]])=TRUE,Table1938[[#This Row],[IC-02]]=TRUE,Table1938[[#This Row],[IC-03]]=TRUE,Table1938[[#This Row],[IC-04]]=TRUE,Table1938[[#This Row],[IC-05]]=TRUE)</f>
        <v>0</v>
      </c>
      <c r="AC18" s="2" t="b">
        <f>AND(Table1938[[#This Row],[Pass-IC]]=TRUE,Table1938[[#This Row],[Pass-EC]]=TRUE)</f>
        <v>0</v>
      </c>
      <c r="AD18" s="2" t="b">
        <f>COUNTIF($D1:D$665, Table1938[[#This Row],[Title]]) = 1</f>
        <v>1</v>
      </c>
      <c r="AE18" s="2" t="b">
        <f>AND(Table1938[[#This Row],[IC + EC]:[Unique]])</f>
        <v>0</v>
      </c>
      <c r="AF18" s="2" t="b">
        <v>0</v>
      </c>
      <c r="AG18" s="2" t="b">
        <v>0</v>
      </c>
      <c r="AH18" s="2" t="b">
        <v>0</v>
      </c>
      <c r="AI18" s="2" t="b">
        <f>IF(AND(Table1938[[#This Row],[Double Check]]=TRUE,Table1938[[#This Row],[Inspected]]=TRUE,Table1938[[#This Row],[Relevant]]=TRUE),TRUE,FALSE)</f>
        <v>0</v>
      </c>
    </row>
    <row r="19" spans="1:35" ht="28.7" x14ac:dyDescent="0.5">
      <c r="A19" s="2">
        <v>18</v>
      </c>
      <c r="B19" s="20" t="s">
        <v>2</v>
      </c>
      <c r="C19" s="20" t="s">
        <v>2568</v>
      </c>
      <c r="D19" s="20" t="s">
        <v>322</v>
      </c>
      <c r="E19" s="20" t="s">
        <v>348</v>
      </c>
      <c r="F19" s="2" t="s">
        <v>372</v>
      </c>
      <c r="G19" s="20" t="s">
        <v>924</v>
      </c>
      <c r="H19" s="36">
        <v>42491</v>
      </c>
      <c r="I19" s="20">
        <v>2016</v>
      </c>
      <c r="J19" s="20" t="s">
        <v>61</v>
      </c>
      <c r="K19" s="20" t="s">
        <v>2569</v>
      </c>
      <c r="L19" s="20" t="s">
        <v>2515</v>
      </c>
      <c r="M19" s="20" t="s">
        <v>397</v>
      </c>
      <c r="N19" s="20" t="b">
        <v>0</v>
      </c>
      <c r="O19" s="2" t="b">
        <f>IF(Table1938[[#This Row],[Title]]="",TRUE,FALSE)</f>
        <v>0</v>
      </c>
      <c r="P19" s="2" t="b">
        <f>IF(Table1938[[#This Row],[Author]]="",TRUE,FALSE)</f>
        <v>0</v>
      </c>
      <c r="Q19" s="2" t="b">
        <f>IF(Table1938[[#This Row],[DOI]]&lt;&gt;"", FALSE,TRUE)</f>
        <v>0</v>
      </c>
      <c r="R19" s="2" t="b">
        <f>IF(Table1938[[#This Row],[Abstract]]="",TRUE,FALSE)</f>
        <v>0</v>
      </c>
      <c r="S19" s="2" t="b">
        <f>IF(OR(Table1938[[#This Row],[Document Type]]="book",Table1938[[#This Row],[Document Type]]="bookSection"),TRUE,FALSE)</f>
        <v>0</v>
      </c>
      <c r="T19" s="2" t="b">
        <f>NOT(IF(OR(Table1938[[#This Row],[Language]]&lt;&gt;"en",Table1938[[#This Row],[Language]]&lt;&gt;"EN",Table1938[[#This Row],[Language]]&lt;&gt;"spa",Table1938[[#This Row],[Language]]&lt;&gt;"SPA"),TRUE,FALSE))</f>
        <v>0</v>
      </c>
      <c r="U19" s="2" t="b">
        <f>IF(AND(Table1938[[#This Row],[EC-01]]=FALSE,Table1938[[#This Row],[EC-02]]=FALSE,Table1938[[#This Row],[EC-03]]=FALSE,Table1938[[#This Row],[EC-04]]=FALSE,Table1938[[#This Row],[EC-05]]=FALSE,Table1938[[#This Row],[EC-06]]=FALSE),TRUE,FALSE)</f>
        <v>1</v>
      </c>
      <c r="V19" s="2" t="b">
        <f>IF(Table1938[[#This Row],[Date]]&lt;&gt;"",AND(YEAR(Table1938[[#This Row],[Date]])&gt;=2010, YEAR(Table1938[[#This Row],[Date]])&lt;=2024),FALSE)</f>
        <v>1</v>
      </c>
      <c r="W19" s="2" t="b">
        <f>IF(Table1938[[#This Row],[Date]]&lt;&gt;"",AND(YEAR(Table1938[[#This Row],[Date]])&gt;=2010, YEAR(Table1938[[#This Row],[Date]])&lt;=2020),FALSE)</f>
        <v>1</v>
      </c>
      <c r="X19" s="2" t="b">
        <f>IF(AND(Table1938[[#This Row],[Accesible]]=TRUE,Table1938[[#This Row],[DOI]]&lt;&gt;""),TRUE,FALSE)</f>
        <v>0</v>
      </c>
      <c r="Y19" s="2" t="b">
        <f>OR(Table1938[[#This Row],[Document Type]]="journalArticle",Table1938[[#This Row],[Document Type]]="conferencePaper",Table1938[[#This Row],[Document Type]]="review")</f>
        <v>1</v>
      </c>
      <c r="Z19" s="2" t="b" cm="1">
        <f t="array" ref="Z19">SUMPRODUCT(--ISNUMBER(SEARCH({"dimensional analysis","dimensionless coefficients","Π","Pi","theorem","software","design","tools","development","architecture","similar"}, LOWER(Table1938[[#This Row],[Title]]))))&gt;0</f>
        <v>0</v>
      </c>
      <c r="AA19" s="2" t="b" cm="1">
        <f t="array" ref="AA19">SUMPRODUCT(--ISNUMBER(SEARCH({"dimensional analysis","dimensionless coefficients","Π","Pi","theorem","software","design","tools","development","architecture","similar"}, LOWER(Table1938[[#This Row],[Abstract]]))))&gt;0</f>
        <v>1</v>
      </c>
      <c r="AB19" s="2" t="b">
        <f>AND(OR(Table1938[[#This Row],[IC-01 @2024]:[IC-01 @2020]])=TRUE,Table1938[[#This Row],[IC-02]]=TRUE,Table1938[[#This Row],[IC-03]]=TRUE,Table1938[[#This Row],[IC-04]]=TRUE,Table1938[[#This Row],[IC-05]]=TRUE)</f>
        <v>0</v>
      </c>
      <c r="AC19" s="2" t="b">
        <f>AND(Table1938[[#This Row],[Pass-IC]]=TRUE,Table1938[[#This Row],[Pass-EC]]=TRUE)</f>
        <v>0</v>
      </c>
      <c r="AD19" s="2" t="b">
        <f>COUNTIF($D1:D$664, Table1938[[#This Row],[Title]]) = 1</f>
        <v>1</v>
      </c>
      <c r="AE19" s="2" t="b">
        <f>AND(Table1938[[#This Row],[IC + EC]:[Unique]])</f>
        <v>0</v>
      </c>
      <c r="AF19" s="2" t="b">
        <v>0</v>
      </c>
      <c r="AG19" s="2" t="b">
        <v>0</v>
      </c>
      <c r="AH19" s="2" t="b">
        <v>0</v>
      </c>
      <c r="AI19" s="2" t="b">
        <f>IF(AND(Table1938[[#This Row],[Double Check]]=TRUE,Table1938[[#This Row],[Inspected]]=TRUE,Table1938[[#This Row],[Relevant]]=TRUE),TRUE,FALSE)</f>
        <v>0</v>
      </c>
    </row>
    <row r="20" spans="1:35" ht="57.35" x14ac:dyDescent="0.5">
      <c r="A20" s="2">
        <v>19</v>
      </c>
      <c r="B20" s="20" t="s">
        <v>2</v>
      </c>
      <c r="C20" s="20" t="s">
        <v>2570</v>
      </c>
      <c r="D20" s="20" t="s">
        <v>2571</v>
      </c>
      <c r="E20" s="20" t="s">
        <v>123</v>
      </c>
      <c r="F20" s="2" t="s">
        <v>123</v>
      </c>
      <c r="G20" s="20" t="s">
        <v>2519</v>
      </c>
      <c r="H20" s="36" t="s">
        <v>123</v>
      </c>
      <c r="I20" s="20" t="s">
        <v>123</v>
      </c>
      <c r="J20" s="20" t="s">
        <v>2520</v>
      </c>
      <c r="K20" s="20" t="s">
        <v>123</v>
      </c>
      <c r="L20" s="20" t="s">
        <v>642</v>
      </c>
      <c r="M20" s="20" t="s">
        <v>123</v>
      </c>
      <c r="N20" s="20" t="b">
        <v>1</v>
      </c>
      <c r="O20" s="2" t="b">
        <f>IF(Table1938[[#This Row],[Title]]="",TRUE,FALSE)</f>
        <v>0</v>
      </c>
      <c r="P20" s="2" t="b">
        <f>IF(Table1938[[#This Row],[Author]]="",TRUE,FALSE)</f>
        <v>1</v>
      </c>
      <c r="Q20" s="2" t="b">
        <f>IF(Table1938[[#This Row],[DOI]]&lt;&gt;"", FALSE,TRUE)</f>
        <v>1</v>
      </c>
      <c r="R20" s="2" t="b">
        <f>IF(Table1938[[#This Row],[Abstract]]="",TRUE,FALSE)</f>
        <v>1</v>
      </c>
      <c r="S20" s="2" t="b">
        <f>IF(OR(Table1938[[#This Row],[Document Type]]="book",Table1938[[#This Row],[Document Type]]="bookSection"),TRUE,FALSE)</f>
        <v>0</v>
      </c>
      <c r="T20" s="2" t="b">
        <f>NOT(IF(OR(Table1938[[#This Row],[Language]]&lt;&gt;"en",Table1938[[#This Row],[Language]]&lt;&gt;"EN",Table1938[[#This Row],[Language]]&lt;&gt;"spa",Table1938[[#This Row],[Language]]&lt;&gt;"SPA"),TRUE,FALSE))</f>
        <v>0</v>
      </c>
      <c r="U20" s="2" t="b">
        <f>IF(AND(Table1938[[#This Row],[EC-01]]=FALSE,Table1938[[#This Row],[EC-02]]=FALSE,Table1938[[#This Row],[EC-03]]=FALSE,Table1938[[#This Row],[EC-04]]=FALSE,Table1938[[#This Row],[EC-05]]=FALSE,Table1938[[#This Row],[EC-06]]=FALSE),TRUE,FALSE)</f>
        <v>0</v>
      </c>
      <c r="V20" s="2" t="b">
        <f>IF(Table1938[[#This Row],[Date]]&lt;&gt;"",AND(YEAR(Table1938[[#This Row],[Date]])&gt;=2010, YEAR(Table1938[[#This Row],[Date]])&lt;=2024),FALSE)</f>
        <v>0</v>
      </c>
      <c r="W20" s="2" t="b">
        <f>IF(Table1938[[#This Row],[Date]]&lt;&gt;"",AND(YEAR(Table1938[[#This Row],[Date]])&gt;=2010, YEAR(Table1938[[#This Row],[Date]])&lt;=2020),FALSE)</f>
        <v>0</v>
      </c>
      <c r="X20" s="2" t="b">
        <f>IF(AND(Table1938[[#This Row],[Accesible]]=TRUE,Table1938[[#This Row],[DOI]]&lt;&gt;""),TRUE,FALSE)</f>
        <v>0</v>
      </c>
      <c r="Y20" s="2" t="b">
        <f>OR(Table1938[[#This Row],[Document Type]]="journalArticle",Table1938[[#This Row],[Document Type]]="conferencePaper",Table1938[[#This Row],[Document Type]]="review")</f>
        <v>0</v>
      </c>
      <c r="Z20" s="2" t="b" cm="1">
        <f t="array" ref="Z20">SUMPRODUCT(--ISNUMBER(SEARCH({"dimensional analysis","dimensionless coefficients","Π","Pi","theorem","software","design","tools","development","architecture","similar"}, LOWER(Table1938[[#This Row],[Title]]))))&gt;0</f>
        <v>0</v>
      </c>
      <c r="AA20" s="2" t="b" cm="1">
        <f t="array" ref="AA20">SUMPRODUCT(--ISNUMBER(SEARCH({"dimensional analysis","dimensionless coefficients","Π","Pi","theorem","software","design","tools","development","architecture","similar"}, LOWER(Table1938[[#This Row],[Abstract]]))))&gt;0</f>
        <v>0</v>
      </c>
      <c r="AB20" s="2" t="b">
        <f>AND(OR(Table1938[[#This Row],[IC-01 @2024]:[IC-01 @2020]])=TRUE,Table1938[[#This Row],[IC-02]]=TRUE,Table1938[[#This Row],[IC-03]]=TRUE,Table1938[[#This Row],[IC-04]]=TRUE,Table1938[[#This Row],[IC-05]]=TRUE)</f>
        <v>0</v>
      </c>
      <c r="AC20" s="2" t="b">
        <f>AND(Table1938[[#This Row],[Pass-IC]]=TRUE,Table1938[[#This Row],[Pass-EC]]=TRUE)</f>
        <v>0</v>
      </c>
      <c r="AD20" s="2" t="b">
        <f>COUNTIF($D1:D$663, Table1938[[#This Row],[Title]]) = 1</f>
        <v>1</v>
      </c>
      <c r="AE20" s="2" t="b">
        <f>AND(Table1938[[#This Row],[IC + EC]:[Unique]])</f>
        <v>0</v>
      </c>
      <c r="AF20" s="2" t="b">
        <v>0</v>
      </c>
      <c r="AG20" s="2" t="b">
        <v>0</v>
      </c>
      <c r="AH20" s="2" t="b">
        <v>0</v>
      </c>
      <c r="AI20" s="2" t="b">
        <f>IF(AND(Table1938[[#This Row],[Double Check]]=TRUE,Table1938[[#This Row],[Inspected]]=TRUE,Table1938[[#This Row],[Relevant]]=TRUE),TRUE,FALSE)</f>
        <v>0</v>
      </c>
    </row>
    <row r="21" spans="1:35" ht="43" x14ac:dyDescent="0.5">
      <c r="A21" s="2">
        <v>20</v>
      </c>
      <c r="B21" s="20" t="s">
        <v>2</v>
      </c>
      <c r="C21" s="20" t="s">
        <v>2572</v>
      </c>
      <c r="D21" s="20" t="s">
        <v>2573</v>
      </c>
      <c r="E21" s="20" t="s">
        <v>64</v>
      </c>
      <c r="F21" s="2" t="s">
        <v>65</v>
      </c>
      <c r="G21" s="20" t="s">
        <v>2574</v>
      </c>
      <c r="H21" s="36">
        <v>44474</v>
      </c>
      <c r="I21" s="20">
        <v>2021</v>
      </c>
      <c r="J21" s="20" t="s">
        <v>62</v>
      </c>
      <c r="K21" s="20" t="s">
        <v>123</v>
      </c>
      <c r="L21" s="20" t="s">
        <v>2515</v>
      </c>
      <c r="M21" s="20" t="s">
        <v>66</v>
      </c>
      <c r="N21" s="20" t="b">
        <v>1</v>
      </c>
      <c r="O21" s="2" t="b">
        <f>IF(Table1938[[#This Row],[Title]]="",TRUE,FALSE)</f>
        <v>0</v>
      </c>
      <c r="P21" s="2" t="b">
        <f>IF(Table1938[[#This Row],[Author]]="",TRUE,FALSE)</f>
        <v>0</v>
      </c>
      <c r="Q21" s="2" t="b">
        <f>IF(Table1938[[#This Row],[DOI]]&lt;&gt;"", FALSE,TRUE)</f>
        <v>0</v>
      </c>
      <c r="R21" s="2" t="b">
        <f>IF(Table1938[[#This Row],[Abstract]]="",TRUE,FALSE)</f>
        <v>0</v>
      </c>
      <c r="S21" s="2" t="b">
        <f>IF(OR(Table1938[[#This Row],[Document Type]]="book",Table1938[[#This Row],[Document Type]]="bookSection"),TRUE,FALSE)</f>
        <v>0</v>
      </c>
      <c r="T21" s="2" t="b">
        <f>NOT(IF(OR(Table1938[[#This Row],[Language]]&lt;&gt;"en",Table1938[[#This Row],[Language]]&lt;&gt;"EN",Table1938[[#This Row],[Language]]&lt;&gt;"spa",Table1938[[#This Row],[Language]]&lt;&gt;"SPA"),TRUE,FALSE))</f>
        <v>0</v>
      </c>
      <c r="U21" s="2" t="b">
        <f>IF(AND(Table1938[[#This Row],[EC-01]]=FALSE,Table1938[[#This Row],[EC-02]]=FALSE,Table1938[[#This Row],[EC-03]]=FALSE,Table1938[[#This Row],[EC-04]]=FALSE,Table1938[[#This Row],[EC-05]]=FALSE,Table1938[[#This Row],[EC-06]]=FALSE),TRUE,FALSE)</f>
        <v>1</v>
      </c>
      <c r="V21" s="2" t="b">
        <f>IF(Table1938[[#This Row],[Date]]&lt;&gt;"",AND(YEAR(Table1938[[#This Row],[Date]])&gt;=2010, YEAR(Table1938[[#This Row],[Date]])&lt;=2024),FALSE)</f>
        <v>1</v>
      </c>
      <c r="W21" s="2" t="b">
        <f>IF(Table1938[[#This Row],[Date]]&lt;&gt;"",AND(YEAR(Table1938[[#This Row],[Date]])&gt;=2010, YEAR(Table1938[[#This Row],[Date]])&lt;=2020),FALSE)</f>
        <v>0</v>
      </c>
      <c r="X21" s="2" t="b">
        <f>IF(AND(Table1938[[#This Row],[Accesible]]=TRUE,Table1938[[#This Row],[DOI]]&lt;&gt;""),TRUE,FALSE)</f>
        <v>1</v>
      </c>
      <c r="Y21" s="2" t="b">
        <f>OR(Table1938[[#This Row],[Document Type]]="journalArticle",Table1938[[#This Row],[Document Type]]="conferencePaper",Table1938[[#This Row],[Document Type]]="review")</f>
        <v>1</v>
      </c>
      <c r="Z21" s="2" t="b" cm="1">
        <f t="array" ref="Z21">SUMPRODUCT(--ISNUMBER(SEARCH({"dimensional analysis","dimensionless coefficients","Π","Pi","theorem","software","design","tools","development","architecture","similar"}, LOWER(Table1938[[#This Row],[Title]]))))&gt;0</f>
        <v>0</v>
      </c>
      <c r="AA21" s="2" t="b" cm="1">
        <f t="array" ref="AA21">SUMPRODUCT(--ISNUMBER(SEARCH({"dimensional analysis","dimensionless coefficients","Π","Pi","theorem","software","design","tools","development","architecture","similar"}, LOWER(Table1938[[#This Row],[Abstract]]))))&gt;0</f>
        <v>1</v>
      </c>
      <c r="AB21" s="2" t="b">
        <f>AND(OR(Table1938[[#This Row],[IC-01 @2024]:[IC-01 @2020]])=TRUE,Table1938[[#This Row],[IC-02]]=TRUE,Table1938[[#This Row],[IC-03]]=TRUE,Table1938[[#This Row],[IC-04]]=TRUE,Table1938[[#This Row],[IC-05]]=TRUE)</f>
        <v>0</v>
      </c>
      <c r="AC21" s="2" t="b">
        <f>AND(Table1938[[#This Row],[Pass-IC]]=TRUE,Table1938[[#This Row],[Pass-EC]]=TRUE)</f>
        <v>0</v>
      </c>
      <c r="AD21" s="2" t="b">
        <f>COUNTIF($D1:D$661, Table1938[[#This Row],[Title]]) = 1</f>
        <v>1</v>
      </c>
      <c r="AE21" s="2" t="b">
        <f>AND(Table1938[[#This Row],[IC + EC]:[Unique]])</f>
        <v>0</v>
      </c>
      <c r="AF21" s="2" t="b">
        <v>0</v>
      </c>
      <c r="AG21" s="2" t="b">
        <v>0</v>
      </c>
      <c r="AH21" s="2" t="b">
        <v>0</v>
      </c>
      <c r="AI21" s="2" t="b">
        <f>IF(AND(Table1938[[#This Row],[Double Check]]=TRUE,Table1938[[#This Row],[Inspected]]=TRUE,Table1938[[#This Row],[Relevant]]=TRUE),TRUE,FALSE)</f>
        <v>0</v>
      </c>
    </row>
    <row r="22" spans="1:35" ht="57.35" x14ac:dyDescent="0.5">
      <c r="A22" s="2">
        <v>21</v>
      </c>
      <c r="B22" s="20" t="s">
        <v>2</v>
      </c>
      <c r="C22" s="20" t="s">
        <v>2575</v>
      </c>
      <c r="D22" s="20" t="s">
        <v>2576</v>
      </c>
      <c r="E22" s="20" t="s">
        <v>2577</v>
      </c>
      <c r="F22" s="2" t="s">
        <v>2578</v>
      </c>
      <c r="G22" s="20" t="s">
        <v>2579</v>
      </c>
      <c r="H22" s="36">
        <v>44372</v>
      </c>
      <c r="I22" s="20">
        <v>2021</v>
      </c>
      <c r="J22" s="20" t="s">
        <v>61</v>
      </c>
      <c r="K22" s="20" t="s">
        <v>123</v>
      </c>
      <c r="L22" s="20" t="s">
        <v>2515</v>
      </c>
      <c r="M22" s="20" t="s">
        <v>2580</v>
      </c>
      <c r="N22" s="20" t="b">
        <v>1</v>
      </c>
      <c r="O22" s="2" t="b">
        <f>IF(Table1938[[#This Row],[Title]]="",TRUE,FALSE)</f>
        <v>0</v>
      </c>
      <c r="P22" s="2" t="b">
        <f>IF(Table1938[[#This Row],[Author]]="",TRUE,FALSE)</f>
        <v>0</v>
      </c>
      <c r="Q22" s="2" t="b">
        <f>IF(Table1938[[#This Row],[DOI]]&lt;&gt;"", FALSE,TRUE)</f>
        <v>0</v>
      </c>
      <c r="R22" s="2" t="b">
        <f>IF(Table1938[[#This Row],[Abstract]]="",TRUE,FALSE)</f>
        <v>0</v>
      </c>
      <c r="S22" s="2" t="b">
        <f>IF(OR(Table1938[[#This Row],[Document Type]]="book",Table1938[[#This Row],[Document Type]]="bookSection"),TRUE,FALSE)</f>
        <v>0</v>
      </c>
      <c r="T22" s="2" t="b">
        <f>NOT(IF(OR(Table1938[[#This Row],[Language]]&lt;&gt;"en",Table1938[[#This Row],[Language]]&lt;&gt;"EN",Table1938[[#This Row],[Language]]&lt;&gt;"spa",Table1938[[#This Row],[Language]]&lt;&gt;"SPA"),TRUE,FALSE))</f>
        <v>0</v>
      </c>
      <c r="U22" s="2" t="b">
        <f>IF(AND(Table1938[[#This Row],[EC-01]]=FALSE,Table1938[[#This Row],[EC-02]]=FALSE,Table1938[[#This Row],[EC-03]]=FALSE,Table1938[[#This Row],[EC-04]]=FALSE,Table1938[[#This Row],[EC-05]]=FALSE,Table1938[[#This Row],[EC-06]]=FALSE),TRUE,FALSE)</f>
        <v>1</v>
      </c>
      <c r="V22" s="2" t="b">
        <f>IF(Table1938[[#This Row],[Date]]&lt;&gt;"",AND(YEAR(Table1938[[#This Row],[Date]])&gt;=2010, YEAR(Table1938[[#This Row],[Date]])&lt;=2024),FALSE)</f>
        <v>1</v>
      </c>
      <c r="W22" s="2" t="b">
        <f>IF(Table1938[[#This Row],[Date]]&lt;&gt;"",AND(YEAR(Table1938[[#This Row],[Date]])&gt;=2010, YEAR(Table1938[[#This Row],[Date]])&lt;=2020),FALSE)</f>
        <v>0</v>
      </c>
      <c r="X22" s="2" t="b">
        <f>IF(AND(Table1938[[#This Row],[Accesible]]=TRUE,Table1938[[#This Row],[DOI]]&lt;&gt;""),TRUE,FALSE)</f>
        <v>1</v>
      </c>
      <c r="Y22" s="2" t="b">
        <f>OR(Table1938[[#This Row],[Document Type]]="journalArticle",Table1938[[#This Row],[Document Type]]="conferencePaper",Table1938[[#This Row],[Document Type]]="review")</f>
        <v>1</v>
      </c>
      <c r="Z22" s="2" t="b" cm="1">
        <f t="array" ref="Z22">SUMPRODUCT(--ISNUMBER(SEARCH({"dimensional analysis","dimensionless coefficients","Π","Pi","theorem","software","design","tools","development","architecture","similar"}, LOWER(Table1938[[#This Row],[Title]]))))&gt;0</f>
        <v>0</v>
      </c>
      <c r="AA22" s="2" t="b" cm="1">
        <f t="array" ref="AA22">SUMPRODUCT(--ISNUMBER(SEARCH({"dimensional analysis","dimensionless coefficients","Π","Pi","theorem","software","design","tools","development","architecture","similar"}, LOWER(Table1938[[#This Row],[Abstract]]))))&gt;0</f>
        <v>0</v>
      </c>
      <c r="AB22" s="2" t="b">
        <f>AND(OR(Table1938[[#This Row],[IC-01 @2024]:[IC-01 @2020]])=TRUE,Table1938[[#This Row],[IC-02]]=TRUE,Table1938[[#This Row],[IC-03]]=TRUE,Table1938[[#This Row],[IC-04]]=TRUE,Table1938[[#This Row],[IC-05]]=TRUE)</f>
        <v>0</v>
      </c>
      <c r="AC22" s="2" t="b">
        <f>AND(Table1938[[#This Row],[Pass-IC]]=TRUE,Table1938[[#This Row],[Pass-EC]]=TRUE)</f>
        <v>0</v>
      </c>
      <c r="AD22" s="2" t="b">
        <f>COUNTIF($D1:D$659, Table1938[[#This Row],[Title]]) = 1</f>
        <v>1</v>
      </c>
      <c r="AE22" s="2" t="b">
        <f>AND(Table1938[[#This Row],[IC + EC]:[Unique]])</f>
        <v>0</v>
      </c>
      <c r="AF22" s="2" t="b">
        <v>0</v>
      </c>
      <c r="AG22" s="2" t="b">
        <v>0</v>
      </c>
      <c r="AH22" s="2" t="b">
        <v>0</v>
      </c>
      <c r="AI22" s="2" t="b">
        <f>IF(AND(Table1938[[#This Row],[Double Check]]=TRUE,Table1938[[#This Row],[Inspected]]=TRUE,Table1938[[#This Row],[Relevant]]=TRUE),TRUE,FALSE)</f>
        <v>0</v>
      </c>
    </row>
    <row r="23" spans="1:35" ht="43" x14ac:dyDescent="0.5">
      <c r="A23" s="2">
        <v>22</v>
      </c>
      <c r="B23" s="20" t="s">
        <v>2</v>
      </c>
      <c r="C23" s="20" t="s">
        <v>2581</v>
      </c>
      <c r="D23" s="20" t="s">
        <v>2582</v>
      </c>
      <c r="E23" s="20" t="s">
        <v>123</v>
      </c>
      <c r="F23" s="2" t="s">
        <v>123</v>
      </c>
      <c r="G23" s="20" t="s">
        <v>2535</v>
      </c>
      <c r="H23" s="36" t="s">
        <v>123</v>
      </c>
      <c r="I23" s="20" t="s">
        <v>123</v>
      </c>
      <c r="J23" s="20" t="s">
        <v>2520</v>
      </c>
      <c r="K23" s="20" t="s">
        <v>123</v>
      </c>
      <c r="L23" s="20" t="s">
        <v>642</v>
      </c>
      <c r="M23" s="20" t="s">
        <v>123</v>
      </c>
      <c r="N23" s="20" t="b">
        <v>1</v>
      </c>
      <c r="O23" s="2" t="b">
        <f>IF(Table1938[[#This Row],[Title]]="",TRUE,FALSE)</f>
        <v>0</v>
      </c>
      <c r="P23" s="2" t="b">
        <f>IF(Table1938[[#This Row],[Author]]="",TRUE,FALSE)</f>
        <v>1</v>
      </c>
      <c r="Q23" s="2" t="b">
        <f>IF(Table1938[[#This Row],[DOI]]&lt;&gt;"", FALSE,TRUE)</f>
        <v>1</v>
      </c>
      <c r="R23" s="2" t="b">
        <f>IF(Table1938[[#This Row],[Abstract]]="",TRUE,FALSE)</f>
        <v>1</v>
      </c>
      <c r="S23" s="2" t="b">
        <f>IF(OR(Table1938[[#This Row],[Document Type]]="book",Table1938[[#This Row],[Document Type]]="bookSection"),TRUE,FALSE)</f>
        <v>0</v>
      </c>
      <c r="T23" s="2" t="b">
        <f>NOT(IF(OR(Table1938[[#This Row],[Language]]&lt;&gt;"en",Table1938[[#This Row],[Language]]&lt;&gt;"EN",Table1938[[#This Row],[Language]]&lt;&gt;"spa",Table1938[[#This Row],[Language]]&lt;&gt;"SPA"),TRUE,FALSE))</f>
        <v>0</v>
      </c>
      <c r="U23" s="2" t="b">
        <f>IF(AND(Table1938[[#This Row],[EC-01]]=FALSE,Table1938[[#This Row],[EC-02]]=FALSE,Table1938[[#This Row],[EC-03]]=FALSE,Table1938[[#This Row],[EC-04]]=FALSE,Table1938[[#This Row],[EC-05]]=FALSE,Table1938[[#This Row],[EC-06]]=FALSE),TRUE,FALSE)</f>
        <v>0</v>
      </c>
      <c r="V23" s="2" t="b">
        <f>IF(Table1938[[#This Row],[Date]]&lt;&gt;"",AND(YEAR(Table1938[[#This Row],[Date]])&gt;=2010, YEAR(Table1938[[#This Row],[Date]])&lt;=2024),FALSE)</f>
        <v>0</v>
      </c>
      <c r="W23" s="2" t="b">
        <f>IF(Table1938[[#This Row],[Date]]&lt;&gt;"",AND(YEAR(Table1938[[#This Row],[Date]])&gt;=2010, YEAR(Table1938[[#This Row],[Date]])&lt;=2020),FALSE)</f>
        <v>0</v>
      </c>
      <c r="X23" s="2" t="b">
        <f>IF(AND(Table1938[[#This Row],[Accesible]]=TRUE,Table1938[[#This Row],[DOI]]&lt;&gt;""),TRUE,FALSE)</f>
        <v>0</v>
      </c>
      <c r="Y23" s="2" t="b">
        <f>OR(Table1938[[#This Row],[Document Type]]="journalArticle",Table1938[[#This Row],[Document Type]]="conferencePaper",Table1938[[#This Row],[Document Type]]="review")</f>
        <v>0</v>
      </c>
      <c r="Z23" s="2" t="b" cm="1">
        <f t="array" ref="Z23">SUMPRODUCT(--ISNUMBER(SEARCH({"dimensional analysis","dimensionless coefficients","Π","Pi","theorem","software","design","tools","development","architecture","similar"}, LOWER(Table1938[[#This Row],[Title]]))))&gt;0</f>
        <v>0</v>
      </c>
      <c r="AA23" s="2" t="b" cm="1">
        <f t="array" ref="AA23">SUMPRODUCT(--ISNUMBER(SEARCH({"dimensional analysis","dimensionless coefficients","Π","Pi","theorem","software","design","tools","development","architecture","similar"}, LOWER(Table1938[[#This Row],[Abstract]]))))&gt;0</f>
        <v>0</v>
      </c>
      <c r="AB23" s="2" t="b">
        <f>AND(OR(Table1938[[#This Row],[IC-01 @2024]:[IC-01 @2020]])=TRUE,Table1938[[#This Row],[IC-02]]=TRUE,Table1938[[#This Row],[IC-03]]=TRUE,Table1938[[#This Row],[IC-04]]=TRUE,Table1938[[#This Row],[IC-05]]=TRUE)</f>
        <v>0</v>
      </c>
      <c r="AC23" s="2" t="b">
        <f>AND(Table1938[[#This Row],[Pass-IC]]=TRUE,Table1938[[#This Row],[Pass-EC]]=TRUE)</f>
        <v>0</v>
      </c>
      <c r="AD23" s="2" t="b">
        <f>COUNTIF($D1:D$658, Table1938[[#This Row],[Title]]) = 1</f>
        <v>1</v>
      </c>
      <c r="AE23" s="2" t="b">
        <f>AND(Table1938[[#This Row],[IC + EC]:[Unique]])</f>
        <v>0</v>
      </c>
      <c r="AF23" s="2" t="b">
        <v>0</v>
      </c>
      <c r="AG23" s="2" t="b">
        <v>0</v>
      </c>
      <c r="AH23" s="2" t="b">
        <v>0</v>
      </c>
      <c r="AI23" s="2" t="b">
        <f>IF(AND(Table1938[[#This Row],[Double Check]]=TRUE,Table1938[[#This Row],[Inspected]]=TRUE,Table1938[[#This Row],[Relevant]]=TRUE),TRUE,FALSE)</f>
        <v>0</v>
      </c>
    </row>
    <row r="24" spans="1:35" ht="28.7" x14ac:dyDescent="0.5">
      <c r="A24" s="2">
        <v>23</v>
      </c>
      <c r="B24" s="20" t="s">
        <v>2</v>
      </c>
      <c r="C24" s="20" t="s">
        <v>2583</v>
      </c>
      <c r="D24" s="20" t="s">
        <v>2584</v>
      </c>
      <c r="E24" s="20" t="s">
        <v>123</v>
      </c>
      <c r="F24" s="2" t="s">
        <v>123</v>
      </c>
      <c r="G24" s="20" t="s">
        <v>2519</v>
      </c>
      <c r="H24" s="36" t="s">
        <v>123</v>
      </c>
      <c r="I24" s="20" t="s">
        <v>123</v>
      </c>
      <c r="J24" s="20" t="s">
        <v>2520</v>
      </c>
      <c r="K24" s="20" t="s">
        <v>123</v>
      </c>
      <c r="L24" s="20" t="s">
        <v>642</v>
      </c>
      <c r="M24" s="20" t="s">
        <v>123</v>
      </c>
      <c r="N24" s="20" t="b">
        <v>1</v>
      </c>
      <c r="O24" s="2" t="b">
        <f>IF(Table1938[[#This Row],[Title]]="",TRUE,FALSE)</f>
        <v>0</v>
      </c>
      <c r="P24" s="2" t="b">
        <f>IF(Table1938[[#This Row],[Author]]="",TRUE,FALSE)</f>
        <v>1</v>
      </c>
      <c r="Q24" s="2" t="b">
        <f>IF(Table1938[[#This Row],[DOI]]&lt;&gt;"", FALSE,TRUE)</f>
        <v>1</v>
      </c>
      <c r="R24" s="2" t="b">
        <f>IF(Table1938[[#This Row],[Abstract]]="",TRUE,FALSE)</f>
        <v>1</v>
      </c>
      <c r="S24" s="2" t="b">
        <f>IF(OR(Table1938[[#This Row],[Document Type]]="book",Table1938[[#This Row],[Document Type]]="bookSection"),TRUE,FALSE)</f>
        <v>0</v>
      </c>
      <c r="T24" s="2" t="b">
        <f>NOT(IF(OR(Table1938[[#This Row],[Language]]&lt;&gt;"en",Table1938[[#This Row],[Language]]&lt;&gt;"EN",Table1938[[#This Row],[Language]]&lt;&gt;"spa",Table1938[[#This Row],[Language]]&lt;&gt;"SPA"),TRUE,FALSE))</f>
        <v>0</v>
      </c>
      <c r="U24" s="2" t="b">
        <f>IF(AND(Table1938[[#This Row],[EC-01]]=FALSE,Table1938[[#This Row],[EC-02]]=FALSE,Table1938[[#This Row],[EC-03]]=FALSE,Table1938[[#This Row],[EC-04]]=FALSE,Table1938[[#This Row],[EC-05]]=FALSE,Table1938[[#This Row],[EC-06]]=FALSE),TRUE,FALSE)</f>
        <v>0</v>
      </c>
      <c r="V24" s="2" t="b">
        <f>IF(Table1938[[#This Row],[Date]]&lt;&gt;"",AND(YEAR(Table1938[[#This Row],[Date]])&gt;=2010, YEAR(Table1938[[#This Row],[Date]])&lt;=2024),FALSE)</f>
        <v>0</v>
      </c>
      <c r="W24" s="2" t="b">
        <f>IF(Table1938[[#This Row],[Date]]&lt;&gt;"",AND(YEAR(Table1938[[#This Row],[Date]])&gt;=2010, YEAR(Table1938[[#This Row],[Date]])&lt;=2020),FALSE)</f>
        <v>0</v>
      </c>
      <c r="X24" s="2" t="b">
        <f>IF(AND(Table1938[[#This Row],[Accesible]]=TRUE,Table1938[[#This Row],[DOI]]&lt;&gt;""),TRUE,FALSE)</f>
        <v>0</v>
      </c>
      <c r="Y24" s="2" t="b">
        <f>OR(Table1938[[#This Row],[Document Type]]="journalArticle",Table1938[[#This Row],[Document Type]]="conferencePaper",Table1938[[#This Row],[Document Type]]="review")</f>
        <v>0</v>
      </c>
      <c r="Z24" s="2" t="b" cm="1">
        <f t="array" ref="Z24">SUMPRODUCT(--ISNUMBER(SEARCH({"dimensional analysis","dimensionless coefficients","Π","Pi","theorem","software","design","tools","development","architecture","similar"}, LOWER(Table1938[[#This Row],[Title]]))))&gt;0</f>
        <v>0</v>
      </c>
      <c r="AA24" s="2" t="b" cm="1">
        <f t="array" ref="AA24">SUMPRODUCT(--ISNUMBER(SEARCH({"dimensional analysis","dimensionless coefficients","Π","Pi","theorem","software","design","tools","development","architecture","similar"}, LOWER(Table1938[[#This Row],[Abstract]]))))&gt;0</f>
        <v>0</v>
      </c>
      <c r="AB24" s="2" t="b">
        <f>AND(OR(Table1938[[#This Row],[IC-01 @2024]:[IC-01 @2020]])=TRUE,Table1938[[#This Row],[IC-02]]=TRUE,Table1938[[#This Row],[IC-03]]=TRUE,Table1938[[#This Row],[IC-04]]=TRUE,Table1938[[#This Row],[IC-05]]=TRUE)</f>
        <v>0</v>
      </c>
      <c r="AC24" s="2" t="b">
        <f>AND(Table1938[[#This Row],[Pass-IC]]=TRUE,Table1938[[#This Row],[Pass-EC]]=TRUE)</f>
        <v>0</v>
      </c>
      <c r="AD24" s="2" t="b">
        <f>COUNTIF($D1:D$657, Table1938[[#This Row],[Title]]) = 1</f>
        <v>1</v>
      </c>
      <c r="AE24" s="2" t="b">
        <f>AND(Table1938[[#This Row],[IC + EC]:[Unique]])</f>
        <v>0</v>
      </c>
      <c r="AF24" s="2" t="b">
        <v>0</v>
      </c>
      <c r="AG24" s="2" t="b">
        <v>0</v>
      </c>
      <c r="AH24" s="2" t="b">
        <v>0</v>
      </c>
      <c r="AI24" s="2" t="b">
        <f>IF(AND(Table1938[[#This Row],[Double Check]]=TRUE,Table1938[[#This Row],[Inspected]]=TRUE,Table1938[[#This Row],[Relevant]]=TRUE),TRUE,FALSE)</f>
        <v>0</v>
      </c>
    </row>
    <row r="25" spans="1:35" ht="71.7" x14ac:dyDescent="0.5">
      <c r="A25" s="2">
        <v>24</v>
      </c>
      <c r="B25" s="20" t="s">
        <v>2</v>
      </c>
      <c r="C25" s="20" t="s">
        <v>2585</v>
      </c>
      <c r="D25" s="20" t="s">
        <v>2586</v>
      </c>
      <c r="E25" s="20" t="s">
        <v>2587</v>
      </c>
      <c r="F25" s="2" t="s">
        <v>2588</v>
      </c>
      <c r="G25" s="20" t="s">
        <v>2589</v>
      </c>
      <c r="H25" s="36">
        <v>44927</v>
      </c>
      <c r="I25" s="20">
        <v>2023</v>
      </c>
      <c r="J25" s="20" t="s">
        <v>61</v>
      </c>
      <c r="K25" s="20" t="s">
        <v>123</v>
      </c>
      <c r="L25" s="20" t="s">
        <v>2515</v>
      </c>
      <c r="M25" s="20" t="s">
        <v>2590</v>
      </c>
      <c r="N25" s="20" t="b">
        <v>0</v>
      </c>
      <c r="O25" s="2" t="b">
        <f>IF(Table1938[[#This Row],[Title]]="",TRUE,FALSE)</f>
        <v>0</v>
      </c>
      <c r="P25" s="2" t="b">
        <f>IF(Table1938[[#This Row],[Author]]="",TRUE,FALSE)</f>
        <v>0</v>
      </c>
      <c r="Q25" s="2" t="b">
        <f>IF(Table1938[[#This Row],[DOI]]&lt;&gt;"", FALSE,TRUE)</f>
        <v>0</v>
      </c>
      <c r="R25" s="2" t="b">
        <f>IF(Table1938[[#This Row],[Abstract]]="",TRUE,FALSE)</f>
        <v>0</v>
      </c>
      <c r="S25" s="2" t="b">
        <f>IF(OR(Table1938[[#This Row],[Document Type]]="book",Table1938[[#This Row],[Document Type]]="bookSection"),TRUE,FALSE)</f>
        <v>0</v>
      </c>
      <c r="T25" s="2" t="b">
        <f>NOT(IF(OR(Table1938[[#This Row],[Language]]&lt;&gt;"en",Table1938[[#This Row],[Language]]&lt;&gt;"EN",Table1938[[#This Row],[Language]]&lt;&gt;"spa",Table1938[[#This Row],[Language]]&lt;&gt;"SPA"),TRUE,FALSE))</f>
        <v>0</v>
      </c>
      <c r="U25" s="2" t="b">
        <f>IF(AND(Table1938[[#This Row],[EC-01]]=FALSE,Table1938[[#This Row],[EC-02]]=FALSE,Table1938[[#This Row],[EC-03]]=FALSE,Table1938[[#This Row],[EC-04]]=FALSE,Table1938[[#This Row],[EC-05]]=FALSE,Table1938[[#This Row],[EC-06]]=FALSE),TRUE,FALSE)</f>
        <v>1</v>
      </c>
      <c r="V25" s="2" t="b">
        <f>IF(Table1938[[#This Row],[Date]]&lt;&gt;"",AND(YEAR(Table1938[[#This Row],[Date]])&gt;=2010, YEAR(Table1938[[#This Row],[Date]])&lt;=2024),FALSE)</f>
        <v>1</v>
      </c>
      <c r="W25" s="2" t="b">
        <f>IF(Table1938[[#This Row],[Date]]&lt;&gt;"",AND(YEAR(Table1938[[#This Row],[Date]])&gt;=2010, YEAR(Table1938[[#This Row],[Date]])&lt;=2020),FALSE)</f>
        <v>0</v>
      </c>
      <c r="X25" s="2" t="b">
        <f>IF(AND(Table1938[[#This Row],[Accesible]]=TRUE,Table1938[[#This Row],[DOI]]&lt;&gt;""),TRUE,FALSE)</f>
        <v>0</v>
      </c>
      <c r="Y25" s="2" t="b">
        <f>OR(Table1938[[#This Row],[Document Type]]="journalArticle",Table1938[[#This Row],[Document Type]]="conferencePaper",Table1938[[#This Row],[Document Type]]="review")</f>
        <v>1</v>
      </c>
      <c r="Z25" s="2" t="b" cm="1">
        <f t="array" ref="Z25">SUMPRODUCT(--ISNUMBER(SEARCH({"dimensional analysis","dimensionless coefficients","Π","Pi","theorem","software","design","tools","development","architecture","similar"}, LOWER(Table1938[[#This Row],[Title]]))))&gt;0</f>
        <v>0</v>
      </c>
      <c r="AA25" s="2" t="b" cm="1">
        <f t="array" ref="AA25">SUMPRODUCT(--ISNUMBER(SEARCH({"dimensional analysis","dimensionless coefficients","Π","Pi","theorem","software","design","tools","development","architecture","similar"}, LOWER(Table1938[[#This Row],[Abstract]]))))&gt;0</f>
        <v>1</v>
      </c>
      <c r="AB25" s="2" t="b">
        <f>AND(OR(Table1938[[#This Row],[IC-01 @2024]:[IC-01 @2020]])=TRUE,Table1938[[#This Row],[IC-02]]=TRUE,Table1938[[#This Row],[IC-03]]=TRUE,Table1938[[#This Row],[IC-04]]=TRUE,Table1938[[#This Row],[IC-05]]=TRUE)</f>
        <v>0</v>
      </c>
      <c r="AC25" s="2" t="b">
        <f>AND(Table1938[[#This Row],[Pass-IC]]=TRUE,Table1938[[#This Row],[Pass-EC]]=TRUE)</f>
        <v>0</v>
      </c>
      <c r="AD25" s="2" t="b">
        <f>COUNTIF($D$25:D25, Table1938[[#This Row],[Title]]) = 1</f>
        <v>1</v>
      </c>
      <c r="AE25" s="2" t="b">
        <f>AND(Table1938[[#This Row],[IC + EC]:[Unique]])</f>
        <v>0</v>
      </c>
      <c r="AF25" s="2" t="b">
        <v>0</v>
      </c>
      <c r="AG25" s="2" t="b">
        <v>0</v>
      </c>
      <c r="AH25" s="2" t="b">
        <v>0</v>
      </c>
      <c r="AI25" s="2" t="b">
        <f>IF(AND(Table1938[[#This Row],[Double Check]]=TRUE,Table1938[[#This Row],[Inspected]]=TRUE,Table1938[[#This Row],[Relevant]]=TRUE),TRUE,FALSE)</f>
        <v>0</v>
      </c>
    </row>
    <row r="26" spans="1:35" ht="57.35" x14ac:dyDescent="0.5">
      <c r="A26" s="2">
        <v>25</v>
      </c>
      <c r="B26" s="20" t="s">
        <v>2</v>
      </c>
      <c r="C26" s="20" t="s">
        <v>2591</v>
      </c>
      <c r="D26" s="20" t="s">
        <v>2592</v>
      </c>
      <c r="E26" s="20" t="s">
        <v>2593</v>
      </c>
      <c r="F26" s="2" t="s">
        <v>2594</v>
      </c>
      <c r="G26" s="20" t="s">
        <v>2595</v>
      </c>
      <c r="H26" s="36">
        <v>45139</v>
      </c>
      <c r="I26" s="20">
        <v>2023</v>
      </c>
      <c r="J26" s="20" t="s">
        <v>61</v>
      </c>
      <c r="K26" s="20" t="s">
        <v>2596</v>
      </c>
      <c r="L26" s="20" t="s">
        <v>2515</v>
      </c>
      <c r="M26" s="20" t="s">
        <v>2597</v>
      </c>
      <c r="N26" s="20" t="b">
        <v>0</v>
      </c>
      <c r="O26" s="2" t="b">
        <f>IF(Table1938[[#This Row],[Title]]="",TRUE,FALSE)</f>
        <v>0</v>
      </c>
      <c r="P26" s="2" t="b">
        <f>IF(Table1938[[#This Row],[Author]]="",TRUE,FALSE)</f>
        <v>0</v>
      </c>
      <c r="Q26" s="2" t="b">
        <f>IF(Table1938[[#This Row],[DOI]]&lt;&gt;"", FALSE,TRUE)</f>
        <v>0</v>
      </c>
      <c r="R26" s="2" t="b">
        <f>IF(Table1938[[#This Row],[Abstract]]="",TRUE,FALSE)</f>
        <v>0</v>
      </c>
      <c r="S26" s="2" t="b">
        <f>IF(OR(Table1938[[#This Row],[Document Type]]="book",Table1938[[#This Row],[Document Type]]="bookSection"),TRUE,FALSE)</f>
        <v>0</v>
      </c>
      <c r="T26" s="2" t="b">
        <f>NOT(IF(OR(Table1938[[#This Row],[Language]]&lt;&gt;"en",Table1938[[#This Row],[Language]]&lt;&gt;"EN",Table1938[[#This Row],[Language]]&lt;&gt;"spa",Table1938[[#This Row],[Language]]&lt;&gt;"SPA"),TRUE,FALSE))</f>
        <v>0</v>
      </c>
      <c r="U26" s="2" t="b">
        <f>IF(AND(Table1938[[#This Row],[EC-01]]=FALSE,Table1938[[#This Row],[EC-02]]=FALSE,Table1938[[#This Row],[EC-03]]=FALSE,Table1938[[#This Row],[EC-04]]=FALSE,Table1938[[#This Row],[EC-05]]=FALSE,Table1938[[#This Row],[EC-06]]=FALSE),TRUE,FALSE)</f>
        <v>1</v>
      </c>
      <c r="V26" s="2" t="b">
        <f>IF(Table1938[[#This Row],[Date]]&lt;&gt;"",AND(YEAR(Table1938[[#This Row],[Date]])&gt;=2010, YEAR(Table1938[[#This Row],[Date]])&lt;=2024),FALSE)</f>
        <v>1</v>
      </c>
      <c r="W26" s="2" t="b">
        <f>IF(Table1938[[#This Row],[Date]]&lt;&gt;"",AND(YEAR(Table1938[[#This Row],[Date]])&gt;=2010, YEAR(Table1938[[#This Row],[Date]])&lt;=2020),FALSE)</f>
        <v>0</v>
      </c>
      <c r="X26" s="2" t="b">
        <f>IF(AND(Table1938[[#This Row],[Accesible]]=TRUE,Table1938[[#This Row],[DOI]]&lt;&gt;""),TRUE,FALSE)</f>
        <v>0</v>
      </c>
      <c r="Y26" s="2" t="b">
        <f>OR(Table1938[[#This Row],[Document Type]]="journalArticle",Table1938[[#This Row],[Document Type]]="conferencePaper",Table1938[[#This Row],[Document Type]]="review")</f>
        <v>1</v>
      </c>
      <c r="Z26" s="2" t="b" cm="1">
        <f t="array" ref="Z26">SUMPRODUCT(--ISNUMBER(SEARCH({"dimensional analysis","dimensionless coefficients","Π","Pi","theorem","software","design","tools","development","architecture","similar"}, LOWER(Table1938[[#This Row],[Title]]))))&gt;0</f>
        <v>0</v>
      </c>
      <c r="AA26" s="2" t="b" cm="1">
        <f t="array" ref="AA26">SUMPRODUCT(--ISNUMBER(SEARCH({"dimensional analysis","dimensionless coefficients","Π","Pi","theorem","software","design","tools","development","architecture","similar"}, LOWER(Table1938[[#This Row],[Abstract]]))))&gt;0</f>
        <v>1</v>
      </c>
      <c r="AB26" s="2" t="b">
        <f>AND(OR(Table1938[[#This Row],[IC-01 @2024]:[IC-01 @2020]])=TRUE,Table1938[[#This Row],[IC-02]]=TRUE,Table1938[[#This Row],[IC-03]]=TRUE,Table1938[[#This Row],[IC-04]]=TRUE,Table1938[[#This Row],[IC-05]]=TRUE)</f>
        <v>0</v>
      </c>
      <c r="AC26" s="2" t="b">
        <f>AND(Table1938[[#This Row],[Pass-IC]]=TRUE,Table1938[[#This Row],[Pass-EC]]=TRUE)</f>
        <v>0</v>
      </c>
      <c r="AD26" s="2" t="b">
        <f>COUNTIF($D$25:D26, Table1938[[#This Row],[Title]]) = 1</f>
        <v>1</v>
      </c>
      <c r="AE26" s="2" t="b">
        <f>AND(Table1938[[#This Row],[IC + EC]:[Unique]])</f>
        <v>0</v>
      </c>
      <c r="AF26" s="2" t="b">
        <v>0</v>
      </c>
      <c r="AG26" s="2" t="b">
        <v>0</v>
      </c>
      <c r="AH26" s="2" t="b">
        <v>0</v>
      </c>
      <c r="AI26" s="2" t="b">
        <f>IF(AND(Table1938[[#This Row],[Double Check]]=TRUE,Table1938[[#This Row],[Inspected]]=TRUE,Table1938[[#This Row],[Relevant]]=TRUE),TRUE,FALSE)</f>
        <v>0</v>
      </c>
    </row>
    <row r="27" spans="1:35" ht="28.7" x14ac:dyDescent="0.5">
      <c r="A27" s="2">
        <v>26</v>
      </c>
      <c r="B27" s="20" t="s">
        <v>2</v>
      </c>
      <c r="C27" s="20" t="s">
        <v>2598</v>
      </c>
      <c r="D27" s="20" t="s">
        <v>2599</v>
      </c>
      <c r="E27" s="20" t="s">
        <v>2600</v>
      </c>
      <c r="F27" s="2" t="s">
        <v>2601</v>
      </c>
      <c r="G27" s="20" t="s">
        <v>2602</v>
      </c>
      <c r="H27" s="36">
        <v>40756</v>
      </c>
      <c r="I27" s="20">
        <v>2011</v>
      </c>
      <c r="J27" s="20" t="s">
        <v>61</v>
      </c>
      <c r="K27" s="20" t="s">
        <v>123</v>
      </c>
      <c r="L27" s="20" t="s">
        <v>2515</v>
      </c>
      <c r="M27" s="20" t="s">
        <v>2603</v>
      </c>
      <c r="N27" s="20" t="b">
        <v>0</v>
      </c>
      <c r="O27" s="2" t="b">
        <f>IF(Table1938[[#This Row],[Title]]="",TRUE,FALSE)</f>
        <v>0</v>
      </c>
      <c r="P27" s="2" t="b">
        <f>IF(Table1938[[#This Row],[Author]]="",TRUE,FALSE)</f>
        <v>0</v>
      </c>
      <c r="Q27" s="2" t="b">
        <f>IF(Table1938[[#This Row],[DOI]]&lt;&gt;"", FALSE,TRUE)</f>
        <v>0</v>
      </c>
      <c r="R27" s="2" t="b">
        <f>IF(Table1938[[#This Row],[Abstract]]="",TRUE,FALSE)</f>
        <v>0</v>
      </c>
      <c r="S27" s="2" t="b">
        <f>IF(OR(Table1938[[#This Row],[Document Type]]="book",Table1938[[#This Row],[Document Type]]="bookSection"),TRUE,FALSE)</f>
        <v>0</v>
      </c>
      <c r="T27" s="2" t="b">
        <f>NOT(IF(OR(Table1938[[#This Row],[Language]]&lt;&gt;"en",Table1938[[#This Row],[Language]]&lt;&gt;"EN",Table1938[[#This Row],[Language]]&lt;&gt;"spa",Table1938[[#This Row],[Language]]&lt;&gt;"SPA"),TRUE,FALSE))</f>
        <v>0</v>
      </c>
      <c r="U27" s="2" t="b">
        <f>IF(AND(Table1938[[#This Row],[EC-01]]=FALSE,Table1938[[#This Row],[EC-02]]=FALSE,Table1938[[#This Row],[EC-03]]=FALSE,Table1938[[#This Row],[EC-04]]=FALSE,Table1938[[#This Row],[EC-05]]=FALSE,Table1938[[#This Row],[EC-06]]=FALSE),TRUE,FALSE)</f>
        <v>1</v>
      </c>
      <c r="V27" s="2" t="b">
        <f>IF(Table1938[[#This Row],[Date]]&lt;&gt;"",AND(YEAR(Table1938[[#This Row],[Date]])&gt;=2010, YEAR(Table1938[[#This Row],[Date]])&lt;=2024),FALSE)</f>
        <v>1</v>
      </c>
      <c r="W27" s="2" t="b">
        <f>IF(Table1938[[#This Row],[Date]]&lt;&gt;"",AND(YEAR(Table1938[[#This Row],[Date]])&gt;=2010, YEAR(Table1938[[#This Row],[Date]])&lt;=2020),FALSE)</f>
        <v>1</v>
      </c>
      <c r="X27" s="2" t="b">
        <f>IF(AND(Table1938[[#This Row],[Accesible]]=TRUE,Table1938[[#This Row],[DOI]]&lt;&gt;""),TRUE,FALSE)</f>
        <v>0</v>
      </c>
      <c r="Y27" s="2" t="b">
        <f>OR(Table1938[[#This Row],[Document Type]]="journalArticle",Table1938[[#This Row],[Document Type]]="conferencePaper",Table1938[[#This Row],[Document Type]]="review")</f>
        <v>1</v>
      </c>
      <c r="Z27" s="2" t="b" cm="1">
        <f t="array" ref="Z27">SUMPRODUCT(--ISNUMBER(SEARCH({"dimensional analysis","dimensionless coefficients","Π","Pi","theorem","software","design","tools","development","architecture","similar"}, LOWER(Table1938[[#This Row],[Title]]))))&gt;0</f>
        <v>0</v>
      </c>
      <c r="AA27" s="2" t="b" cm="1">
        <f t="array" ref="AA27">SUMPRODUCT(--ISNUMBER(SEARCH({"dimensional analysis","dimensionless coefficients","Π","Pi","theorem","software","design","tools","development","architecture","similar"}, LOWER(Table1938[[#This Row],[Abstract]]))))&gt;0</f>
        <v>1</v>
      </c>
      <c r="AB27" s="2" t="b">
        <f>AND(OR(Table1938[[#This Row],[IC-01 @2024]:[IC-01 @2020]])=TRUE,Table1938[[#This Row],[IC-02]]=TRUE,Table1938[[#This Row],[IC-03]]=TRUE,Table1938[[#This Row],[IC-04]]=TRUE,Table1938[[#This Row],[IC-05]]=TRUE)</f>
        <v>0</v>
      </c>
      <c r="AC27" s="2" t="b">
        <f>AND(Table1938[[#This Row],[Pass-IC]]=TRUE,Table1938[[#This Row],[Pass-EC]]=TRUE)</f>
        <v>0</v>
      </c>
      <c r="AD27" s="2" t="b">
        <f>COUNTIF($D$25:D27, Table1938[[#This Row],[Title]]) = 1</f>
        <v>1</v>
      </c>
      <c r="AE27" s="2" t="b">
        <f>AND(Table1938[[#This Row],[IC + EC]:[Unique]])</f>
        <v>0</v>
      </c>
      <c r="AF27" s="2" t="b">
        <v>0</v>
      </c>
      <c r="AG27" s="2" t="b">
        <v>0</v>
      </c>
      <c r="AH27" s="2" t="b">
        <v>0</v>
      </c>
      <c r="AI27" s="2" t="b">
        <f>IF(AND(Table1938[[#This Row],[Double Check]]=TRUE,Table1938[[#This Row],[Inspected]]=TRUE,Table1938[[#This Row],[Relevant]]=TRUE),TRUE,FALSE)</f>
        <v>0</v>
      </c>
    </row>
    <row r="28" spans="1:35" ht="57.35" x14ac:dyDescent="0.5">
      <c r="A28" s="2">
        <v>27</v>
      </c>
      <c r="B28" s="20" t="s">
        <v>2</v>
      </c>
      <c r="C28" s="20" t="s">
        <v>2604</v>
      </c>
      <c r="D28" s="20" t="s">
        <v>174</v>
      </c>
      <c r="E28" s="20" t="s">
        <v>680</v>
      </c>
      <c r="F28" s="2" t="s">
        <v>290</v>
      </c>
      <c r="G28" s="20" t="s">
        <v>681</v>
      </c>
      <c r="H28" s="36">
        <v>44409</v>
      </c>
      <c r="I28" s="20">
        <v>2021</v>
      </c>
      <c r="J28" s="20" t="s">
        <v>61</v>
      </c>
      <c r="K28" s="20" t="s">
        <v>123</v>
      </c>
      <c r="L28" s="20" t="s">
        <v>2515</v>
      </c>
      <c r="M28" s="20" t="s">
        <v>175</v>
      </c>
      <c r="N28" s="20" t="b">
        <v>0</v>
      </c>
      <c r="O28" s="2" t="b">
        <f>IF(Table1938[[#This Row],[Title]]="",TRUE,FALSE)</f>
        <v>0</v>
      </c>
      <c r="P28" s="2" t="b">
        <f>IF(Table1938[[#This Row],[Author]]="",TRUE,FALSE)</f>
        <v>0</v>
      </c>
      <c r="Q28" s="2" t="b">
        <f>IF(Table1938[[#This Row],[DOI]]&lt;&gt;"", FALSE,TRUE)</f>
        <v>0</v>
      </c>
      <c r="R28" s="2" t="b">
        <f>IF(Table1938[[#This Row],[Abstract]]="",TRUE,FALSE)</f>
        <v>0</v>
      </c>
      <c r="S28" s="2" t="b">
        <f>IF(OR(Table1938[[#This Row],[Document Type]]="book",Table1938[[#This Row],[Document Type]]="bookSection"),TRUE,FALSE)</f>
        <v>0</v>
      </c>
      <c r="T28" s="2" t="b">
        <f>NOT(IF(OR(Table1938[[#This Row],[Language]]&lt;&gt;"en",Table1938[[#This Row],[Language]]&lt;&gt;"EN",Table1938[[#This Row],[Language]]&lt;&gt;"spa",Table1938[[#This Row],[Language]]&lt;&gt;"SPA"),TRUE,FALSE))</f>
        <v>0</v>
      </c>
      <c r="U28" s="2" t="b">
        <f>IF(AND(Table1938[[#This Row],[EC-01]]=FALSE,Table1938[[#This Row],[EC-02]]=FALSE,Table1938[[#This Row],[EC-03]]=FALSE,Table1938[[#This Row],[EC-04]]=FALSE,Table1938[[#This Row],[EC-05]]=FALSE,Table1938[[#This Row],[EC-06]]=FALSE),TRUE,FALSE)</f>
        <v>1</v>
      </c>
      <c r="V28" s="2" t="b">
        <f>IF(Table1938[[#This Row],[Date]]&lt;&gt;"",AND(YEAR(Table1938[[#This Row],[Date]])&gt;=2010, YEAR(Table1938[[#This Row],[Date]])&lt;=2024),FALSE)</f>
        <v>1</v>
      </c>
      <c r="W28" s="2" t="b">
        <f>IF(Table1938[[#This Row],[Date]]&lt;&gt;"",AND(YEAR(Table1938[[#This Row],[Date]])&gt;=2010, YEAR(Table1938[[#This Row],[Date]])&lt;=2020),FALSE)</f>
        <v>0</v>
      </c>
      <c r="X28" s="2" t="b">
        <f>IF(AND(Table1938[[#This Row],[Accesible]]=TRUE,Table1938[[#This Row],[DOI]]&lt;&gt;""),TRUE,FALSE)</f>
        <v>0</v>
      </c>
      <c r="Y28" s="2" t="b">
        <f>OR(Table1938[[#This Row],[Document Type]]="journalArticle",Table1938[[#This Row],[Document Type]]="conferencePaper",Table1938[[#This Row],[Document Type]]="review")</f>
        <v>1</v>
      </c>
      <c r="Z28" s="2" t="b" cm="1">
        <f t="array" ref="Z28">SUMPRODUCT(--ISNUMBER(SEARCH({"dimensional analysis","dimensionless coefficients","Π","Pi","theorem","software","design","tools","development","architecture","similar"}, LOWER(Table1938[[#This Row],[Title]]))))&gt;0</f>
        <v>0</v>
      </c>
      <c r="AA28" s="2" t="b" cm="1">
        <f t="array" ref="AA28">SUMPRODUCT(--ISNUMBER(SEARCH({"dimensional analysis","dimensionless coefficients","Π","Pi","theorem","software","design","tools","development","architecture","similar"}, LOWER(Table1938[[#This Row],[Abstract]]))))&gt;0</f>
        <v>1</v>
      </c>
      <c r="AB28" s="2" t="b">
        <f>AND(OR(Table1938[[#This Row],[IC-01 @2024]:[IC-01 @2020]])=TRUE,Table1938[[#This Row],[IC-02]]=TRUE,Table1938[[#This Row],[IC-03]]=TRUE,Table1938[[#This Row],[IC-04]]=TRUE,Table1938[[#This Row],[IC-05]]=TRUE)</f>
        <v>0</v>
      </c>
      <c r="AC28" s="2" t="b">
        <f>AND(Table1938[[#This Row],[Pass-IC]]=TRUE,Table1938[[#This Row],[Pass-EC]]=TRUE)</f>
        <v>0</v>
      </c>
      <c r="AD28" s="2" t="b">
        <f>COUNTIF($D$25:D28, Table1938[[#This Row],[Title]]) = 1</f>
        <v>1</v>
      </c>
      <c r="AE28" s="2" t="b">
        <f>AND(Table1938[[#This Row],[IC + EC]:[Unique]])</f>
        <v>0</v>
      </c>
      <c r="AF28" s="2" t="b">
        <v>0</v>
      </c>
      <c r="AG28" s="2" t="b">
        <v>0</v>
      </c>
      <c r="AH28" s="2" t="b">
        <v>0</v>
      </c>
      <c r="AI28" s="2" t="b">
        <f>IF(AND(Table1938[[#This Row],[Double Check]]=TRUE,Table1938[[#This Row],[Inspected]]=TRUE,Table1938[[#This Row],[Relevant]]=TRUE),TRUE,FALSE)</f>
        <v>0</v>
      </c>
    </row>
    <row r="29" spans="1:35" ht="28.7" x14ac:dyDescent="0.5">
      <c r="A29" s="2">
        <v>28</v>
      </c>
      <c r="B29" s="20" t="s">
        <v>2</v>
      </c>
      <c r="C29" s="20" t="s">
        <v>2605</v>
      </c>
      <c r="D29" s="20" t="s">
        <v>2606</v>
      </c>
      <c r="E29" s="20" t="s">
        <v>2607</v>
      </c>
      <c r="F29" s="2" t="s">
        <v>2608</v>
      </c>
      <c r="G29" s="20" t="s">
        <v>123</v>
      </c>
      <c r="H29" s="36">
        <v>40544</v>
      </c>
      <c r="I29" s="20">
        <v>2011</v>
      </c>
      <c r="J29" s="20" t="s">
        <v>63</v>
      </c>
      <c r="K29" s="20" t="s">
        <v>123</v>
      </c>
      <c r="L29" s="20" t="s">
        <v>2515</v>
      </c>
      <c r="M29" s="20" t="s">
        <v>123</v>
      </c>
      <c r="N29" s="20" t="b">
        <v>0</v>
      </c>
      <c r="O29" s="2" t="b">
        <f>IF(Table1938[[#This Row],[Title]]="",TRUE,FALSE)</f>
        <v>0</v>
      </c>
      <c r="P29" s="2" t="b">
        <f>IF(Table1938[[#This Row],[Author]]="",TRUE,FALSE)</f>
        <v>0</v>
      </c>
      <c r="Q29" s="2" t="b">
        <f>IF(Table1938[[#This Row],[DOI]]&lt;&gt;"", FALSE,TRUE)</f>
        <v>1</v>
      </c>
      <c r="R29" s="2" t="b">
        <f>IF(Table1938[[#This Row],[Abstract]]="",TRUE,FALSE)</f>
        <v>0</v>
      </c>
      <c r="S29" s="2" t="b">
        <f>IF(OR(Table1938[[#This Row],[Document Type]]="book",Table1938[[#This Row],[Document Type]]="bookSection"),TRUE,FALSE)</f>
        <v>1</v>
      </c>
      <c r="T29" s="2" t="b">
        <f>NOT(IF(OR(Table1938[[#This Row],[Language]]&lt;&gt;"en",Table1938[[#This Row],[Language]]&lt;&gt;"EN",Table1938[[#This Row],[Language]]&lt;&gt;"spa",Table1938[[#This Row],[Language]]&lt;&gt;"SPA"),TRUE,FALSE))</f>
        <v>0</v>
      </c>
      <c r="U29" s="2" t="b">
        <f>IF(AND(Table1938[[#This Row],[EC-01]]=FALSE,Table1938[[#This Row],[EC-02]]=FALSE,Table1938[[#This Row],[EC-03]]=FALSE,Table1938[[#This Row],[EC-04]]=FALSE,Table1938[[#This Row],[EC-05]]=FALSE,Table1938[[#This Row],[EC-06]]=FALSE),TRUE,FALSE)</f>
        <v>0</v>
      </c>
      <c r="V29" s="2" t="b">
        <f>IF(Table1938[[#This Row],[Date]]&lt;&gt;"",AND(YEAR(Table1938[[#This Row],[Date]])&gt;=2010, YEAR(Table1938[[#This Row],[Date]])&lt;=2024),FALSE)</f>
        <v>1</v>
      </c>
      <c r="W29" s="2" t="b">
        <f>IF(Table1938[[#This Row],[Date]]&lt;&gt;"",AND(YEAR(Table1938[[#This Row],[Date]])&gt;=2010, YEAR(Table1938[[#This Row],[Date]])&lt;=2020),FALSE)</f>
        <v>1</v>
      </c>
      <c r="X29" s="2" t="b">
        <f>IF(AND(Table1938[[#This Row],[Accesible]]=TRUE,Table1938[[#This Row],[DOI]]&lt;&gt;""),TRUE,FALSE)</f>
        <v>0</v>
      </c>
      <c r="Y29" s="2" t="b">
        <f>OR(Table1938[[#This Row],[Document Type]]="journalArticle",Table1938[[#This Row],[Document Type]]="conferencePaper",Table1938[[#This Row],[Document Type]]="review")</f>
        <v>0</v>
      </c>
      <c r="Z29" s="2" t="b" cm="1">
        <f t="array" ref="Z29">SUMPRODUCT(--ISNUMBER(SEARCH({"dimensional analysis","dimensionless coefficients","Π","Pi","theorem","software","design","tools","development","architecture","similar"}, LOWER(Table1938[[#This Row],[Title]]))))&gt;0</f>
        <v>1</v>
      </c>
      <c r="AA29" s="2" t="b" cm="1">
        <f t="array" ref="AA29">SUMPRODUCT(--ISNUMBER(SEARCH({"dimensional analysis","dimensionless coefficients","Π","Pi","theorem","software","design","tools","development","architecture","similar"}, LOWER(Table1938[[#This Row],[Abstract]]))))&gt;0</f>
        <v>1</v>
      </c>
      <c r="AB29" s="2" t="b">
        <f>AND(OR(Table1938[[#This Row],[IC-01 @2024]:[IC-01 @2020]])=TRUE,Table1938[[#This Row],[IC-02]]=TRUE,Table1938[[#This Row],[IC-03]]=TRUE,Table1938[[#This Row],[IC-04]]=TRUE,Table1938[[#This Row],[IC-05]]=TRUE)</f>
        <v>0</v>
      </c>
      <c r="AC29" s="2" t="b">
        <f>AND(Table1938[[#This Row],[Pass-IC]]=TRUE,Table1938[[#This Row],[Pass-EC]]=TRUE)</f>
        <v>0</v>
      </c>
      <c r="AD29" s="2" t="b">
        <f>COUNTIF($D$25:D29, Table1938[[#This Row],[Title]]) = 1</f>
        <v>1</v>
      </c>
      <c r="AE29" s="2" t="b">
        <f>AND(Table1938[[#This Row],[IC + EC]:[Unique]])</f>
        <v>0</v>
      </c>
      <c r="AF29" s="2" t="b">
        <v>0</v>
      </c>
      <c r="AG29" s="2" t="b">
        <v>0</v>
      </c>
      <c r="AH29" s="2" t="b">
        <v>0</v>
      </c>
      <c r="AI29" s="2" t="b">
        <f>IF(AND(Table1938[[#This Row],[Double Check]]=TRUE,Table1938[[#This Row],[Inspected]]=TRUE,Table1938[[#This Row],[Relevant]]=TRUE),TRUE,FALSE)</f>
        <v>0</v>
      </c>
    </row>
    <row r="30" spans="1:35" ht="43" x14ac:dyDescent="0.5">
      <c r="A30" s="2">
        <v>29</v>
      </c>
      <c r="B30" s="20" t="s">
        <v>2</v>
      </c>
      <c r="C30" s="20" t="s">
        <v>2609</v>
      </c>
      <c r="D30" s="20" t="s">
        <v>303</v>
      </c>
      <c r="E30" s="20" t="s">
        <v>328</v>
      </c>
      <c r="F30" s="2" t="s">
        <v>353</v>
      </c>
      <c r="G30" s="20" t="s">
        <v>2610</v>
      </c>
      <c r="H30" s="36">
        <v>42186</v>
      </c>
      <c r="I30" s="20">
        <v>2015</v>
      </c>
      <c r="J30" s="20" t="s">
        <v>61</v>
      </c>
      <c r="K30" s="20" t="s">
        <v>2611</v>
      </c>
      <c r="L30" s="20" t="s">
        <v>2515</v>
      </c>
      <c r="M30" s="20" t="s">
        <v>378</v>
      </c>
      <c r="N30" s="20" t="b">
        <v>0</v>
      </c>
      <c r="O30" s="2" t="b">
        <f>IF(Table1938[[#This Row],[Title]]="",TRUE,FALSE)</f>
        <v>0</v>
      </c>
      <c r="P30" s="2" t="b">
        <f>IF(Table1938[[#This Row],[Author]]="",TRUE,FALSE)</f>
        <v>0</v>
      </c>
      <c r="Q30" s="2" t="b">
        <f>IF(Table1938[[#This Row],[DOI]]&lt;&gt;"", FALSE,TRUE)</f>
        <v>0</v>
      </c>
      <c r="R30" s="2" t="b">
        <f>IF(Table1938[[#This Row],[Abstract]]="",TRUE,FALSE)</f>
        <v>0</v>
      </c>
      <c r="S30" s="2" t="b">
        <f>IF(OR(Table1938[[#This Row],[Document Type]]="book",Table1938[[#This Row],[Document Type]]="bookSection"),TRUE,FALSE)</f>
        <v>0</v>
      </c>
      <c r="T30" s="2" t="b">
        <f>NOT(IF(OR(Table1938[[#This Row],[Language]]&lt;&gt;"en",Table1938[[#This Row],[Language]]&lt;&gt;"EN",Table1938[[#This Row],[Language]]&lt;&gt;"spa",Table1938[[#This Row],[Language]]&lt;&gt;"SPA"),TRUE,FALSE))</f>
        <v>0</v>
      </c>
      <c r="U30" s="2" t="b">
        <f>IF(AND(Table1938[[#This Row],[EC-01]]=FALSE,Table1938[[#This Row],[EC-02]]=FALSE,Table1938[[#This Row],[EC-03]]=FALSE,Table1938[[#This Row],[EC-04]]=FALSE,Table1938[[#This Row],[EC-05]]=FALSE,Table1938[[#This Row],[EC-06]]=FALSE),TRUE,FALSE)</f>
        <v>1</v>
      </c>
      <c r="V30" s="2" t="b">
        <f>IF(Table1938[[#This Row],[Date]]&lt;&gt;"",AND(YEAR(Table1938[[#This Row],[Date]])&gt;=2010, YEAR(Table1938[[#This Row],[Date]])&lt;=2024),FALSE)</f>
        <v>1</v>
      </c>
      <c r="W30" s="2" t="b">
        <f>IF(Table1938[[#This Row],[Date]]&lt;&gt;"",AND(YEAR(Table1938[[#This Row],[Date]])&gt;=2010, YEAR(Table1938[[#This Row],[Date]])&lt;=2020),FALSE)</f>
        <v>1</v>
      </c>
      <c r="X30" s="2" t="b">
        <f>IF(AND(Table1938[[#This Row],[Accesible]]=TRUE,Table1938[[#This Row],[DOI]]&lt;&gt;""),TRUE,FALSE)</f>
        <v>0</v>
      </c>
      <c r="Y30" s="2" t="b">
        <f>OR(Table1938[[#This Row],[Document Type]]="journalArticle",Table1938[[#This Row],[Document Type]]="conferencePaper",Table1938[[#This Row],[Document Type]]="review")</f>
        <v>1</v>
      </c>
      <c r="Z30" s="2" t="b" cm="1">
        <f t="array" ref="Z30">SUMPRODUCT(--ISNUMBER(SEARCH({"dimensional analysis","dimensionless coefficients","Π","Pi","theorem","software","design","tools","development","architecture","similar"}, LOWER(Table1938[[#This Row],[Title]]))))&gt;0</f>
        <v>0</v>
      </c>
      <c r="AA30" s="2" t="b" cm="1">
        <f t="array" ref="AA30">SUMPRODUCT(--ISNUMBER(SEARCH({"dimensional analysis","dimensionless coefficients","Π","Pi","theorem","software","design","tools","development","architecture","similar"}, LOWER(Table1938[[#This Row],[Abstract]]))))&gt;0</f>
        <v>0</v>
      </c>
      <c r="AB30" s="2" t="b">
        <f>AND(OR(Table1938[[#This Row],[IC-01 @2024]:[IC-01 @2020]])=TRUE,Table1938[[#This Row],[IC-02]]=TRUE,Table1938[[#This Row],[IC-03]]=TRUE,Table1938[[#This Row],[IC-04]]=TRUE,Table1938[[#This Row],[IC-05]]=TRUE)</f>
        <v>0</v>
      </c>
      <c r="AC30" s="2" t="b">
        <f>AND(Table1938[[#This Row],[Pass-IC]]=TRUE,Table1938[[#This Row],[Pass-EC]]=TRUE)</f>
        <v>0</v>
      </c>
      <c r="AD30" s="2" t="b">
        <f>COUNTIF($D$25:D30, Table1938[[#This Row],[Title]]) = 1</f>
        <v>1</v>
      </c>
      <c r="AE30" s="2" t="b">
        <f>AND(Table1938[[#This Row],[IC + EC]:[Unique]])</f>
        <v>0</v>
      </c>
      <c r="AF30" s="2" t="b">
        <v>0</v>
      </c>
      <c r="AG30" s="2" t="b">
        <v>0</v>
      </c>
      <c r="AH30" s="2" t="b">
        <v>0</v>
      </c>
      <c r="AI30" s="2" t="b">
        <f>IF(AND(Table1938[[#This Row],[Double Check]]=TRUE,Table1938[[#This Row],[Inspected]]=TRUE,Table1938[[#This Row],[Relevant]]=TRUE),TRUE,FALSE)</f>
        <v>0</v>
      </c>
    </row>
    <row r="31" spans="1:35" ht="57.35" x14ac:dyDescent="0.5">
      <c r="A31" s="2">
        <v>30</v>
      </c>
      <c r="B31" s="20" t="s">
        <v>2</v>
      </c>
      <c r="C31" s="20" t="s">
        <v>2612</v>
      </c>
      <c r="D31" s="20" t="s">
        <v>2613</v>
      </c>
      <c r="E31" s="20" t="s">
        <v>123</v>
      </c>
      <c r="F31" s="2" t="s">
        <v>123</v>
      </c>
      <c r="G31" s="20" t="s">
        <v>2535</v>
      </c>
      <c r="H31" s="36" t="s">
        <v>123</v>
      </c>
      <c r="I31" s="20" t="s">
        <v>123</v>
      </c>
      <c r="J31" s="20" t="s">
        <v>2520</v>
      </c>
      <c r="K31" s="20" t="s">
        <v>123</v>
      </c>
      <c r="L31" s="20" t="s">
        <v>642</v>
      </c>
      <c r="M31" s="20" t="s">
        <v>123</v>
      </c>
      <c r="N31" s="20" t="b">
        <v>1</v>
      </c>
      <c r="O31" s="2" t="b">
        <f>IF(Table1938[[#This Row],[Title]]="",TRUE,FALSE)</f>
        <v>0</v>
      </c>
      <c r="P31" s="2" t="b">
        <f>IF(Table1938[[#This Row],[Author]]="",TRUE,FALSE)</f>
        <v>1</v>
      </c>
      <c r="Q31" s="2" t="b">
        <f>IF(Table1938[[#This Row],[DOI]]&lt;&gt;"", FALSE,TRUE)</f>
        <v>1</v>
      </c>
      <c r="R31" s="2" t="b">
        <f>IF(Table1938[[#This Row],[Abstract]]="",TRUE,FALSE)</f>
        <v>1</v>
      </c>
      <c r="S31" s="2" t="b">
        <f>IF(OR(Table1938[[#This Row],[Document Type]]="book",Table1938[[#This Row],[Document Type]]="bookSection"),TRUE,FALSE)</f>
        <v>0</v>
      </c>
      <c r="T31" s="2" t="b">
        <f>NOT(IF(OR(Table1938[[#This Row],[Language]]&lt;&gt;"en",Table1938[[#This Row],[Language]]&lt;&gt;"EN",Table1938[[#This Row],[Language]]&lt;&gt;"spa",Table1938[[#This Row],[Language]]&lt;&gt;"SPA"),TRUE,FALSE))</f>
        <v>0</v>
      </c>
      <c r="U31" s="2" t="b">
        <f>IF(AND(Table1938[[#This Row],[EC-01]]=FALSE,Table1938[[#This Row],[EC-02]]=FALSE,Table1938[[#This Row],[EC-03]]=FALSE,Table1938[[#This Row],[EC-04]]=FALSE,Table1938[[#This Row],[EC-05]]=FALSE,Table1938[[#This Row],[EC-06]]=FALSE),TRUE,FALSE)</f>
        <v>0</v>
      </c>
      <c r="V31" s="2" t="b">
        <f>IF(Table1938[[#This Row],[Date]]&lt;&gt;"",AND(YEAR(Table1938[[#This Row],[Date]])&gt;=2010, YEAR(Table1938[[#This Row],[Date]])&lt;=2024),FALSE)</f>
        <v>0</v>
      </c>
      <c r="W31" s="2" t="b">
        <f>IF(Table1938[[#This Row],[Date]]&lt;&gt;"",AND(YEAR(Table1938[[#This Row],[Date]])&gt;=2010, YEAR(Table1938[[#This Row],[Date]])&lt;=2020),FALSE)</f>
        <v>0</v>
      </c>
      <c r="X31" s="2" t="b">
        <f>IF(AND(Table1938[[#This Row],[Accesible]]=TRUE,Table1938[[#This Row],[DOI]]&lt;&gt;""),TRUE,FALSE)</f>
        <v>0</v>
      </c>
      <c r="Y31" s="2" t="b">
        <f>OR(Table1938[[#This Row],[Document Type]]="journalArticle",Table1938[[#This Row],[Document Type]]="conferencePaper",Table1938[[#This Row],[Document Type]]="review")</f>
        <v>0</v>
      </c>
      <c r="Z31" s="2" t="b" cm="1">
        <f t="array" ref="Z31">SUMPRODUCT(--ISNUMBER(SEARCH({"dimensional analysis","dimensionless coefficients","Π","Pi","theorem","software","design","tools","development","architecture","similar"}, LOWER(Table1938[[#This Row],[Title]]))))&gt;0</f>
        <v>0</v>
      </c>
      <c r="AA31" s="2" t="b" cm="1">
        <f t="array" ref="AA31">SUMPRODUCT(--ISNUMBER(SEARCH({"dimensional analysis","dimensionless coefficients","Π","Pi","theorem","software","design","tools","development","architecture","similar"}, LOWER(Table1938[[#This Row],[Abstract]]))))&gt;0</f>
        <v>0</v>
      </c>
      <c r="AB31" s="2" t="b">
        <f>AND(OR(Table1938[[#This Row],[IC-01 @2024]:[IC-01 @2020]])=TRUE,Table1938[[#This Row],[IC-02]]=TRUE,Table1938[[#This Row],[IC-03]]=TRUE,Table1938[[#This Row],[IC-04]]=TRUE,Table1938[[#This Row],[IC-05]]=TRUE)</f>
        <v>0</v>
      </c>
      <c r="AC31" s="2" t="b">
        <f>AND(Table1938[[#This Row],[Pass-IC]]=TRUE,Table1938[[#This Row],[Pass-EC]]=TRUE)</f>
        <v>0</v>
      </c>
      <c r="AD31" s="2" t="b">
        <f>COUNTIF($D$25:D31, Table1938[[#This Row],[Title]]) = 1</f>
        <v>1</v>
      </c>
      <c r="AE31" s="2" t="b">
        <f>AND(Table1938[[#This Row],[IC + EC]:[Unique]])</f>
        <v>0</v>
      </c>
      <c r="AF31" s="2" t="b">
        <v>0</v>
      </c>
      <c r="AG31" s="2" t="b">
        <v>0</v>
      </c>
      <c r="AH31" s="2" t="b">
        <v>0</v>
      </c>
      <c r="AI31" s="2" t="b">
        <f>IF(AND(Table1938[[#This Row],[Double Check]]=TRUE,Table1938[[#This Row],[Inspected]]=TRUE,Table1938[[#This Row],[Relevant]]=TRUE),TRUE,FALSE)</f>
        <v>0</v>
      </c>
    </row>
    <row r="32" spans="1:35" ht="71.7" x14ac:dyDescent="0.5">
      <c r="A32" s="2">
        <v>31</v>
      </c>
      <c r="B32" s="20" t="s">
        <v>2</v>
      </c>
      <c r="C32" s="20" t="s">
        <v>2614</v>
      </c>
      <c r="D32" s="20" t="s">
        <v>2615</v>
      </c>
      <c r="E32" s="20" t="s">
        <v>123</v>
      </c>
      <c r="F32" s="2" t="s">
        <v>123</v>
      </c>
      <c r="G32" s="20" t="s">
        <v>2519</v>
      </c>
      <c r="H32" s="36" t="s">
        <v>123</v>
      </c>
      <c r="I32" s="20" t="s">
        <v>123</v>
      </c>
      <c r="J32" s="20" t="s">
        <v>2520</v>
      </c>
      <c r="K32" s="20" t="s">
        <v>123</v>
      </c>
      <c r="L32" s="20" t="s">
        <v>642</v>
      </c>
      <c r="M32" s="20" t="s">
        <v>123</v>
      </c>
      <c r="N32" s="20" t="b">
        <v>1</v>
      </c>
      <c r="O32" s="2" t="b">
        <f>IF(Table1938[[#This Row],[Title]]="",TRUE,FALSE)</f>
        <v>0</v>
      </c>
      <c r="P32" s="2" t="b">
        <f>IF(Table1938[[#This Row],[Author]]="",TRUE,FALSE)</f>
        <v>1</v>
      </c>
      <c r="Q32" s="2" t="b">
        <f>IF(Table1938[[#This Row],[DOI]]&lt;&gt;"", FALSE,TRUE)</f>
        <v>1</v>
      </c>
      <c r="R32" s="2" t="b">
        <f>IF(Table1938[[#This Row],[Abstract]]="",TRUE,FALSE)</f>
        <v>1</v>
      </c>
      <c r="S32" s="2" t="b">
        <f>IF(OR(Table1938[[#This Row],[Document Type]]="book",Table1938[[#This Row],[Document Type]]="bookSection"),TRUE,FALSE)</f>
        <v>0</v>
      </c>
      <c r="T32" s="2" t="b">
        <f>NOT(IF(OR(Table1938[[#This Row],[Language]]&lt;&gt;"en",Table1938[[#This Row],[Language]]&lt;&gt;"EN",Table1938[[#This Row],[Language]]&lt;&gt;"spa",Table1938[[#This Row],[Language]]&lt;&gt;"SPA"),TRUE,FALSE))</f>
        <v>0</v>
      </c>
      <c r="U32" s="2" t="b">
        <f>IF(AND(Table1938[[#This Row],[EC-01]]=FALSE,Table1938[[#This Row],[EC-02]]=FALSE,Table1938[[#This Row],[EC-03]]=FALSE,Table1938[[#This Row],[EC-04]]=FALSE,Table1938[[#This Row],[EC-05]]=FALSE,Table1938[[#This Row],[EC-06]]=FALSE),TRUE,FALSE)</f>
        <v>0</v>
      </c>
      <c r="V32" s="2" t="b">
        <f>IF(Table1938[[#This Row],[Date]]&lt;&gt;"",AND(YEAR(Table1938[[#This Row],[Date]])&gt;=2010, YEAR(Table1938[[#This Row],[Date]])&lt;=2024),FALSE)</f>
        <v>0</v>
      </c>
      <c r="W32" s="2" t="b">
        <f>IF(Table1938[[#This Row],[Date]]&lt;&gt;"",AND(YEAR(Table1938[[#This Row],[Date]])&gt;=2010, YEAR(Table1938[[#This Row],[Date]])&lt;=2020),FALSE)</f>
        <v>0</v>
      </c>
      <c r="X32" s="2" t="b">
        <f>IF(AND(Table1938[[#This Row],[Accesible]]=TRUE,Table1938[[#This Row],[DOI]]&lt;&gt;""),TRUE,FALSE)</f>
        <v>0</v>
      </c>
      <c r="Y32" s="2" t="b">
        <f>OR(Table1938[[#This Row],[Document Type]]="journalArticle",Table1938[[#This Row],[Document Type]]="conferencePaper",Table1938[[#This Row],[Document Type]]="review")</f>
        <v>0</v>
      </c>
      <c r="Z32" s="2" t="b" cm="1">
        <f t="array" ref="Z32">SUMPRODUCT(--ISNUMBER(SEARCH({"dimensional analysis","dimensionless coefficients","Π","Pi","theorem","software","design","tools","development","architecture","similar"}, LOWER(Table1938[[#This Row],[Title]]))))&gt;0</f>
        <v>1</v>
      </c>
      <c r="AA32" s="2" t="b" cm="1">
        <f t="array" ref="AA32">SUMPRODUCT(--ISNUMBER(SEARCH({"dimensional analysis","dimensionless coefficients","Π","Pi","theorem","software","design","tools","development","architecture","similar"}, LOWER(Table1938[[#This Row],[Abstract]]))))&gt;0</f>
        <v>0</v>
      </c>
      <c r="AB32" s="2" t="b">
        <f>AND(OR(Table1938[[#This Row],[IC-01 @2024]:[IC-01 @2020]])=TRUE,Table1938[[#This Row],[IC-02]]=TRUE,Table1938[[#This Row],[IC-03]]=TRUE,Table1938[[#This Row],[IC-04]]=TRUE,Table1938[[#This Row],[IC-05]]=TRUE)</f>
        <v>0</v>
      </c>
      <c r="AC32" s="2" t="b">
        <f>AND(Table1938[[#This Row],[Pass-IC]]=TRUE,Table1938[[#This Row],[Pass-EC]]=TRUE)</f>
        <v>0</v>
      </c>
      <c r="AD32" s="2" t="b">
        <f>COUNTIF($D$25:D32, Table1938[[#This Row],[Title]]) = 1</f>
        <v>1</v>
      </c>
      <c r="AE32" s="2" t="b">
        <f>AND(Table1938[[#This Row],[IC + EC]:[Unique]])</f>
        <v>0</v>
      </c>
      <c r="AF32" s="2" t="b">
        <v>0</v>
      </c>
      <c r="AG32" s="2" t="b">
        <v>0</v>
      </c>
      <c r="AH32" s="2" t="b">
        <v>0</v>
      </c>
      <c r="AI32" s="2" t="b">
        <f>IF(AND(Table1938[[#This Row],[Double Check]]=TRUE,Table1938[[#This Row],[Inspected]]=TRUE,Table1938[[#This Row],[Relevant]]=TRUE),TRUE,FALSE)</f>
        <v>0</v>
      </c>
    </row>
    <row r="33" spans="1:35" ht="57.35" x14ac:dyDescent="0.5">
      <c r="A33" s="2">
        <v>32</v>
      </c>
      <c r="B33" s="20" t="s">
        <v>2</v>
      </c>
      <c r="C33" s="20" t="s">
        <v>2616</v>
      </c>
      <c r="D33" s="20" t="s">
        <v>2617</v>
      </c>
      <c r="E33" s="20" t="s">
        <v>123</v>
      </c>
      <c r="F33" s="2" t="s">
        <v>123</v>
      </c>
      <c r="G33" s="20" t="s">
        <v>2535</v>
      </c>
      <c r="H33" s="36" t="s">
        <v>123</v>
      </c>
      <c r="I33" s="20" t="s">
        <v>123</v>
      </c>
      <c r="J33" s="20" t="s">
        <v>2520</v>
      </c>
      <c r="K33" s="20" t="s">
        <v>123</v>
      </c>
      <c r="L33" s="20" t="s">
        <v>642</v>
      </c>
      <c r="M33" s="20" t="s">
        <v>123</v>
      </c>
      <c r="N33" s="20" t="b">
        <v>1</v>
      </c>
      <c r="O33" s="2" t="b">
        <f>IF(Table1938[[#This Row],[Title]]="",TRUE,FALSE)</f>
        <v>0</v>
      </c>
      <c r="P33" s="2" t="b">
        <f>IF(Table1938[[#This Row],[Author]]="",TRUE,FALSE)</f>
        <v>1</v>
      </c>
      <c r="Q33" s="2" t="b">
        <f>IF(Table1938[[#This Row],[DOI]]&lt;&gt;"", FALSE,TRUE)</f>
        <v>1</v>
      </c>
      <c r="R33" s="2" t="b">
        <f>IF(Table1938[[#This Row],[Abstract]]="",TRUE,FALSE)</f>
        <v>1</v>
      </c>
      <c r="S33" s="2" t="b">
        <f>IF(OR(Table1938[[#This Row],[Document Type]]="book",Table1938[[#This Row],[Document Type]]="bookSection"),TRUE,FALSE)</f>
        <v>0</v>
      </c>
      <c r="T33" s="2" t="b">
        <f>NOT(IF(OR(Table1938[[#This Row],[Language]]&lt;&gt;"en",Table1938[[#This Row],[Language]]&lt;&gt;"EN",Table1938[[#This Row],[Language]]&lt;&gt;"spa",Table1938[[#This Row],[Language]]&lt;&gt;"SPA"),TRUE,FALSE))</f>
        <v>0</v>
      </c>
      <c r="U33" s="2" t="b">
        <f>IF(AND(Table1938[[#This Row],[EC-01]]=FALSE,Table1938[[#This Row],[EC-02]]=FALSE,Table1938[[#This Row],[EC-03]]=FALSE,Table1938[[#This Row],[EC-04]]=FALSE,Table1938[[#This Row],[EC-05]]=FALSE,Table1938[[#This Row],[EC-06]]=FALSE),TRUE,FALSE)</f>
        <v>0</v>
      </c>
      <c r="V33" s="2" t="b">
        <f>IF(Table1938[[#This Row],[Date]]&lt;&gt;"",AND(YEAR(Table1938[[#This Row],[Date]])&gt;=2010, YEAR(Table1938[[#This Row],[Date]])&lt;=2024),FALSE)</f>
        <v>0</v>
      </c>
      <c r="W33" s="2" t="b">
        <f>IF(Table1938[[#This Row],[Date]]&lt;&gt;"",AND(YEAR(Table1938[[#This Row],[Date]])&gt;=2010, YEAR(Table1938[[#This Row],[Date]])&lt;=2020),FALSE)</f>
        <v>0</v>
      </c>
      <c r="X33" s="2" t="b">
        <f>IF(AND(Table1938[[#This Row],[Accesible]]=TRUE,Table1938[[#This Row],[DOI]]&lt;&gt;""),TRUE,FALSE)</f>
        <v>0</v>
      </c>
      <c r="Y33" s="2" t="b">
        <f>OR(Table1938[[#This Row],[Document Type]]="journalArticle",Table1938[[#This Row],[Document Type]]="conferencePaper",Table1938[[#This Row],[Document Type]]="review")</f>
        <v>0</v>
      </c>
      <c r="Z33" s="2" t="b" cm="1">
        <f t="array" ref="Z33">SUMPRODUCT(--ISNUMBER(SEARCH({"dimensional analysis","dimensionless coefficients","Π","Pi","theorem","software","design","tools","development","architecture","similar"}, LOWER(Table1938[[#This Row],[Title]]))))&gt;0</f>
        <v>0</v>
      </c>
      <c r="AA33" s="2" t="b" cm="1">
        <f t="array" ref="AA33">SUMPRODUCT(--ISNUMBER(SEARCH({"dimensional analysis","dimensionless coefficients","Π","Pi","theorem","software","design","tools","development","architecture","similar"}, LOWER(Table1938[[#This Row],[Abstract]]))))&gt;0</f>
        <v>0</v>
      </c>
      <c r="AB33" s="2" t="b">
        <f>AND(OR(Table1938[[#This Row],[IC-01 @2024]:[IC-01 @2020]])=TRUE,Table1938[[#This Row],[IC-02]]=TRUE,Table1938[[#This Row],[IC-03]]=TRUE,Table1938[[#This Row],[IC-04]]=TRUE,Table1938[[#This Row],[IC-05]]=TRUE)</f>
        <v>0</v>
      </c>
      <c r="AC33" s="2" t="b">
        <f>AND(Table1938[[#This Row],[Pass-IC]]=TRUE,Table1938[[#This Row],[Pass-EC]]=TRUE)</f>
        <v>0</v>
      </c>
      <c r="AD33" s="2" t="b">
        <f>COUNTIF($D$25:D33, Table1938[[#This Row],[Title]]) = 1</f>
        <v>1</v>
      </c>
      <c r="AE33" s="2" t="b">
        <f>AND(Table1938[[#This Row],[IC + EC]:[Unique]])</f>
        <v>0</v>
      </c>
      <c r="AF33" s="2" t="b">
        <v>0</v>
      </c>
      <c r="AG33" s="2" t="b">
        <v>0</v>
      </c>
      <c r="AH33" s="2" t="b">
        <v>0</v>
      </c>
      <c r="AI33" s="2" t="b">
        <f>IF(AND(Table1938[[#This Row],[Double Check]]=TRUE,Table1938[[#This Row],[Inspected]]=TRUE,Table1938[[#This Row],[Relevant]]=TRUE),TRUE,FALSE)</f>
        <v>0</v>
      </c>
    </row>
    <row r="34" spans="1:35" ht="43" x14ac:dyDescent="0.5">
      <c r="A34" s="2">
        <v>33</v>
      </c>
      <c r="B34" s="20" t="s">
        <v>2</v>
      </c>
      <c r="C34" s="20" t="s">
        <v>2618</v>
      </c>
      <c r="D34" s="20" t="s">
        <v>176</v>
      </c>
      <c r="E34" s="20" t="s">
        <v>2619</v>
      </c>
      <c r="F34" s="2" t="s">
        <v>283</v>
      </c>
      <c r="G34" s="20" t="s">
        <v>177</v>
      </c>
      <c r="H34" s="36">
        <v>43831</v>
      </c>
      <c r="I34" s="20">
        <v>2020</v>
      </c>
      <c r="J34" s="20" t="s">
        <v>61</v>
      </c>
      <c r="K34" s="20" t="s">
        <v>2620</v>
      </c>
      <c r="L34" s="20" t="s">
        <v>642</v>
      </c>
      <c r="M34" s="20" t="s">
        <v>178</v>
      </c>
      <c r="N34" s="20" t="b">
        <v>1</v>
      </c>
      <c r="O34" s="2" t="b">
        <f>IF(Table1938[[#This Row],[Title]]="",TRUE,FALSE)</f>
        <v>0</v>
      </c>
      <c r="P34" s="2" t="b">
        <f>IF(Table1938[[#This Row],[Author]]="",TRUE,FALSE)</f>
        <v>0</v>
      </c>
      <c r="Q34" s="2" t="b">
        <f>IF(Table1938[[#This Row],[DOI]]&lt;&gt;"", FALSE,TRUE)</f>
        <v>0</v>
      </c>
      <c r="R34" s="2" t="b">
        <f>IF(Table1938[[#This Row],[Abstract]]="",TRUE,FALSE)</f>
        <v>0</v>
      </c>
      <c r="S34" s="2" t="b">
        <f>IF(OR(Table1938[[#This Row],[Document Type]]="book",Table1938[[#This Row],[Document Type]]="bookSection"),TRUE,FALSE)</f>
        <v>0</v>
      </c>
      <c r="T34" s="2" t="b">
        <f>NOT(IF(OR(Table1938[[#This Row],[Language]]&lt;&gt;"en",Table1938[[#This Row],[Language]]&lt;&gt;"EN",Table1938[[#This Row],[Language]]&lt;&gt;"spa",Table1938[[#This Row],[Language]]&lt;&gt;"SPA"),TRUE,FALSE))</f>
        <v>0</v>
      </c>
      <c r="U34" s="2" t="b">
        <f>IF(AND(Table1938[[#This Row],[EC-01]]=FALSE,Table1938[[#This Row],[EC-02]]=FALSE,Table1938[[#This Row],[EC-03]]=FALSE,Table1938[[#This Row],[EC-04]]=FALSE,Table1938[[#This Row],[EC-05]]=FALSE,Table1938[[#This Row],[EC-06]]=FALSE),TRUE,FALSE)</f>
        <v>1</v>
      </c>
      <c r="V34" s="2" t="b">
        <f>IF(Table1938[[#This Row],[Date]]&lt;&gt;"",AND(YEAR(Table1938[[#This Row],[Date]])&gt;=2010, YEAR(Table1938[[#This Row],[Date]])&lt;=2024),FALSE)</f>
        <v>1</v>
      </c>
      <c r="W34" s="2" t="b">
        <f>IF(Table1938[[#This Row],[Date]]&lt;&gt;"",AND(YEAR(Table1938[[#This Row],[Date]])&gt;=2010, YEAR(Table1938[[#This Row],[Date]])&lt;=2020),FALSE)</f>
        <v>1</v>
      </c>
      <c r="X34" s="2" t="b">
        <f>IF(AND(Table1938[[#This Row],[Accesible]]=TRUE,Table1938[[#This Row],[DOI]]&lt;&gt;""),TRUE,FALSE)</f>
        <v>1</v>
      </c>
      <c r="Y34" s="2" t="b">
        <f>OR(Table1938[[#This Row],[Document Type]]="journalArticle",Table1938[[#This Row],[Document Type]]="conferencePaper",Table1938[[#This Row],[Document Type]]="review")</f>
        <v>1</v>
      </c>
      <c r="Z34" s="2" t="b" cm="1">
        <f t="array" ref="Z34">SUMPRODUCT(--ISNUMBER(SEARCH({"dimensional analysis","dimensionless coefficients","Π","Pi","theorem","software","design","tools","development","architecture","similar"}, LOWER(Table1938[[#This Row],[Title]]))))&gt;0</f>
        <v>1</v>
      </c>
      <c r="AA34" s="2" t="b" cm="1">
        <f t="array" ref="AA34">SUMPRODUCT(--ISNUMBER(SEARCH({"dimensional analysis","dimensionless coefficients","Π","Pi","theorem","software","design","tools","development","architecture","similar"}, LOWER(Table1938[[#This Row],[Abstract]]))))&gt;0</f>
        <v>1</v>
      </c>
      <c r="AB34" s="2" t="b">
        <f>AND(OR(Table1938[[#This Row],[IC-01 @2024]:[IC-01 @2020]])=TRUE,Table1938[[#This Row],[IC-02]]=TRUE,Table1938[[#This Row],[IC-03]]=TRUE,Table1938[[#This Row],[IC-04]]=TRUE,Table1938[[#This Row],[IC-05]]=TRUE)</f>
        <v>1</v>
      </c>
      <c r="AC34" s="2" t="b">
        <f>AND(Table1938[[#This Row],[Pass-IC]]=TRUE,Table1938[[#This Row],[Pass-EC]]=TRUE)</f>
        <v>1</v>
      </c>
      <c r="AD34" s="2" t="b">
        <f>COUNTIF($D$25:D34, Table1938[[#This Row],[Title]]) = 1</f>
        <v>1</v>
      </c>
      <c r="AE34" s="2" t="b">
        <f>AND(Table1938[[#This Row],[IC + EC]:[Unique]])</f>
        <v>1</v>
      </c>
      <c r="AF34" s="2" t="b">
        <v>1</v>
      </c>
      <c r="AG34" s="2" t="b">
        <v>0</v>
      </c>
      <c r="AH34" s="2" t="b">
        <v>0</v>
      </c>
      <c r="AI34" s="2" t="b">
        <f>IF(AND(Table1938[[#This Row],[Double Check]]=TRUE,Table1938[[#This Row],[Inspected]]=TRUE,Table1938[[#This Row],[Relevant]]=TRUE),TRUE,FALSE)</f>
        <v>0</v>
      </c>
    </row>
    <row r="35" spans="1:35" ht="86" x14ac:dyDescent="0.5">
      <c r="A35" s="2">
        <v>34</v>
      </c>
      <c r="B35" s="20" t="s">
        <v>2</v>
      </c>
      <c r="C35" s="20" t="s">
        <v>2621</v>
      </c>
      <c r="D35" s="20" t="s">
        <v>131</v>
      </c>
      <c r="E35" s="20" t="s">
        <v>641</v>
      </c>
      <c r="F35" s="2" t="s">
        <v>301</v>
      </c>
      <c r="G35" s="20" t="s">
        <v>132</v>
      </c>
      <c r="H35" s="36">
        <v>44075</v>
      </c>
      <c r="I35" s="20">
        <v>2020</v>
      </c>
      <c r="J35" s="20" t="s">
        <v>61</v>
      </c>
      <c r="K35" s="20" t="s">
        <v>2622</v>
      </c>
      <c r="L35" s="20" t="s">
        <v>642</v>
      </c>
      <c r="M35" s="20" t="s">
        <v>133</v>
      </c>
      <c r="N35" s="20" t="b">
        <v>1</v>
      </c>
      <c r="O35" s="2" t="b">
        <f>IF(Table1938[[#This Row],[Title]]="",TRUE,FALSE)</f>
        <v>0</v>
      </c>
      <c r="P35" s="2" t="b">
        <f>IF(Table1938[[#This Row],[Author]]="",TRUE,FALSE)</f>
        <v>0</v>
      </c>
      <c r="Q35" s="2" t="b">
        <f>IF(Table1938[[#This Row],[DOI]]&lt;&gt;"", FALSE,TRUE)</f>
        <v>0</v>
      </c>
      <c r="R35" s="2" t="b">
        <f>IF(Table1938[[#This Row],[Abstract]]="",TRUE,FALSE)</f>
        <v>0</v>
      </c>
      <c r="S35" s="2" t="b">
        <f>IF(OR(Table1938[[#This Row],[Document Type]]="book",Table1938[[#This Row],[Document Type]]="bookSection"),TRUE,FALSE)</f>
        <v>0</v>
      </c>
      <c r="T35" s="2" t="b">
        <f>NOT(IF(OR(Table1938[[#This Row],[Language]]&lt;&gt;"en",Table1938[[#This Row],[Language]]&lt;&gt;"EN",Table1938[[#This Row],[Language]]&lt;&gt;"spa",Table1938[[#This Row],[Language]]&lt;&gt;"SPA"),TRUE,FALSE))</f>
        <v>0</v>
      </c>
      <c r="U35" s="2" t="b">
        <f>IF(AND(Table1938[[#This Row],[EC-01]]=FALSE,Table1938[[#This Row],[EC-02]]=FALSE,Table1938[[#This Row],[EC-03]]=FALSE,Table1938[[#This Row],[EC-04]]=FALSE,Table1938[[#This Row],[EC-05]]=FALSE,Table1938[[#This Row],[EC-06]]=FALSE),TRUE,FALSE)</f>
        <v>1</v>
      </c>
      <c r="V35" s="2" t="b">
        <f>IF(Table1938[[#This Row],[Date]]&lt;&gt;"",AND(YEAR(Table1938[[#This Row],[Date]])&gt;=2010, YEAR(Table1938[[#This Row],[Date]])&lt;=2024),FALSE)</f>
        <v>1</v>
      </c>
      <c r="W35" s="2" t="b">
        <f>IF(Table1938[[#This Row],[Date]]&lt;&gt;"",AND(YEAR(Table1938[[#This Row],[Date]])&gt;=2010, YEAR(Table1938[[#This Row],[Date]])&lt;=2020),FALSE)</f>
        <v>1</v>
      </c>
      <c r="X35" s="2" t="b">
        <f>IF(AND(Table1938[[#This Row],[Accesible]]=TRUE,Table1938[[#This Row],[DOI]]&lt;&gt;""),TRUE,FALSE)</f>
        <v>1</v>
      </c>
      <c r="Y35" s="2" t="b">
        <f>OR(Table1938[[#This Row],[Document Type]]="journalArticle",Table1938[[#This Row],[Document Type]]="conferencePaper",Table1938[[#This Row],[Document Type]]="review")</f>
        <v>1</v>
      </c>
      <c r="Z35" s="2" t="b" cm="1">
        <f t="array" ref="Z35">SUMPRODUCT(--ISNUMBER(SEARCH({"dimensional analysis","dimensionless coefficients","Π","Pi","theorem","software","design","tools","development","architecture","similar"}, LOWER(Table1938[[#This Row],[Title]]))))&gt;0</f>
        <v>1</v>
      </c>
      <c r="AA35" s="2" t="b" cm="1">
        <f t="array" ref="AA35">SUMPRODUCT(--ISNUMBER(SEARCH({"dimensional analysis","dimensionless coefficients","Π","Pi","theorem","software","design","tools","development","architecture","similar"}, LOWER(Table1938[[#This Row],[Abstract]]))))&gt;0</f>
        <v>1</v>
      </c>
      <c r="AB35" s="2" t="b">
        <f>AND(OR(Table1938[[#This Row],[IC-01 @2024]:[IC-01 @2020]])=TRUE,Table1938[[#This Row],[IC-02]]=TRUE,Table1938[[#This Row],[IC-03]]=TRUE,Table1938[[#This Row],[IC-04]]=TRUE,Table1938[[#This Row],[IC-05]]=TRUE)</f>
        <v>1</v>
      </c>
      <c r="AC35" s="2" t="b">
        <f>AND(Table1938[[#This Row],[Pass-IC]]=TRUE,Table1938[[#This Row],[Pass-EC]]=TRUE)</f>
        <v>1</v>
      </c>
      <c r="AD35" s="2" t="b">
        <f>COUNTIF($D$25:D35, Table1938[[#This Row],[Title]]) = 1</f>
        <v>1</v>
      </c>
      <c r="AE35" s="2" t="b">
        <f>AND(Table1938[[#This Row],[IC + EC]:[Unique]])</f>
        <v>1</v>
      </c>
      <c r="AF35" s="2" t="b">
        <v>1</v>
      </c>
      <c r="AG35" s="2" t="b">
        <v>0</v>
      </c>
      <c r="AH35" s="2" t="b">
        <v>0</v>
      </c>
      <c r="AI35" s="2" t="b">
        <f>IF(AND(Table1938[[#This Row],[Double Check]]=TRUE,Table1938[[#This Row],[Inspected]]=TRUE,Table1938[[#This Row],[Relevant]]=TRUE),TRUE,FALSE)</f>
        <v>0</v>
      </c>
    </row>
    <row r="36" spans="1:35" ht="57.35" x14ac:dyDescent="0.5">
      <c r="A36" s="2">
        <v>35</v>
      </c>
      <c r="B36" s="20" t="s">
        <v>2</v>
      </c>
      <c r="C36" s="20" t="s">
        <v>2623</v>
      </c>
      <c r="D36" s="20" t="s">
        <v>2624</v>
      </c>
      <c r="E36" s="20" t="s">
        <v>123</v>
      </c>
      <c r="F36" s="2" t="s">
        <v>123</v>
      </c>
      <c r="G36" s="20" t="s">
        <v>2535</v>
      </c>
      <c r="H36" s="36" t="s">
        <v>123</v>
      </c>
      <c r="I36" s="20" t="s">
        <v>123</v>
      </c>
      <c r="J36" s="20" t="s">
        <v>2520</v>
      </c>
      <c r="K36" s="20" t="s">
        <v>123</v>
      </c>
      <c r="L36" s="20" t="s">
        <v>642</v>
      </c>
      <c r="M36" s="20" t="s">
        <v>123</v>
      </c>
      <c r="N36" s="20" t="b">
        <v>1</v>
      </c>
      <c r="O36" s="2" t="b">
        <f>IF(Table1938[[#This Row],[Title]]="",TRUE,FALSE)</f>
        <v>0</v>
      </c>
      <c r="P36" s="2" t="b">
        <f>IF(Table1938[[#This Row],[Author]]="",TRUE,FALSE)</f>
        <v>1</v>
      </c>
      <c r="Q36" s="2" t="b">
        <f>IF(Table1938[[#This Row],[DOI]]&lt;&gt;"", FALSE,TRUE)</f>
        <v>1</v>
      </c>
      <c r="R36" s="2" t="b">
        <f>IF(Table1938[[#This Row],[Abstract]]="",TRUE,FALSE)</f>
        <v>1</v>
      </c>
      <c r="S36" s="2" t="b">
        <f>IF(OR(Table1938[[#This Row],[Document Type]]="book",Table1938[[#This Row],[Document Type]]="bookSection"),TRUE,FALSE)</f>
        <v>0</v>
      </c>
      <c r="T36" s="2" t="b">
        <f>NOT(IF(OR(Table1938[[#This Row],[Language]]&lt;&gt;"en",Table1938[[#This Row],[Language]]&lt;&gt;"EN",Table1938[[#This Row],[Language]]&lt;&gt;"spa",Table1938[[#This Row],[Language]]&lt;&gt;"SPA"),TRUE,FALSE))</f>
        <v>0</v>
      </c>
      <c r="U36" s="2" t="b">
        <f>IF(AND(Table1938[[#This Row],[EC-01]]=FALSE,Table1938[[#This Row],[EC-02]]=FALSE,Table1938[[#This Row],[EC-03]]=FALSE,Table1938[[#This Row],[EC-04]]=FALSE,Table1938[[#This Row],[EC-05]]=FALSE,Table1938[[#This Row],[EC-06]]=FALSE),TRUE,FALSE)</f>
        <v>0</v>
      </c>
      <c r="V36" s="2" t="b">
        <f>IF(Table1938[[#This Row],[Date]]&lt;&gt;"",AND(YEAR(Table1938[[#This Row],[Date]])&gt;=2010, YEAR(Table1938[[#This Row],[Date]])&lt;=2024),FALSE)</f>
        <v>0</v>
      </c>
      <c r="W36" s="2" t="b">
        <f>IF(Table1938[[#This Row],[Date]]&lt;&gt;"",AND(YEAR(Table1938[[#This Row],[Date]])&gt;=2010, YEAR(Table1938[[#This Row],[Date]])&lt;=2020),FALSE)</f>
        <v>0</v>
      </c>
      <c r="X36" s="2" t="b">
        <f>IF(AND(Table1938[[#This Row],[Accesible]]=TRUE,Table1938[[#This Row],[DOI]]&lt;&gt;""),TRUE,FALSE)</f>
        <v>0</v>
      </c>
      <c r="Y36" s="2" t="b">
        <f>OR(Table1938[[#This Row],[Document Type]]="journalArticle",Table1938[[#This Row],[Document Type]]="conferencePaper",Table1938[[#This Row],[Document Type]]="review")</f>
        <v>0</v>
      </c>
      <c r="Z36" s="2" t="b" cm="1">
        <f t="array" ref="Z36">SUMPRODUCT(--ISNUMBER(SEARCH({"dimensional analysis","dimensionless coefficients","Π","Pi","theorem","software","design","tools","development","architecture","similar"}, LOWER(Table1938[[#This Row],[Title]]))))&gt;0</f>
        <v>0</v>
      </c>
      <c r="AA36" s="2" t="b" cm="1">
        <f t="array" ref="AA36">SUMPRODUCT(--ISNUMBER(SEARCH({"dimensional analysis","dimensionless coefficients","Π","Pi","theorem","software","design","tools","development","architecture","similar"}, LOWER(Table1938[[#This Row],[Abstract]]))))&gt;0</f>
        <v>0</v>
      </c>
      <c r="AB36" s="2" t="b">
        <f>AND(OR(Table1938[[#This Row],[IC-01 @2024]:[IC-01 @2020]])=TRUE,Table1938[[#This Row],[IC-02]]=TRUE,Table1938[[#This Row],[IC-03]]=TRUE,Table1938[[#This Row],[IC-04]]=TRUE,Table1938[[#This Row],[IC-05]]=TRUE)</f>
        <v>0</v>
      </c>
      <c r="AC36" s="2" t="b">
        <f>AND(Table1938[[#This Row],[Pass-IC]]=TRUE,Table1938[[#This Row],[Pass-EC]]=TRUE)</f>
        <v>0</v>
      </c>
      <c r="AD36" s="2" t="b">
        <f>COUNTIF($D$25:D36, Table1938[[#This Row],[Title]]) = 1</f>
        <v>1</v>
      </c>
      <c r="AE36" s="2" t="b">
        <f>AND(Table1938[[#This Row],[IC + EC]:[Unique]])</f>
        <v>0</v>
      </c>
      <c r="AF36" s="2" t="b">
        <v>0</v>
      </c>
      <c r="AG36" s="2" t="b">
        <v>0</v>
      </c>
      <c r="AH36" s="2" t="b">
        <v>0</v>
      </c>
      <c r="AI36" s="2" t="b">
        <f>IF(AND(Table1938[[#This Row],[Double Check]]=TRUE,Table1938[[#This Row],[Inspected]]=TRUE,Table1938[[#This Row],[Relevant]]=TRUE),TRUE,FALSE)</f>
        <v>0</v>
      </c>
    </row>
    <row r="37" spans="1:35" ht="43" x14ac:dyDescent="0.5">
      <c r="A37" s="2">
        <v>36</v>
      </c>
      <c r="B37" s="20" t="s">
        <v>2</v>
      </c>
      <c r="C37" s="20" t="s">
        <v>2625</v>
      </c>
      <c r="D37" s="20" t="s">
        <v>2626</v>
      </c>
      <c r="E37" s="20" t="s">
        <v>2627</v>
      </c>
      <c r="F37" s="2" t="s">
        <v>2628</v>
      </c>
      <c r="G37" s="20" t="s">
        <v>2629</v>
      </c>
      <c r="H37" s="36">
        <v>45351</v>
      </c>
      <c r="I37" s="20">
        <v>2024</v>
      </c>
      <c r="J37" s="20" t="s">
        <v>61</v>
      </c>
      <c r="K37" s="20" t="s">
        <v>123</v>
      </c>
      <c r="L37" s="20" t="s">
        <v>2515</v>
      </c>
      <c r="M37" s="20" t="s">
        <v>2630</v>
      </c>
      <c r="N37" s="20" t="b">
        <v>0</v>
      </c>
      <c r="O37" s="2" t="b">
        <f>IF(Table1938[[#This Row],[Title]]="",TRUE,FALSE)</f>
        <v>0</v>
      </c>
      <c r="P37" s="2" t="b">
        <f>IF(Table1938[[#This Row],[Author]]="",TRUE,FALSE)</f>
        <v>0</v>
      </c>
      <c r="Q37" s="2" t="b">
        <f>IF(Table1938[[#This Row],[DOI]]&lt;&gt;"", FALSE,TRUE)</f>
        <v>0</v>
      </c>
      <c r="R37" s="2" t="b">
        <f>IF(Table1938[[#This Row],[Abstract]]="",TRUE,FALSE)</f>
        <v>0</v>
      </c>
      <c r="S37" s="2" t="b">
        <f>IF(OR(Table1938[[#This Row],[Document Type]]="book",Table1938[[#This Row],[Document Type]]="bookSection"),TRUE,FALSE)</f>
        <v>0</v>
      </c>
      <c r="T37" s="2" t="b">
        <f>NOT(IF(OR(Table1938[[#This Row],[Language]]&lt;&gt;"en",Table1938[[#This Row],[Language]]&lt;&gt;"EN",Table1938[[#This Row],[Language]]&lt;&gt;"spa",Table1938[[#This Row],[Language]]&lt;&gt;"SPA"),TRUE,FALSE))</f>
        <v>0</v>
      </c>
      <c r="U37" s="2" t="b">
        <f>IF(AND(Table1938[[#This Row],[EC-01]]=FALSE,Table1938[[#This Row],[EC-02]]=FALSE,Table1938[[#This Row],[EC-03]]=FALSE,Table1938[[#This Row],[EC-04]]=FALSE,Table1938[[#This Row],[EC-05]]=FALSE,Table1938[[#This Row],[EC-06]]=FALSE),TRUE,FALSE)</f>
        <v>1</v>
      </c>
      <c r="V37" s="2" t="b">
        <f>IF(Table1938[[#This Row],[Date]]&lt;&gt;"",AND(YEAR(Table1938[[#This Row],[Date]])&gt;=2010, YEAR(Table1938[[#This Row],[Date]])&lt;=2024),FALSE)</f>
        <v>1</v>
      </c>
      <c r="W37" s="2" t="b">
        <f>IF(Table1938[[#This Row],[Date]]&lt;&gt;"",AND(YEAR(Table1938[[#This Row],[Date]])&gt;=2010, YEAR(Table1938[[#This Row],[Date]])&lt;=2020),FALSE)</f>
        <v>0</v>
      </c>
      <c r="X37" s="2" t="b">
        <f>IF(AND(Table1938[[#This Row],[Accesible]]=TRUE,Table1938[[#This Row],[DOI]]&lt;&gt;""),TRUE,FALSE)</f>
        <v>0</v>
      </c>
      <c r="Y37" s="2" t="b">
        <f>OR(Table1938[[#This Row],[Document Type]]="journalArticle",Table1938[[#This Row],[Document Type]]="conferencePaper",Table1938[[#This Row],[Document Type]]="review")</f>
        <v>1</v>
      </c>
      <c r="Z37" s="2" t="b" cm="1">
        <f t="array" ref="Z37">SUMPRODUCT(--ISNUMBER(SEARCH({"dimensional analysis","dimensionless coefficients","Π","Pi","theorem","software","design","tools","development","architecture","similar"}, LOWER(Table1938[[#This Row],[Title]]))))&gt;0</f>
        <v>1</v>
      </c>
      <c r="AA37" s="2" t="b" cm="1">
        <f t="array" ref="AA37">SUMPRODUCT(--ISNUMBER(SEARCH({"dimensional analysis","dimensionless coefficients","Π","Pi","theorem","software","design","tools","development","architecture","similar"}, LOWER(Table1938[[#This Row],[Abstract]]))))&gt;0</f>
        <v>1</v>
      </c>
      <c r="AB37" s="2" t="b">
        <f>AND(OR(Table1938[[#This Row],[IC-01 @2024]:[IC-01 @2020]])=TRUE,Table1938[[#This Row],[IC-02]]=TRUE,Table1938[[#This Row],[IC-03]]=TRUE,Table1938[[#This Row],[IC-04]]=TRUE,Table1938[[#This Row],[IC-05]]=TRUE)</f>
        <v>0</v>
      </c>
      <c r="AC37" s="2" t="b">
        <f>AND(Table1938[[#This Row],[Pass-IC]]=TRUE,Table1938[[#This Row],[Pass-EC]]=TRUE)</f>
        <v>0</v>
      </c>
      <c r="AD37" s="2" t="b">
        <f>COUNTIF($D$25:D37, Table1938[[#This Row],[Title]]) = 1</f>
        <v>1</v>
      </c>
      <c r="AE37" s="2" t="b">
        <f>AND(Table1938[[#This Row],[IC + EC]:[Unique]])</f>
        <v>0</v>
      </c>
      <c r="AF37" s="2" t="b">
        <v>0</v>
      </c>
      <c r="AG37" s="2" t="b">
        <v>0</v>
      </c>
      <c r="AH37" s="2" t="b">
        <v>0</v>
      </c>
      <c r="AI37" s="2" t="b">
        <f>IF(AND(Table1938[[#This Row],[Double Check]]=TRUE,Table1938[[#This Row],[Inspected]]=TRUE,Table1938[[#This Row],[Relevant]]=TRUE),TRUE,FALSE)</f>
        <v>0</v>
      </c>
    </row>
    <row r="38" spans="1:35" ht="71.7" x14ac:dyDescent="0.5">
      <c r="A38" s="2">
        <v>37</v>
      </c>
      <c r="B38" s="20" t="s">
        <v>2</v>
      </c>
      <c r="C38" s="20" t="s">
        <v>2631</v>
      </c>
      <c r="D38" s="20" t="s">
        <v>2632</v>
      </c>
      <c r="E38" s="20" t="s">
        <v>123</v>
      </c>
      <c r="F38" s="2" t="s">
        <v>123</v>
      </c>
      <c r="G38" s="20" t="s">
        <v>2519</v>
      </c>
      <c r="H38" s="36" t="s">
        <v>123</v>
      </c>
      <c r="I38" s="20" t="s">
        <v>123</v>
      </c>
      <c r="J38" s="20" t="s">
        <v>2520</v>
      </c>
      <c r="K38" s="20" t="s">
        <v>123</v>
      </c>
      <c r="L38" s="20" t="s">
        <v>642</v>
      </c>
      <c r="M38" s="20" t="s">
        <v>123</v>
      </c>
      <c r="N38" s="20" t="b">
        <v>1</v>
      </c>
      <c r="O38" s="2" t="b">
        <f>IF(Table1938[[#This Row],[Title]]="",TRUE,FALSE)</f>
        <v>0</v>
      </c>
      <c r="P38" s="2" t="b">
        <f>IF(Table1938[[#This Row],[Author]]="",TRUE,FALSE)</f>
        <v>1</v>
      </c>
      <c r="Q38" s="2" t="b">
        <f>IF(Table1938[[#This Row],[DOI]]&lt;&gt;"", FALSE,TRUE)</f>
        <v>1</v>
      </c>
      <c r="R38" s="2" t="b">
        <f>IF(Table1938[[#This Row],[Abstract]]="",TRUE,FALSE)</f>
        <v>1</v>
      </c>
      <c r="S38" s="2" t="b">
        <f>IF(OR(Table1938[[#This Row],[Document Type]]="book",Table1938[[#This Row],[Document Type]]="bookSection"),TRUE,FALSE)</f>
        <v>0</v>
      </c>
      <c r="T38" s="2" t="b">
        <f>NOT(IF(OR(Table1938[[#This Row],[Language]]&lt;&gt;"en",Table1938[[#This Row],[Language]]&lt;&gt;"EN",Table1938[[#This Row],[Language]]&lt;&gt;"spa",Table1938[[#This Row],[Language]]&lt;&gt;"SPA"),TRUE,FALSE))</f>
        <v>0</v>
      </c>
      <c r="U38" s="2" t="b">
        <f>IF(AND(Table1938[[#This Row],[EC-01]]=FALSE,Table1938[[#This Row],[EC-02]]=FALSE,Table1938[[#This Row],[EC-03]]=FALSE,Table1938[[#This Row],[EC-04]]=FALSE,Table1938[[#This Row],[EC-05]]=FALSE,Table1938[[#This Row],[EC-06]]=FALSE),TRUE,FALSE)</f>
        <v>0</v>
      </c>
      <c r="V38" s="2" t="b">
        <f>IF(Table1938[[#This Row],[Date]]&lt;&gt;"",AND(YEAR(Table1938[[#This Row],[Date]])&gt;=2010, YEAR(Table1938[[#This Row],[Date]])&lt;=2024),FALSE)</f>
        <v>0</v>
      </c>
      <c r="W38" s="2" t="b">
        <f>IF(Table1938[[#This Row],[Date]]&lt;&gt;"",AND(YEAR(Table1938[[#This Row],[Date]])&gt;=2010, YEAR(Table1938[[#This Row],[Date]])&lt;=2020),FALSE)</f>
        <v>0</v>
      </c>
      <c r="X38" s="2" t="b">
        <f>IF(AND(Table1938[[#This Row],[Accesible]]=TRUE,Table1938[[#This Row],[DOI]]&lt;&gt;""),TRUE,FALSE)</f>
        <v>0</v>
      </c>
      <c r="Y38" s="2" t="b">
        <f>OR(Table1938[[#This Row],[Document Type]]="journalArticle",Table1938[[#This Row],[Document Type]]="conferencePaper",Table1938[[#This Row],[Document Type]]="review")</f>
        <v>0</v>
      </c>
      <c r="Z38" s="2" t="b" cm="1">
        <f t="array" ref="Z38">SUMPRODUCT(--ISNUMBER(SEARCH({"dimensional analysis","dimensionless coefficients","Π","Pi","theorem","software","design","tools","development","architecture","similar"}, LOWER(Table1938[[#This Row],[Title]]))))&gt;0</f>
        <v>0</v>
      </c>
      <c r="AA38" s="2" t="b" cm="1">
        <f t="array" ref="AA38">SUMPRODUCT(--ISNUMBER(SEARCH({"dimensional analysis","dimensionless coefficients","Π","Pi","theorem","software","design","tools","development","architecture","similar"}, LOWER(Table1938[[#This Row],[Abstract]]))))&gt;0</f>
        <v>0</v>
      </c>
      <c r="AB38" s="2" t="b">
        <f>AND(OR(Table1938[[#This Row],[IC-01 @2024]:[IC-01 @2020]])=TRUE,Table1938[[#This Row],[IC-02]]=TRUE,Table1938[[#This Row],[IC-03]]=TRUE,Table1938[[#This Row],[IC-04]]=TRUE,Table1938[[#This Row],[IC-05]]=TRUE)</f>
        <v>0</v>
      </c>
      <c r="AC38" s="2" t="b">
        <f>AND(Table1938[[#This Row],[Pass-IC]]=TRUE,Table1938[[#This Row],[Pass-EC]]=TRUE)</f>
        <v>0</v>
      </c>
      <c r="AD38" s="2" t="b">
        <f>COUNTIF($D$25:D38, Table1938[[#This Row],[Title]]) = 1</f>
        <v>1</v>
      </c>
      <c r="AE38" s="2" t="b">
        <f>AND(Table1938[[#This Row],[IC + EC]:[Unique]])</f>
        <v>0</v>
      </c>
      <c r="AF38" s="2" t="b">
        <v>0</v>
      </c>
      <c r="AG38" s="2" t="b">
        <v>0</v>
      </c>
      <c r="AH38" s="2" t="b">
        <v>0</v>
      </c>
      <c r="AI38" s="2" t="b">
        <f>IF(AND(Table1938[[#This Row],[Double Check]]=TRUE,Table1938[[#This Row],[Inspected]]=TRUE,Table1938[[#This Row],[Relevant]]=TRUE),TRUE,FALSE)</f>
        <v>0</v>
      </c>
    </row>
    <row r="39" spans="1:35" ht="43" x14ac:dyDescent="0.5">
      <c r="A39" s="2">
        <v>38</v>
      </c>
      <c r="B39" s="20" t="s">
        <v>2</v>
      </c>
      <c r="C39" s="20" t="s">
        <v>2633</v>
      </c>
      <c r="D39" s="20" t="s">
        <v>2634</v>
      </c>
      <c r="E39" s="20" t="s">
        <v>123</v>
      </c>
      <c r="F39" s="2" t="s">
        <v>123</v>
      </c>
      <c r="G39" s="20" t="s">
        <v>2519</v>
      </c>
      <c r="H39" s="36" t="s">
        <v>123</v>
      </c>
      <c r="I39" s="20" t="s">
        <v>123</v>
      </c>
      <c r="J39" s="20" t="s">
        <v>2520</v>
      </c>
      <c r="K39" s="20" t="s">
        <v>123</v>
      </c>
      <c r="L39" s="20" t="s">
        <v>642</v>
      </c>
      <c r="M39" s="20" t="s">
        <v>123</v>
      </c>
      <c r="N39" s="20" t="b">
        <v>1</v>
      </c>
      <c r="O39" s="2" t="b">
        <f>IF(Table1938[[#This Row],[Title]]="",TRUE,FALSE)</f>
        <v>0</v>
      </c>
      <c r="P39" s="2" t="b">
        <f>IF(Table1938[[#This Row],[Author]]="",TRUE,FALSE)</f>
        <v>1</v>
      </c>
      <c r="Q39" s="2" t="b">
        <f>IF(Table1938[[#This Row],[DOI]]&lt;&gt;"", FALSE,TRUE)</f>
        <v>1</v>
      </c>
      <c r="R39" s="2" t="b">
        <f>IF(Table1938[[#This Row],[Abstract]]="",TRUE,FALSE)</f>
        <v>1</v>
      </c>
      <c r="S39" s="2" t="b">
        <f>IF(OR(Table1938[[#This Row],[Document Type]]="book",Table1938[[#This Row],[Document Type]]="bookSection"),TRUE,FALSE)</f>
        <v>0</v>
      </c>
      <c r="T39" s="2" t="b">
        <f>NOT(IF(OR(Table1938[[#This Row],[Language]]&lt;&gt;"en",Table1938[[#This Row],[Language]]&lt;&gt;"EN",Table1938[[#This Row],[Language]]&lt;&gt;"spa",Table1938[[#This Row],[Language]]&lt;&gt;"SPA"),TRUE,FALSE))</f>
        <v>0</v>
      </c>
      <c r="U39" s="2" t="b">
        <f>IF(AND(Table1938[[#This Row],[EC-01]]=FALSE,Table1938[[#This Row],[EC-02]]=FALSE,Table1938[[#This Row],[EC-03]]=FALSE,Table1938[[#This Row],[EC-04]]=FALSE,Table1938[[#This Row],[EC-05]]=FALSE,Table1938[[#This Row],[EC-06]]=FALSE),TRUE,FALSE)</f>
        <v>0</v>
      </c>
      <c r="V39" s="2" t="b">
        <f>IF(Table1938[[#This Row],[Date]]&lt;&gt;"",AND(YEAR(Table1938[[#This Row],[Date]])&gt;=2010, YEAR(Table1938[[#This Row],[Date]])&lt;=2024),FALSE)</f>
        <v>0</v>
      </c>
      <c r="W39" s="2" t="b">
        <f>IF(Table1938[[#This Row],[Date]]&lt;&gt;"",AND(YEAR(Table1938[[#This Row],[Date]])&gt;=2010, YEAR(Table1938[[#This Row],[Date]])&lt;=2020),FALSE)</f>
        <v>0</v>
      </c>
      <c r="X39" s="2" t="b">
        <f>IF(AND(Table1938[[#This Row],[Accesible]]=TRUE,Table1938[[#This Row],[DOI]]&lt;&gt;""),TRUE,FALSE)</f>
        <v>0</v>
      </c>
      <c r="Y39" s="2" t="b">
        <f>OR(Table1938[[#This Row],[Document Type]]="journalArticle",Table1938[[#This Row],[Document Type]]="conferencePaper",Table1938[[#This Row],[Document Type]]="review")</f>
        <v>0</v>
      </c>
      <c r="Z39" s="2" t="b" cm="1">
        <f t="array" ref="Z39">SUMPRODUCT(--ISNUMBER(SEARCH({"dimensional analysis","dimensionless coefficients","Π","Pi","theorem","software","design","tools","development","architecture","similar"}, LOWER(Table1938[[#This Row],[Title]]))))&gt;0</f>
        <v>0</v>
      </c>
      <c r="AA39" s="2" t="b" cm="1">
        <f t="array" ref="AA39">SUMPRODUCT(--ISNUMBER(SEARCH({"dimensional analysis","dimensionless coefficients","Π","Pi","theorem","software","design","tools","development","architecture","similar"}, LOWER(Table1938[[#This Row],[Abstract]]))))&gt;0</f>
        <v>0</v>
      </c>
      <c r="AB39" s="2" t="b">
        <f>AND(OR(Table1938[[#This Row],[IC-01 @2024]:[IC-01 @2020]])=TRUE,Table1938[[#This Row],[IC-02]]=TRUE,Table1938[[#This Row],[IC-03]]=TRUE,Table1938[[#This Row],[IC-04]]=TRUE,Table1938[[#This Row],[IC-05]]=TRUE)</f>
        <v>0</v>
      </c>
      <c r="AC39" s="2" t="b">
        <f>AND(Table1938[[#This Row],[Pass-IC]]=TRUE,Table1938[[#This Row],[Pass-EC]]=TRUE)</f>
        <v>0</v>
      </c>
      <c r="AD39" s="2" t="b">
        <f>COUNTIF($D$25:D39, Table1938[[#This Row],[Title]]) = 1</f>
        <v>1</v>
      </c>
      <c r="AE39" s="2" t="b">
        <f>AND(Table1938[[#This Row],[IC + EC]:[Unique]])</f>
        <v>0</v>
      </c>
      <c r="AF39" s="2" t="b">
        <v>0</v>
      </c>
      <c r="AG39" s="2" t="b">
        <v>0</v>
      </c>
      <c r="AH39" s="2" t="b">
        <v>0</v>
      </c>
      <c r="AI39" s="2" t="b">
        <f>IF(AND(Table1938[[#This Row],[Double Check]]=TRUE,Table1938[[#This Row],[Inspected]]=TRUE,Table1938[[#This Row],[Relevant]]=TRUE),TRUE,FALSE)</f>
        <v>0</v>
      </c>
    </row>
    <row r="40" spans="1:35" ht="57.35" x14ac:dyDescent="0.5">
      <c r="A40" s="2">
        <v>39</v>
      </c>
      <c r="B40" s="20" t="s">
        <v>2</v>
      </c>
      <c r="C40" s="20" t="s">
        <v>2635</v>
      </c>
      <c r="D40" s="20" t="s">
        <v>2636</v>
      </c>
      <c r="E40" s="20" t="s">
        <v>123</v>
      </c>
      <c r="F40" s="2" t="s">
        <v>123</v>
      </c>
      <c r="G40" s="20" t="s">
        <v>2519</v>
      </c>
      <c r="H40" s="36" t="s">
        <v>123</v>
      </c>
      <c r="I40" s="20" t="s">
        <v>123</v>
      </c>
      <c r="J40" s="20" t="s">
        <v>2520</v>
      </c>
      <c r="K40" s="20" t="s">
        <v>123</v>
      </c>
      <c r="L40" s="20" t="s">
        <v>642</v>
      </c>
      <c r="M40" s="20" t="s">
        <v>123</v>
      </c>
      <c r="N40" s="20" t="b">
        <v>1</v>
      </c>
      <c r="O40" s="2" t="b">
        <f>IF(Table1938[[#This Row],[Title]]="",TRUE,FALSE)</f>
        <v>0</v>
      </c>
      <c r="P40" s="2" t="b">
        <f>IF(Table1938[[#This Row],[Author]]="",TRUE,FALSE)</f>
        <v>1</v>
      </c>
      <c r="Q40" s="2" t="b">
        <f>IF(Table1938[[#This Row],[DOI]]&lt;&gt;"", FALSE,TRUE)</f>
        <v>1</v>
      </c>
      <c r="R40" s="2" t="b">
        <f>IF(Table1938[[#This Row],[Abstract]]="",TRUE,FALSE)</f>
        <v>1</v>
      </c>
      <c r="S40" s="2" t="b">
        <f>IF(OR(Table1938[[#This Row],[Document Type]]="book",Table1938[[#This Row],[Document Type]]="bookSection"),TRUE,FALSE)</f>
        <v>0</v>
      </c>
      <c r="T40" s="2" t="b">
        <f>NOT(IF(OR(Table1938[[#This Row],[Language]]&lt;&gt;"en",Table1938[[#This Row],[Language]]&lt;&gt;"EN",Table1938[[#This Row],[Language]]&lt;&gt;"spa",Table1938[[#This Row],[Language]]&lt;&gt;"SPA"),TRUE,FALSE))</f>
        <v>0</v>
      </c>
      <c r="U40" s="2" t="b">
        <f>IF(AND(Table1938[[#This Row],[EC-01]]=FALSE,Table1938[[#This Row],[EC-02]]=FALSE,Table1938[[#This Row],[EC-03]]=FALSE,Table1938[[#This Row],[EC-04]]=FALSE,Table1938[[#This Row],[EC-05]]=FALSE,Table1938[[#This Row],[EC-06]]=FALSE),TRUE,FALSE)</f>
        <v>0</v>
      </c>
      <c r="V40" s="2" t="b">
        <f>IF(Table1938[[#This Row],[Date]]&lt;&gt;"",AND(YEAR(Table1938[[#This Row],[Date]])&gt;=2010, YEAR(Table1938[[#This Row],[Date]])&lt;=2024),FALSE)</f>
        <v>0</v>
      </c>
      <c r="W40" s="2" t="b">
        <f>IF(Table1938[[#This Row],[Date]]&lt;&gt;"",AND(YEAR(Table1938[[#This Row],[Date]])&gt;=2010, YEAR(Table1938[[#This Row],[Date]])&lt;=2020),FALSE)</f>
        <v>0</v>
      </c>
      <c r="X40" s="2" t="b">
        <f>IF(AND(Table1938[[#This Row],[Accesible]]=TRUE,Table1938[[#This Row],[DOI]]&lt;&gt;""),TRUE,FALSE)</f>
        <v>0</v>
      </c>
      <c r="Y40" s="2" t="b">
        <f>OR(Table1938[[#This Row],[Document Type]]="journalArticle",Table1938[[#This Row],[Document Type]]="conferencePaper",Table1938[[#This Row],[Document Type]]="review")</f>
        <v>0</v>
      </c>
      <c r="Z40" s="2" t="b" cm="1">
        <f t="array" ref="Z40">SUMPRODUCT(--ISNUMBER(SEARCH({"dimensional analysis","dimensionless coefficients","Π","Pi","theorem","software","design","tools","development","architecture","similar"}, LOWER(Table1938[[#This Row],[Title]]))))&gt;0</f>
        <v>0</v>
      </c>
      <c r="AA40" s="2" t="b" cm="1">
        <f t="array" ref="AA40">SUMPRODUCT(--ISNUMBER(SEARCH({"dimensional analysis","dimensionless coefficients","Π","Pi","theorem","software","design","tools","development","architecture","similar"}, LOWER(Table1938[[#This Row],[Abstract]]))))&gt;0</f>
        <v>0</v>
      </c>
      <c r="AB40" s="2" t="b">
        <f>AND(OR(Table1938[[#This Row],[IC-01 @2024]:[IC-01 @2020]])=TRUE,Table1938[[#This Row],[IC-02]]=TRUE,Table1938[[#This Row],[IC-03]]=TRUE,Table1938[[#This Row],[IC-04]]=TRUE,Table1938[[#This Row],[IC-05]]=TRUE)</f>
        <v>0</v>
      </c>
      <c r="AC40" s="2" t="b">
        <f>AND(Table1938[[#This Row],[Pass-IC]]=TRUE,Table1938[[#This Row],[Pass-EC]]=TRUE)</f>
        <v>0</v>
      </c>
      <c r="AD40" s="2" t="b">
        <f>COUNTIF($D$25:D40, Table1938[[#This Row],[Title]]) = 1</f>
        <v>1</v>
      </c>
      <c r="AE40" s="2" t="b">
        <f>AND(Table1938[[#This Row],[IC + EC]:[Unique]])</f>
        <v>0</v>
      </c>
      <c r="AF40" s="2" t="b">
        <v>0</v>
      </c>
      <c r="AG40" s="2" t="b">
        <v>0</v>
      </c>
      <c r="AH40" s="2" t="b">
        <v>0</v>
      </c>
      <c r="AI40" s="2" t="b">
        <f>IF(AND(Table1938[[#This Row],[Double Check]]=TRUE,Table1938[[#This Row],[Inspected]]=TRUE,Table1938[[#This Row],[Relevant]]=TRUE),TRUE,FALSE)</f>
        <v>0</v>
      </c>
    </row>
    <row r="41" spans="1:35" ht="43" x14ac:dyDescent="0.5">
      <c r="A41" s="2">
        <v>40</v>
      </c>
      <c r="B41" s="20" t="s">
        <v>2</v>
      </c>
      <c r="C41" s="20" t="s">
        <v>2637</v>
      </c>
      <c r="D41" s="20" t="s">
        <v>190</v>
      </c>
      <c r="E41" s="20" t="s">
        <v>648</v>
      </c>
      <c r="F41" s="2" t="s">
        <v>297</v>
      </c>
      <c r="G41" s="20" t="s">
        <v>191</v>
      </c>
      <c r="H41" s="36">
        <v>41699</v>
      </c>
      <c r="I41" s="20">
        <v>2014</v>
      </c>
      <c r="J41" s="20" t="s">
        <v>61</v>
      </c>
      <c r="K41" s="20" t="s">
        <v>2638</v>
      </c>
      <c r="L41" s="20" t="s">
        <v>642</v>
      </c>
      <c r="M41" s="20" t="s">
        <v>192</v>
      </c>
      <c r="N41" s="20" t="b">
        <v>1</v>
      </c>
      <c r="O41" s="2" t="b">
        <f>IF(Table1938[[#This Row],[Title]]="",TRUE,FALSE)</f>
        <v>0</v>
      </c>
      <c r="P41" s="2" t="b">
        <f>IF(Table1938[[#This Row],[Author]]="",TRUE,FALSE)</f>
        <v>0</v>
      </c>
      <c r="Q41" s="2" t="b">
        <f>IF(Table1938[[#This Row],[DOI]]&lt;&gt;"", FALSE,TRUE)</f>
        <v>0</v>
      </c>
      <c r="R41" s="2" t="b">
        <f>IF(Table1938[[#This Row],[Abstract]]="",TRUE,FALSE)</f>
        <v>0</v>
      </c>
      <c r="S41" s="2" t="b">
        <f>IF(OR(Table1938[[#This Row],[Document Type]]="book",Table1938[[#This Row],[Document Type]]="bookSection"),TRUE,FALSE)</f>
        <v>0</v>
      </c>
      <c r="T41" s="2" t="b">
        <f>NOT(IF(OR(Table1938[[#This Row],[Language]]&lt;&gt;"en",Table1938[[#This Row],[Language]]&lt;&gt;"EN",Table1938[[#This Row],[Language]]&lt;&gt;"spa",Table1938[[#This Row],[Language]]&lt;&gt;"SPA"),TRUE,FALSE))</f>
        <v>0</v>
      </c>
      <c r="U41" s="2" t="b">
        <f>IF(AND(Table1938[[#This Row],[EC-01]]=FALSE,Table1938[[#This Row],[EC-02]]=FALSE,Table1938[[#This Row],[EC-03]]=FALSE,Table1938[[#This Row],[EC-04]]=FALSE,Table1938[[#This Row],[EC-05]]=FALSE,Table1938[[#This Row],[EC-06]]=FALSE),TRUE,FALSE)</f>
        <v>1</v>
      </c>
      <c r="V41" s="2" t="b">
        <f>IF(Table1938[[#This Row],[Date]]&lt;&gt;"",AND(YEAR(Table1938[[#This Row],[Date]])&gt;=2010, YEAR(Table1938[[#This Row],[Date]])&lt;=2024),FALSE)</f>
        <v>1</v>
      </c>
      <c r="W41" s="2" t="b">
        <f>IF(Table1938[[#This Row],[Date]]&lt;&gt;"",AND(YEAR(Table1938[[#This Row],[Date]])&gt;=2010, YEAR(Table1938[[#This Row],[Date]])&lt;=2020),FALSE)</f>
        <v>1</v>
      </c>
      <c r="X41" s="2" t="b">
        <f>IF(AND(Table1938[[#This Row],[Accesible]]=TRUE,Table1938[[#This Row],[DOI]]&lt;&gt;""),TRUE,FALSE)</f>
        <v>1</v>
      </c>
      <c r="Y41" s="2" t="b">
        <f>OR(Table1938[[#This Row],[Document Type]]="journalArticle",Table1938[[#This Row],[Document Type]]="conferencePaper",Table1938[[#This Row],[Document Type]]="review")</f>
        <v>1</v>
      </c>
      <c r="Z41" s="2" t="b" cm="1">
        <f t="array" ref="Z41">SUMPRODUCT(--ISNUMBER(SEARCH({"dimensional analysis","dimensionless coefficients","Π","Pi","theorem","software","design","tools","development","architecture","similar"}, LOWER(Table1938[[#This Row],[Title]]))))&gt;0</f>
        <v>0</v>
      </c>
      <c r="AA41" s="2" t="b" cm="1">
        <f t="array" ref="AA41">SUMPRODUCT(--ISNUMBER(SEARCH({"dimensional analysis","dimensionless coefficients","Π","Pi","theorem","software","design","tools","development","architecture","similar"}, LOWER(Table1938[[#This Row],[Abstract]]))))&gt;0</f>
        <v>1</v>
      </c>
      <c r="AB41" s="2" t="b">
        <f>AND(OR(Table1938[[#This Row],[IC-01 @2024]:[IC-01 @2020]])=TRUE,Table1938[[#This Row],[IC-02]]=TRUE,Table1938[[#This Row],[IC-03]]=TRUE,Table1938[[#This Row],[IC-04]]=TRUE,Table1938[[#This Row],[IC-05]]=TRUE)</f>
        <v>0</v>
      </c>
      <c r="AC41" s="2" t="b">
        <f>AND(Table1938[[#This Row],[Pass-IC]]=TRUE,Table1938[[#This Row],[Pass-EC]]=TRUE)</f>
        <v>0</v>
      </c>
      <c r="AD41" s="2" t="b">
        <f>COUNTIF($D$25:D41, Table1938[[#This Row],[Title]]) = 1</f>
        <v>1</v>
      </c>
      <c r="AE41" s="2" t="b">
        <f>AND(Table1938[[#This Row],[IC + EC]:[Unique]])</f>
        <v>0</v>
      </c>
      <c r="AF41" s="2" t="b">
        <v>0</v>
      </c>
      <c r="AG41" s="2" t="b">
        <v>0</v>
      </c>
      <c r="AH41" s="2" t="b">
        <v>0</v>
      </c>
      <c r="AI41" s="2" t="b">
        <f>IF(AND(Table1938[[#This Row],[Double Check]]=TRUE,Table1938[[#This Row],[Inspected]]=TRUE,Table1938[[#This Row],[Relevant]]=TRUE),TRUE,FALSE)</f>
        <v>0</v>
      </c>
    </row>
    <row r="42" spans="1:35" ht="57.35" x14ac:dyDescent="0.5">
      <c r="A42" s="2">
        <v>41</v>
      </c>
      <c r="B42" s="20" t="s">
        <v>2</v>
      </c>
      <c r="C42" s="20" t="s">
        <v>2639</v>
      </c>
      <c r="D42" s="20" t="s">
        <v>2640</v>
      </c>
      <c r="E42" s="20" t="s">
        <v>123</v>
      </c>
      <c r="F42" s="2" t="s">
        <v>123</v>
      </c>
      <c r="G42" s="20" t="s">
        <v>2535</v>
      </c>
      <c r="H42" s="36" t="s">
        <v>123</v>
      </c>
      <c r="I42" s="20" t="s">
        <v>123</v>
      </c>
      <c r="J42" s="20" t="s">
        <v>2520</v>
      </c>
      <c r="K42" s="20" t="s">
        <v>123</v>
      </c>
      <c r="L42" s="20" t="s">
        <v>642</v>
      </c>
      <c r="M42" s="20" t="s">
        <v>123</v>
      </c>
      <c r="N42" s="20" t="b">
        <v>1</v>
      </c>
      <c r="O42" s="2" t="b">
        <f>IF(Table1938[[#This Row],[Title]]="",TRUE,FALSE)</f>
        <v>0</v>
      </c>
      <c r="P42" s="2" t="b">
        <f>IF(Table1938[[#This Row],[Author]]="",TRUE,FALSE)</f>
        <v>1</v>
      </c>
      <c r="Q42" s="2" t="b">
        <f>IF(Table1938[[#This Row],[DOI]]&lt;&gt;"", FALSE,TRUE)</f>
        <v>1</v>
      </c>
      <c r="R42" s="2" t="b">
        <f>IF(Table1938[[#This Row],[Abstract]]="",TRUE,FALSE)</f>
        <v>1</v>
      </c>
      <c r="S42" s="2" t="b">
        <f>IF(OR(Table1938[[#This Row],[Document Type]]="book",Table1938[[#This Row],[Document Type]]="bookSection"),TRUE,FALSE)</f>
        <v>0</v>
      </c>
      <c r="T42" s="2" t="b">
        <f>NOT(IF(OR(Table1938[[#This Row],[Language]]&lt;&gt;"en",Table1938[[#This Row],[Language]]&lt;&gt;"EN",Table1938[[#This Row],[Language]]&lt;&gt;"spa",Table1938[[#This Row],[Language]]&lt;&gt;"SPA"),TRUE,FALSE))</f>
        <v>0</v>
      </c>
      <c r="U42" s="2" t="b">
        <f>IF(AND(Table1938[[#This Row],[EC-01]]=FALSE,Table1938[[#This Row],[EC-02]]=FALSE,Table1938[[#This Row],[EC-03]]=FALSE,Table1938[[#This Row],[EC-04]]=FALSE,Table1938[[#This Row],[EC-05]]=FALSE,Table1938[[#This Row],[EC-06]]=FALSE),TRUE,FALSE)</f>
        <v>0</v>
      </c>
      <c r="V42" s="2" t="b">
        <f>IF(Table1938[[#This Row],[Date]]&lt;&gt;"",AND(YEAR(Table1938[[#This Row],[Date]])&gt;=2010, YEAR(Table1938[[#This Row],[Date]])&lt;=2024),FALSE)</f>
        <v>0</v>
      </c>
      <c r="W42" s="2" t="b">
        <f>IF(Table1938[[#This Row],[Date]]&lt;&gt;"",AND(YEAR(Table1938[[#This Row],[Date]])&gt;=2010, YEAR(Table1938[[#This Row],[Date]])&lt;=2020),FALSE)</f>
        <v>0</v>
      </c>
      <c r="X42" s="2" t="b">
        <f>IF(AND(Table1938[[#This Row],[Accesible]]=TRUE,Table1938[[#This Row],[DOI]]&lt;&gt;""),TRUE,FALSE)</f>
        <v>0</v>
      </c>
      <c r="Y42" s="2" t="b">
        <f>OR(Table1938[[#This Row],[Document Type]]="journalArticle",Table1938[[#This Row],[Document Type]]="conferencePaper",Table1938[[#This Row],[Document Type]]="review")</f>
        <v>0</v>
      </c>
      <c r="Z42" s="2" t="b" cm="1">
        <f t="array" ref="Z42">SUMPRODUCT(--ISNUMBER(SEARCH({"dimensional analysis","dimensionless coefficients","Π","Pi","theorem","software","design","tools","development","architecture","similar"}, LOWER(Table1938[[#This Row],[Title]]))))&gt;0</f>
        <v>0</v>
      </c>
      <c r="AA42" s="2" t="b" cm="1">
        <f t="array" ref="AA42">SUMPRODUCT(--ISNUMBER(SEARCH({"dimensional analysis","dimensionless coefficients","Π","Pi","theorem","software","design","tools","development","architecture","similar"}, LOWER(Table1938[[#This Row],[Abstract]]))))&gt;0</f>
        <v>0</v>
      </c>
      <c r="AB42" s="2" t="b">
        <f>AND(OR(Table1938[[#This Row],[IC-01 @2024]:[IC-01 @2020]])=TRUE,Table1938[[#This Row],[IC-02]]=TRUE,Table1938[[#This Row],[IC-03]]=TRUE,Table1938[[#This Row],[IC-04]]=TRUE,Table1938[[#This Row],[IC-05]]=TRUE)</f>
        <v>0</v>
      </c>
      <c r="AC42" s="2" t="b">
        <f>AND(Table1938[[#This Row],[Pass-IC]]=TRUE,Table1938[[#This Row],[Pass-EC]]=TRUE)</f>
        <v>0</v>
      </c>
      <c r="AD42" s="2" t="b">
        <f>COUNTIF($D$25:D42, Table1938[[#This Row],[Title]]) = 1</f>
        <v>1</v>
      </c>
      <c r="AE42" s="2" t="b">
        <f>AND(Table1938[[#This Row],[IC + EC]:[Unique]])</f>
        <v>0</v>
      </c>
      <c r="AF42" s="2" t="b">
        <v>0</v>
      </c>
      <c r="AG42" s="2" t="b">
        <v>0</v>
      </c>
      <c r="AH42" s="2" t="b">
        <v>0</v>
      </c>
      <c r="AI42" s="2" t="b">
        <f>IF(AND(Table1938[[#This Row],[Double Check]]=TRUE,Table1938[[#This Row],[Inspected]]=TRUE,Table1938[[#This Row],[Relevant]]=TRUE),TRUE,FALSE)</f>
        <v>0</v>
      </c>
    </row>
    <row r="43" spans="1:35" ht="57.35" x14ac:dyDescent="0.5">
      <c r="A43" s="2">
        <v>42</v>
      </c>
      <c r="B43" s="20" t="s">
        <v>2</v>
      </c>
      <c r="C43" s="20" t="s">
        <v>2641</v>
      </c>
      <c r="D43" s="20" t="s">
        <v>2642</v>
      </c>
      <c r="E43" s="20" t="s">
        <v>123</v>
      </c>
      <c r="F43" s="2" t="s">
        <v>123</v>
      </c>
      <c r="G43" s="20" t="s">
        <v>2535</v>
      </c>
      <c r="H43" s="36" t="s">
        <v>123</v>
      </c>
      <c r="I43" s="20" t="s">
        <v>123</v>
      </c>
      <c r="J43" s="20" t="s">
        <v>2520</v>
      </c>
      <c r="K43" s="20" t="s">
        <v>123</v>
      </c>
      <c r="L43" s="20" t="s">
        <v>642</v>
      </c>
      <c r="M43" s="20" t="s">
        <v>123</v>
      </c>
      <c r="N43" s="20" t="b">
        <v>1</v>
      </c>
      <c r="O43" s="2" t="b">
        <f>IF(Table1938[[#This Row],[Title]]="",TRUE,FALSE)</f>
        <v>0</v>
      </c>
      <c r="P43" s="2" t="b">
        <f>IF(Table1938[[#This Row],[Author]]="",TRUE,FALSE)</f>
        <v>1</v>
      </c>
      <c r="Q43" s="2" t="b">
        <f>IF(Table1938[[#This Row],[DOI]]&lt;&gt;"", FALSE,TRUE)</f>
        <v>1</v>
      </c>
      <c r="R43" s="2" t="b">
        <f>IF(Table1938[[#This Row],[Abstract]]="",TRUE,FALSE)</f>
        <v>1</v>
      </c>
      <c r="S43" s="2" t="b">
        <f>IF(OR(Table1938[[#This Row],[Document Type]]="book",Table1938[[#This Row],[Document Type]]="bookSection"),TRUE,FALSE)</f>
        <v>0</v>
      </c>
      <c r="T43" s="2" t="b">
        <f>NOT(IF(OR(Table1938[[#This Row],[Language]]&lt;&gt;"en",Table1938[[#This Row],[Language]]&lt;&gt;"EN",Table1938[[#This Row],[Language]]&lt;&gt;"spa",Table1938[[#This Row],[Language]]&lt;&gt;"SPA"),TRUE,FALSE))</f>
        <v>0</v>
      </c>
      <c r="U43" s="2" t="b">
        <f>IF(AND(Table1938[[#This Row],[EC-01]]=FALSE,Table1938[[#This Row],[EC-02]]=FALSE,Table1938[[#This Row],[EC-03]]=FALSE,Table1938[[#This Row],[EC-04]]=FALSE,Table1938[[#This Row],[EC-05]]=FALSE,Table1938[[#This Row],[EC-06]]=FALSE),TRUE,FALSE)</f>
        <v>0</v>
      </c>
      <c r="V43" s="2" t="b">
        <f>IF(Table1938[[#This Row],[Date]]&lt;&gt;"",AND(YEAR(Table1938[[#This Row],[Date]])&gt;=2010, YEAR(Table1938[[#This Row],[Date]])&lt;=2024),FALSE)</f>
        <v>0</v>
      </c>
      <c r="W43" s="2" t="b">
        <f>IF(Table1938[[#This Row],[Date]]&lt;&gt;"",AND(YEAR(Table1938[[#This Row],[Date]])&gt;=2010, YEAR(Table1938[[#This Row],[Date]])&lt;=2020),FALSE)</f>
        <v>0</v>
      </c>
      <c r="X43" s="2" t="b">
        <f>IF(AND(Table1938[[#This Row],[Accesible]]=TRUE,Table1938[[#This Row],[DOI]]&lt;&gt;""),TRUE,FALSE)</f>
        <v>0</v>
      </c>
      <c r="Y43" s="2" t="b">
        <f>OR(Table1938[[#This Row],[Document Type]]="journalArticle",Table1938[[#This Row],[Document Type]]="conferencePaper",Table1938[[#This Row],[Document Type]]="review")</f>
        <v>0</v>
      </c>
      <c r="Z43" s="2" t="b" cm="1">
        <f t="array" ref="Z43">SUMPRODUCT(--ISNUMBER(SEARCH({"dimensional analysis","dimensionless coefficients","Π","Pi","theorem","software","design","tools","development","architecture","similar"}, LOWER(Table1938[[#This Row],[Title]]))))&gt;0</f>
        <v>0</v>
      </c>
      <c r="AA43" s="2" t="b" cm="1">
        <f t="array" ref="AA43">SUMPRODUCT(--ISNUMBER(SEARCH({"dimensional analysis","dimensionless coefficients","Π","Pi","theorem","software","design","tools","development","architecture","similar"}, LOWER(Table1938[[#This Row],[Abstract]]))))&gt;0</f>
        <v>0</v>
      </c>
      <c r="AB43" s="2" t="b">
        <f>AND(OR(Table1938[[#This Row],[IC-01 @2024]:[IC-01 @2020]])=TRUE,Table1938[[#This Row],[IC-02]]=TRUE,Table1938[[#This Row],[IC-03]]=TRUE,Table1938[[#This Row],[IC-04]]=TRUE,Table1938[[#This Row],[IC-05]]=TRUE)</f>
        <v>0</v>
      </c>
      <c r="AC43" s="2" t="b">
        <f>AND(Table1938[[#This Row],[Pass-IC]]=TRUE,Table1938[[#This Row],[Pass-EC]]=TRUE)</f>
        <v>0</v>
      </c>
      <c r="AD43" s="2" t="b">
        <f>COUNTIF($D$25:D43, Table1938[[#This Row],[Title]]) = 1</f>
        <v>1</v>
      </c>
      <c r="AE43" s="2" t="b">
        <f>AND(Table1938[[#This Row],[IC + EC]:[Unique]])</f>
        <v>0</v>
      </c>
      <c r="AF43" s="2" t="b">
        <v>0</v>
      </c>
      <c r="AG43" s="2" t="b">
        <v>0</v>
      </c>
      <c r="AH43" s="2" t="b">
        <v>0</v>
      </c>
      <c r="AI43" s="2" t="b">
        <f>IF(AND(Table1938[[#This Row],[Double Check]]=TRUE,Table1938[[#This Row],[Inspected]]=TRUE,Table1938[[#This Row],[Relevant]]=TRUE),TRUE,FALSE)</f>
        <v>0</v>
      </c>
    </row>
    <row r="44" spans="1:35" ht="57.35" x14ac:dyDescent="0.5">
      <c r="A44" s="2">
        <v>43</v>
      </c>
      <c r="B44" s="20" t="s">
        <v>2</v>
      </c>
      <c r="C44" s="20" t="s">
        <v>2643</v>
      </c>
      <c r="D44" s="20" t="s">
        <v>2644</v>
      </c>
      <c r="E44" s="20" t="s">
        <v>2645</v>
      </c>
      <c r="F44" s="2" t="s">
        <v>2646</v>
      </c>
      <c r="G44" s="20" t="s">
        <v>2647</v>
      </c>
      <c r="H44" s="36">
        <v>45070</v>
      </c>
      <c r="I44" s="20">
        <v>2023</v>
      </c>
      <c r="J44" s="20" t="s">
        <v>61</v>
      </c>
      <c r="K44" s="20" t="s">
        <v>123</v>
      </c>
      <c r="L44" s="20" t="s">
        <v>2515</v>
      </c>
      <c r="M44" s="20" t="s">
        <v>2648</v>
      </c>
      <c r="N44" s="20" t="b">
        <v>0</v>
      </c>
      <c r="O44" s="2" t="b">
        <f>IF(Table1938[[#This Row],[Title]]="",TRUE,FALSE)</f>
        <v>0</v>
      </c>
      <c r="P44" s="2" t="b">
        <f>IF(Table1938[[#This Row],[Author]]="",TRUE,FALSE)</f>
        <v>0</v>
      </c>
      <c r="Q44" s="2" t="b">
        <f>IF(Table1938[[#This Row],[DOI]]&lt;&gt;"", FALSE,TRUE)</f>
        <v>0</v>
      </c>
      <c r="R44" s="2" t="b">
        <f>IF(Table1938[[#This Row],[Abstract]]="",TRUE,FALSE)</f>
        <v>0</v>
      </c>
      <c r="S44" s="2" t="b">
        <f>IF(OR(Table1938[[#This Row],[Document Type]]="book",Table1938[[#This Row],[Document Type]]="bookSection"),TRUE,FALSE)</f>
        <v>0</v>
      </c>
      <c r="T44" s="2" t="b">
        <f>NOT(IF(OR(Table1938[[#This Row],[Language]]&lt;&gt;"en",Table1938[[#This Row],[Language]]&lt;&gt;"EN",Table1938[[#This Row],[Language]]&lt;&gt;"spa",Table1938[[#This Row],[Language]]&lt;&gt;"SPA"),TRUE,FALSE))</f>
        <v>0</v>
      </c>
      <c r="U44" s="2" t="b">
        <f>IF(AND(Table1938[[#This Row],[EC-01]]=FALSE,Table1938[[#This Row],[EC-02]]=FALSE,Table1938[[#This Row],[EC-03]]=FALSE,Table1938[[#This Row],[EC-04]]=FALSE,Table1938[[#This Row],[EC-05]]=FALSE,Table1938[[#This Row],[EC-06]]=FALSE),TRUE,FALSE)</f>
        <v>1</v>
      </c>
      <c r="V44" s="2" t="b">
        <f>IF(Table1938[[#This Row],[Date]]&lt;&gt;"",AND(YEAR(Table1938[[#This Row],[Date]])&gt;=2010, YEAR(Table1938[[#This Row],[Date]])&lt;=2024),FALSE)</f>
        <v>1</v>
      </c>
      <c r="W44" s="2" t="b">
        <f>IF(Table1938[[#This Row],[Date]]&lt;&gt;"",AND(YEAR(Table1938[[#This Row],[Date]])&gt;=2010, YEAR(Table1938[[#This Row],[Date]])&lt;=2020),FALSE)</f>
        <v>0</v>
      </c>
      <c r="X44" s="2" t="b">
        <f>IF(AND(Table1938[[#This Row],[Accesible]]=TRUE,Table1938[[#This Row],[DOI]]&lt;&gt;""),TRUE,FALSE)</f>
        <v>0</v>
      </c>
      <c r="Y44" s="2" t="b">
        <f>OR(Table1938[[#This Row],[Document Type]]="journalArticle",Table1938[[#This Row],[Document Type]]="conferencePaper",Table1938[[#This Row],[Document Type]]="review")</f>
        <v>1</v>
      </c>
      <c r="Z44" s="2" t="b" cm="1">
        <f t="array" ref="Z44">SUMPRODUCT(--ISNUMBER(SEARCH({"dimensional analysis","dimensionless coefficients","Π","Pi","theorem","software","design","tools","development","architecture","similar"}, LOWER(Table1938[[#This Row],[Title]]))))&gt;0</f>
        <v>0</v>
      </c>
      <c r="AA44" s="2" t="b" cm="1">
        <f t="array" ref="AA44">SUMPRODUCT(--ISNUMBER(SEARCH({"dimensional analysis","dimensionless coefficients","Π","Pi","theorem","software","design","tools","development","architecture","similar"}, LOWER(Table1938[[#This Row],[Abstract]]))))&gt;0</f>
        <v>1</v>
      </c>
      <c r="AB44" s="2" t="b">
        <f>AND(OR(Table1938[[#This Row],[IC-01 @2024]:[IC-01 @2020]])=TRUE,Table1938[[#This Row],[IC-02]]=TRUE,Table1938[[#This Row],[IC-03]]=TRUE,Table1938[[#This Row],[IC-04]]=TRUE,Table1938[[#This Row],[IC-05]]=TRUE)</f>
        <v>0</v>
      </c>
      <c r="AC44" s="2" t="b">
        <f>AND(Table1938[[#This Row],[Pass-IC]]=TRUE,Table1938[[#This Row],[Pass-EC]]=TRUE)</f>
        <v>0</v>
      </c>
      <c r="AD44" s="2" t="b">
        <f>COUNTIF($D$25:D44, Table1938[[#This Row],[Title]]) = 1</f>
        <v>1</v>
      </c>
      <c r="AE44" s="2" t="b">
        <f>AND(Table1938[[#This Row],[IC + EC]:[Unique]])</f>
        <v>0</v>
      </c>
      <c r="AF44" s="2" t="b">
        <v>0</v>
      </c>
      <c r="AG44" s="2" t="b">
        <v>0</v>
      </c>
      <c r="AH44" s="2" t="b">
        <v>0</v>
      </c>
      <c r="AI44" s="2" t="b">
        <f>IF(AND(Table1938[[#This Row],[Double Check]]=TRUE,Table1938[[#This Row],[Inspected]]=TRUE,Table1938[[#This Row],[Relevant]]=TRUE),TRUE,FALSE)</f>
        <v>0</v>
      </c>
    </row>
    <row r="45" spans="1:35" ht="43" x14ac:dyDescent="0.5">
      <c r="A45" s="2">
        <v>44</v>
      </c>
      <c r="B45" s="20" t="s">
        <v>2</v>
      </c>
      <c r="C45" s="20" t="s">
        <v>2649</v>
      </c>
      <c r="D45" s="20" t="s">
        <v>2650</v>
      </c>
      <c r="E45" s="20" t="s">
        <v>123</v>
      </c>
      <c r="F45" s="2" t="s">
        <v>123</v>
      </c>
      <c r="G45" s="20" t="s">
        <v>2519</v>
      </c>
      <c r="H45" s="36" t="s">
        <v>123</v>
      </c>
      <c r="I45" s="20" t="s">
        <v>123</v>
      </c>
      <c r="J45" s="20" t="s">
        <v>2520</v>
      </c>
      <c r="K45" s="20" t="s">
        <v>123</v>
      </c>
      <c r="L45" s="20" t="s">
        <v>642</v>
      </c>
      <c r="M45" s="20" t="s">
        <v>123</v>
      </c>
      <c r="N45" s="20" t="b">
        <v>1</v>
      </c>
      <c r="O45" s="2" t="b">
        <f>IF(Table1938[[#This Row],[Title]]="",TRUE,FALSE)</f>
        <v>0</v>
      </c>
      <c r="P45" s="2" t="b">
        <f>IF(Table1938[[#This Row],[Author]]="",TRUE,FALSE)</f>
        <v>1</v>
      </c>
      <c r="Q45" s="2" t="b">
        <f>IF(Table1938[[#This Row],[DOI]]&lt;&gt;"", FALSE,TRUE)</f>
        <v>1</v>
      </c>
      <c r="R45" s="2" t="b">
        <f>IF(Table1938[[#This Row],[Abstract]]="",TRUE,FALSE)</f>
        <v>1</v>
      </c>
      <c r="S45" s="2" t="b">
        <f>IF(OR(Table1938[[#This Row],[Document Type]]="book",Table1938[[#This Row],[Document Type]]="bookSection"),TRUE,FALSE)</f>
        <v>0</v>
      </c>
      <c r="T45" s="2" t="b">
        <f>NOT(IF(OR(Table1938[[#This Row],[Language]]&lt;&gt;"en",Table1938[[#This Row],[Language]]&lt;&gt;"EN",Table1938[[#This Row],[Language]]&lt;&gt;"spa",Table1938[[#This Row],[Language]]&lt;&gt;"SPA"),TRUE,FALSE))</f>
        <v>0</v>
      </c>
      <c r="U45" s="2" t="b">
        <f>IF(AND(Table1938[[#This Row],[EC-01]]=FALSE,Table1938[[#This Row],[EC-02]]=FALSE,Table1938[[#This Row],[EC-03]]=FALSE,Table1938[[#This Row],[EC-04]]=FALSE,Table1938[[#This Row],[EC-05]]=FALSE,Table1938[[#This Row],[EC-06]]=FALSE),TRUE,FALSE)</f>
        <v>0</v>
      </c>
      <c r="V45" s="2" t="b">
        <f>IF(Table1938[[#This Row],[Date]]&lt;&gt;"",AND(YEAR(Table1938[[#This Row],[Date]])&gt;=2010, YEAR(Table1938[[#This Row],[Date]])&lt;=2024),FALSE)</f>
        <v>0</v>
      </c>
      <c r="W45" s="2" t="b">
        <f>IF(Table1938[[#This Row],[Date]]&lt;&gt;"",AND(YEAR(Table1938[[#This Row],[Date]])&gt;=2010, YEAR(Table1938[[#This Row],[Date]])&lt;=2020),FALSE)</f>
        <v>0</v>
      </c>
      <c r="X45" s="2" t="b">
        <f>IF(AND(Table1938[[#This Row],[Accesible]]=TRUE,Table1938[[#This Row],[DOI]]&lt;&gt;""),TRUE,FALSE)</f>
        <v>0</v>
      </c>
      <c r="Y45" s="2" t="b">
        <f>OR(Table1938[[#This Row],[Document Type]]="journalArticle",Table1938[[#This Row],[Document Type]]="conferencePaper",Table1938[[#This Row],[Document Type]]="review")</f>
        <v>0</v>
      </c>
      <c r="Z45" s="2" t="b" cm="1">
        <f t="array" ref="Z45">SUMPRODUCT(--ISNUMBER(SEARCH({"dimensional analysis","dimensionless coefficients","Π","Pi","theorem","software","design","tools","development","architecture","similar"}, LOWER(Table1938[[#This Row],[Title]]))))&gt;0</f>
        <v>0</v>
      </c>
      <c r="AA45" s="2" t="b" cm="1">
        <f t="array" ref="AA45">SUMPRODUCT(--ISNUMBER(SEARCH({"dimensional analysis","dimensionless coefficients","Π","Pi","theorem","software","design","tools","development","architecture","similar"}, LOWER(Table1938[[#This Row],[Abstract]]))))&gt;0</f>
        <v>0</v>
      </c>
      <c r="AB45" s="2" t="b">
        <f>AND(OR(Table1938[[#This Row],[IC-01 @2024]:[IC-01 @2020]])=TRUE,Table1938[[#This Row],[IC-02]]=TRUE,Table1938[[#This Row],[IC-03]]=TRUE,Table1938[[#This Row],[IC-04]]=TRUE,Table1938[[#This Row],[IC-05]]=TRUE)</f>
        <v>0</v>
      </c>
      <c r="AC45" s="2" t="b">
        <f>AND(Table1938[[#This Row],[Pass-IC]]=TRUE,Table1938[[#This Row],[Pass-EC]]=TRUE)</f>
        <v>0</v>
      </c>
      <c r="AD45" s="2" t="b">
        <f>COUNTIF($D$25:D45, Table1938[[#This Row],[Title]]) = 1</f>
        <v>1</v>
      </c>
      <c r="AE45" s="2" t="b">
        <f>AND(Table1938[[#This Row],[IC + EC]:[Unique]])</f>
        <v>0</v>
      </c>
      <c r="AF45" s="2" t="b">
        <v>0</v>
      </c>
      <c r="AG45" s="2" t="b">
        <v>0</v>
      </c>
      <c r="AH45" s="2" t="b">
        <v>0</v>
      </c>
      <c r="AI45" s="2" t="b">
        <f>IF(AND(Table1938[[#This Row],[Double Check]]=TRUE,Table1938[[#This Row],[Inspected]]=TRUE,Table1938[[#This Row],[Relevant]]=TRUE),TRUE,FALSE)</f>
        <v>0</v>
      </c>
    </row>
    <row r="46" spans="1:35" ht="57.35" x14ac:dyDescent="0.5">
      <c r="A46" s="2">
        <v>45</v>
      </c>
      <c r="B46" s="20" t="s">
        <v>2</v>
      </c>
      <c r="C46" s="20" t="s">
        <v>2651</v>
      </c>
      <c r="D46" s="20" t="s">
        <v>2652</v>
      </c>
      <c r="E46" s="20" t="s">
        <v>123</v>
      </c>
      <c r="F46" s="2" t="s">
        <v>123</v>
      </c>
      <c r="G46" s="20" t="s">
        <v>2519</v>
      </c>
      <c r="H46" s="36" t="s">
        <v>123</v>
      </c>
      <c r="I46" s="20" t="s">
        <v>123</v>
      </c>
      <c r="J46" s="20" t="s">
        <v>2520</v>
      </c>
      <c r="K46" s="20" t="s">
        <v>123</v>
      </c>
      <c r="L46" s="20" t="s">
        <v>642</v>
      </c>
      <c r="M46" s="20" t="s">
        <v>123</v>
      </c>
      <c r="N46" s="20" t="b">
        <v>1</v>
      </c>
      <c r="O46" s="2" t="b">
        <f>IF(Table1938[[#This Row],[Title]]="",TRUE,FALSE)</f>
        <v>0</v>
      </c>
      <c r="P46" s="2" t="b">
        <f>IF(Table1938[[#This Row],[Author]]="",TRUE,FALSE)</f>
        <v>1</v>
      </c>
      <c r="Q46" s="2" t="b">
        <f>IF(Table1938[[#This Row],[DOI]]&lt;&gt;"", FALSE,TRUE)</f>
        <v>1</v>
      </c>
      <c r="R46" s="2" t="b">
        <f>IF(Table1938[[#This Row],[Abstract]]="",TRUE,FALSE)</f>
        <v>1</v>
      </c>
      <c r="S46" s="2" t="b">
        <f>IF(OR(Table1938[[#This Row],[Document Type]]="book",Table1938[[#This Row],[Document Type]]="bookSection"),TRUE,FALSE)</f>
        <v>0</v>
      </c>
      <c r="T46" s="2" t="b">
        <f>NOT(IF(OR(Table1938[[#This Row],[Language]]&lt;&gt;"en",Table1938[[#This Row],[Language]]&lt;&gt;"EN",Table1938[[#This Row],[Language]]&lt;&gt;"spa",Table1938[[#This Row],[Language]]&lt;&gt;"SPA"),TRUE,FALSE))</f>
        <v>0</v>
      </c>
      <c r="U46" s="2" t="b">
        <f>IF(AND(Table1938[[#This Row],[EC-01]]=FALSE,Table1938[[#This Row],[EC-02]]=FALSE,Table1938[[#This Row],[EC-03]]=FALSE,Table1938[[#This Row],[EC-04]]=FALSE,Table1938[[#This Row],[EC-05]]=FALSE,Table1938[[#This Row],[EC-06]]=FALSE),TRUE,FALSE)</f>
        <v>0</v>
      </c>
      <c r="V46" s="2" t="b">
        <f>IF(Table1938[[#This Row],[Date]]&lt;&gt;"",AND(YEAR(Table1938[[#This Row],[Date]])&gt;=2010, YEAR(Table1938[[#This Row],[Date]])&lt;=2024),FALSE)</f>
        <v>0</v>
      </c>
      <c r="W46" s="2" t="b">
        <f>IF(Table1938[[#This Row],[Date]]&lt;&gt;"",AND(YEAR(Table1938[[#This Row],[Date]])&gt;=2010, YEAR(Table1938[[#This Row],[Date]])&lt;=2020),FALSE)</f>
        <v>0</v>
      </c>
      <c r="X46" s="2" t="b">
        <f>IF(AND(Table1938[[#This Row],[Accesible]]=TRUE,Table1938[[#This Row],[DOI]]&lt;&gt;""),TRUE,FALSE)</f>
        <v>0</v>
      </c>
      <c r="Y46" s="2" t="b">
        <f>OR(Table1938[[#This Row],[Document Type]]="journalArticle",Table1938[[#This Row],[Document Type]]="conferencePaper",Table1938[[#This Row],[Document Type]]="review")</f>
        <v>0</v>
      </c>
      <c r="Z46" s="2" t="b" cm="1">
        <f t="array" ref="Z46">SUMPRODUCT(--ISNUMBER(SEARCH({"dimensional analysis","dimensionless coefficients","Π","Pi","theorem","software","design","tools","development","architecture","similar"}, LOWER(Table1938[[#This Row],[Title]]))))&gt;0</f>
        <v>1</v>
      </c>
      <c r="AA46" s="2" t="b" cm="1">
        <f t="array" ref="AA46">SUMPRODUCT(--ISNUMBER(SEARCH({"dimensional analysis","dimensionless coefficients","Π","Pi","theorem","software","design","tools","development","architecture","similar"}, LOWER(Table1938[[#This Row],[Abstract]]))))&gt;0</f>
        <v>0</v>
      </c>
      <c r="AB46" s="2" t="b">
        <f>AND(OR(Table1938[[#This Row],[IC-01 @2024]:[IC-01 @2020]])=TRUE,Table1938[[#This Row],[IC-02]]=TRUE,Table1938[[#This Row],[IC-03]]=TRUE,Table1938[[#This Row],[IC-04]]=TRUE,Table1938[[#This Row],[IC-05]]=TRUE)</f>
        <v>0</v>
      </c>
      <c r="AC46" s="2" t="b">
        <f>AND(Table1938[[#This Row],[Pass-IC]]=TRUE,Table1938[[#This Row],[Pass-EC]]=TRUE)</f>
        <v>0</v>
      </c>
      <c r="AD46" s="2" t="b">
        <f>COUNTIF($D$25:D46, Table1938[[#This Row],[Title]]) = 1</f>
        <v>1</v>
      </c>
      <c r="AE46" s="2" t="b">
        <f>AND(Table1938[[#This Row],[IC + EC]:[Unique]])</f>
        <v>0</v>
      </c>
      <c r="AF46" s="2" t="b">
        <v>0</v>
      </c>
      <c r="AG46" s="2" t="b">
        <v>0</v>
      </c>
      <c r="AH46" s="2" t="b">
        <v>0</v>
      </c>
      <c r="AI46" s="2" t="b">
        <f>IF(AND(Table1938[[#This Row],[Double Check]]=TRUE,Table1938[[#This Row],[Inspected]]=TRUE,Table1938[[#This Row],[Relevant]]=TRUE),TRUE,FALSE)</f>
        <v>0</v>
      </c>
    </row>
    <row r="47" spans="1:35" ht="43" x14ac:dyDescent="0.5">
      <c r="A47" s="2">
        <v>46</v>
      </c>
      <c r="B47" s="20" t="s">
        <v>2</v>
      </c>
      <c r="C47" s="20" t="s">
        <v>2653</v>
      </c>
      <c r="D47" s="20" t="s">
        <v>2654</v>
      </c>
      <c r="E47" s="20" t="s">
        <v>123</v>
      </c>
      <c r="F47" s="2" t="s">
        <v>123</v>
      </c>
      <c r="G47" s="20" t="s">
        <v>2519</v>
      </c>
      <c r="H47" s="36" t="s">
        <v>123</v>
      </c>
      <c r="I47" s="20" t="s">
        <v>123</v>
      </c>
      <c r="J47" s="20" t="s">
        <v>2520</v>
      </c>
      <c r="K47" s="20" t="s">
        <v>123</v>
      </c>
      <c r="L47" s="20" t="s">
        <v>642</v>
      </c>
      <c r="M47" s="20" t="s">
        <v>123</v>
      </c>
      <c r="N47" s="20" t="b">
        <v>1</v>
      </c>
      <c r="O47" s="2" t="b">
        <f>IF(Table1938[[#This Row],[Title]]="",TRUE,FALSE)</f>
        <v>0</v>
      </c>
      <c r="P47" s="2" t="b">
        <f>IF(Table1938[[#This Row],[Author]]="",TRUE,FALSE)</f>
        <v>1</v>
      </c>
      <c r="Q47" s="2" t="b">
        <f>IF(Table1938[[#This Row],[DOI]]&lt;&gt;"", FALSE,TRUE)</f>
        <v>1</v>
      </c>
      <c r="R47" s="2" t="b">
        <f>IF(Table1938[[#This Row],[Abstract]]="",TRUE,FALSE)</f>
        <v>1</v>
      </c>
      <c r="S47" s="2" t="b">
        <f>IF(OR(Table1938[[#This Row],[Document Type]]="book",Table1938[[#This Row],[Document Type]]="bookSection"),TRUE,FALSE)</f>
        <v>0</v>
      </c>
      <c r="T47" s="2" t="b">
        <f>NOT(IF(OR(Table1938[[#This Row],[Language]]&lt;&gt;"en",Table1938[[#This Row],[Language]]&lt;&gt;"EN",Table1938[[#This Row],[Language]]&lt;&gt;"spa",Table1938[[#This Row],[Language]]&lt;&gt;"SPA"),TRUE,FALSE))</f>
        <v>0</v>
      </c>
      <c r="U47" s="2" t="b">
        <f>IF(AND(Table1938[[#This Row],[EC-01]]=FALSE,Table1938[[#This Row],[EC-02]]=FALSE,Table1938[[#This Row],[EC-03]]=FALSE,Table1938[[#This Row],[EC-04]]=FALSE,Table1938[[#This Row],[EC-05]]=FALSE,Table1938[[#This Row],[EC-06]]=FALSE),TRUE,FALSE)</f>
        <v>0</v>
      </c>
      <c r="V47" s="2" t="b">
        <f>IF(Table1938[[#This Row],[Date]]&lt;&gt;"",AND(YEAR(Table1938[[#This Row],[Date]])&gt;=2010, YEAR(Table1938[[#This Row],[Date]])&lt;=2024),FALSE)</f>
        <v>0</v>
      </c>
      <c r="W47" s="2" t="b">
        <f>IF(Table1938[[#This Row],[Date]]&lt;&gt;"",AND(YEAR(Table1938[[#This Row],[Date]])&gt;=2010, YEAR(Table1938[[#This Row],[Date]])&lt;=2020),FALSE)</f>
        <v>0</v>
      </c>
      <c r="X47" s="2" t="b">
        <f>IF(AND(Table1938[[#This Row],[Accesible]]=TRUE,Table1938[[#This Row],[DOI]]&lt;&gt;""),TRUE,FALSE)</f>
        <v>0</v>
      </c>
      <c r="Y47" s="2" t="b">
        <f>OR(Table1938[[#This Row],[Document Type]]="journalArticle",Table1938[[#This Row],[Document Type]]="conferencePaper",Table1938[[#This Row],[Document Type]]="review")</f>
        <v>0</v>
      </c>
      <c r="Z47" s="2" t="b" cm="1">
        <f t="array" ref="Z47">SUMPRODUCT(--ISNUMBER(SEARCH({"dimensional analysis","dimensionless coefficients","Π","Pi","theorem","software","design","tools","development","architecture","similar"}, LOWER(Table1938[[#This Row],[Title]]))))&gt;0</f>
        <v>1</v>
      </c>
      <c r="AA47" s="2" t="b" cm="1">
        <f t="array" ref="AA47">SUMPRODUCT(--ISNUMBER(SEARCH({"dimensional analysis","dimensionless coefficients","Π","Pi","theorem","software","design","tools","development","architecture","similar"}, LOWER(Table1938[[#This Row],[Abstract]]))))&gt;0</f>
        <v>0</v>
      </c>
      <c r="AB47" s="2" t="b">
        <f>AND(OR(Table1938[[#This Row],[IC-01 @2024]:[IC-01 @2020]])=TRUE,Table1938[[#This Row],[IC-02]]=TRUE,Table1938[[#This Row],[IC-03]]=TRUE,Table1938[[#This Row],[IC-04]]=TRUE,Table1938[[#This Row],[IC-05]]=TRUE)</f>
        <v>0</v>
      </c>
      <c r="AC47" s="2" t="b">
        <f>AND(Table1938[[#This Row],[Pass-IC]]=TRUE,Table1938[[#This Row],[Pass-EC]]=TRUE)</f>
        <v>0</v>
      </c>
      <c r="AD47" s="2" t="b">
        <f>COUNTIF($D$25:D47, Table1938[[#This Row],[Title]]) = 1</f>
        <v>1</v>
      </c>
      <c r="AE47" s="2" t="b">
        <f>AND(Table1938[[#This Row],[IC + EC]:[Unique]])</f>
        <v>0</v>
      </c>
      <c r="AF47" s="2" t="b">
        <v>0</v>
      </c>
      <c r="AG47" s="2" t="b">
        <v>0</v>
      </c>
      <c r="AH47" s="2" t="b">
        <v>0</v>
      </c>
      <c r="AI47" s="2" t="b">
        <f>IF(AND(Table1938[[#This Row],[Double Check]]=TRUE,Table1938[[#This Row],[Inspected]]=TRUE,Table1938[[#This Row],[Relevant]]=TRUE),TRUE,FALSE)</f>
        <v>0</v>
      </c>
    </row>
    <row r="48" spans="1:35" ht="43" x14ac:dyDescent="0.5">
      <c r="A48" s="2">
        <v>47</v>
      </c>
      <c r="B48" s="20" t="s">
        <v>2</v>
      </c>
      <c r="C48" s="20" t="s">
        <v>2655</v>
      </c>
      <c r="D48" s="20" t="s">
        <v>456</v>
      </c>
      <c r="E48" s="20" t="s">
        <v>451</v>
      </c>
      <c r="F48" s="2" t="s">
        <v>462</v>
      </c>
      <c r="G48" s="20" t="s">
        <v>466</v>
      </c>
      <c r="H48" s="36">
        <v>40909</v>
      </c>
      <c r="I48" s="20">
        <v>2012</v>
      </c>
      <c r="J48" s="20" t="s">
        <v>62</v>
      </c>
      <c r="K48" s="20" t="s">
        <v>2656</v>
      </c>
      <c r="L48" s="20" t="s">
        <v>2515</v>
      </c>
      <c r="M48" s="20" t="s">
        <v>445</v>
      </c>
      <c r="N48" s="20" t="b">
        <v>1</v>
      </c>
      <c r="O48" s="2" t="b">
        <f>IF(Table1938[[#This Row],[Title]]="",TRUE,FALSE)</f>
        <v>0</v>
      </c>
      <c r="P48" s="2" t="b">
        <f>IF(Table1938[[#This Row],[Author]]="",TRUE,FALSE)</f>
        <v>0</v>
      </c>
      <c r="Q48" s="2" t="b">
        <f>IF(Table1938[[#This Row],[DOI]]&lt;&gt;"", FALSE,TRUE)</f>
        <v>0</v>
      </c>
      <c r="R48" s="2" t="b">
        <f>IF(Table1938[[#This Row],[Abstract]]="",TRUE,FALSE)</f>
        <v>0</v>
      </c>
      <c r="S48" s="2" t="b">
        <f>IF(OR(Table1938[[#This Row],[Document Type]]="book",Table1938[[#This Row],[Document Type]]="bookSection"),TRUE,FALSE)</f>
        <v>0</v>
      </c>
      <c r="T48" s="2" t="b">
        <f>NOT(IF(OR(Table1938[[#This Row],[Language]]&lt;&gt;"en",Table1938[[#This Row],[Language]]&lt;&gt;"EN",Table1938[[#This Row],[Language]]&lt;&gt;"spa",Table1938[[#This Row],[Language]]&lt;&gt;"SPA"),TRUE,FALSE))</f>
        <v>0</v>
      </c>
      <c r="U48" s="2" t="b">
        <f>IF(AND(Table1938[[#This Row],[EC-01]]=FALSE,Table1938[[#This Row],[EC-02]]=FALSE,Table1938[[#This Row],[EC-03]]=FALSE,Table1938[[#This Row],[EC-04]]=FALSE,Table1938[[#This Row],[EC-05]]=FALSE,Table1938[[#This Row],[EC-06]]=FALSE),TRUE,FALSE)</f>
        <v>1</v>
      </c>
      <c r="V48" s="2" t="b">
        <f>IF(Table1938[[#This Row],[Date]]&lt;&gt;"",AND(YEAR(Table1938[[#This Row],[Date]])&gt;=2010, YEAR(Table1938[[#This Row],[Date]])&lt;=2024),FALSE)</f>
        <v>1</v>
      </c>
      <c r="W48" s="2" t="b">
        <f>IF(Table1938[[#This Row],[Date]]&lt;&gt;"",AND(YEAR(Table1938[[#This Row],[Date]])&gt;=2010, YEAR(Table1938[[#This Row],[Date]])&lt;=2020),FALSE)</f>
        <v>1</v>
      </c>
      <c r="X48" s="2" t="b">
        <f>IF(AND(Table1938[[#This Row],[Accesible]]=TRUE,Table1938[[#This Row],[DOI]]&lt;&gt;""),TRUE,FALSE)</f>
        <v>1</v>
      </c>
      <c r="Y48" s="2" t="b">
        <f>OR(Table1938[[#This Row],[Document Type]]="journalArticle",Table1938[[#This Row],[Document Type]]="conferencePaper",Table1938[[#This Row],[Document Type]]="review")</f>
        <v>1</v>
      </c>
      <c r="Z48" s="2" t="b" cm="1">
        <f t="array" ref="Z48">SUMPRODUCT(--ISNUMBER(SEARCH({"dimensional analysis","dimensionless coefficients","Π","Pi","theorem","software","design","tools","development","architecture","similar"}, LOWER(Table1938[[#This Row],[Title]]))))&gt;0</f>
        <v>0</v>
      </c>
      <c r="AA48" s="2" t="b" cm="1">
        <f t="array" ref="AA48">SUMPRODUCT(--ISNUMBER(SEARCH({"dimensional analysis","dimensionless coefficients","Π","Pi","theorem","software","design","tools","development","architecture","similar"}, LOWER(Table1938[[#This Row],[Abstract]]))))&gt;0</f>
        <v>1</v>
      </c>
      <c r="AB48" s="2" t="b">
        <f>AND(OR(Table1938[[#This Row],[IC-01 @2024]:[IC-01 @2020]])=TRUE,Table1938[[#This Row],[IC-02]]=TRUE,Table1938[[#This Row],[IC-03]]=TRUE,Table1938[[#This Row],[IC-04]]=TRUE,Table1938[[#This Row],[IC-05]]=TRUE)</f>
        <v>0</v>
      </c>
      <c r="AC48" s="2" t="b">
        <f>AND(Table1938[[#This Row],[Pass-IC]]=TRUE,Table1938[[#This Row],[Pass-EC]]=TRUE)</f>
        <v>0</v>
      </c>
      <c r="AD48" s="2" t="b">
        <f>COUNTIF($D$25:D48, Table1938[[#This Row],[Title]]) = 1</f>
        <v>1</v>
      </c>
      <c r="AE48" s="2" t="b">
        <f>AND(Table1938[[#This Row],[IC + EC]:[Unique]])</f>
        <v>0</v>
      </c>
      <c r="AF48" s="2" t="b">
        <v>0</v>
      </c>
      <c r="AG48" s="2" t="b">
        <v>0</v>
      </c>
      <c r="AH48" s="2" t="b">
        <v>0</v>
      </c>
      <c r="AI48" s="2" t="b">
        <f>IF(AND(Table1938[[#This Row],[Double Check]]=TRUE,Table1938[[#This Row],[Inspected]]=TRUE,Table1938[[#This Row],[Relevant]]=TRUE),TRUE,FALSE)</f>
        <v>0</v>
      </c>
    </row>
    <row r="49" spans="1:35" ht="57.35" x14ac:dyDescent="0.5">
      <c r="A49" s="2">
        <v>48</v>
      </c>
      <c r="B49" s="20" t="s">
        <v>2</v>
      </c>
      <c r="C49" s="20" t="s">
        <v>2657</v>
      </c>
      <c r="D49" s="20" t="s">
        <v>2658</v>
      </c>
      <c r="E49" s="20" t="s">
        <v>123</v>
      </c>
      <c r="F49" s="2" t="s">
        <v>123</v>
      </c>
      <c r="G49" s="20" t="s">
        <v>2519</v>
      </c>
      <c r="H49" s="36" t="s">
        <v>123</v>
      </c>
      <c r="I49" s="20" t="s">
        <v>123</v>
      </c>
      <c r="J49" s="20" t="s">
        <v>2520</v>
      </c>
      <c r="K49" s="20" t="s">
        <v>123</v>
      </c>
      <c r="L49" s="20" t="s">
        <v>642</v>
      </c>
      <c r="M49" s="20" t="s">
        <v>123</v>
      </c>
      <c r="N49" s="20" t="b">
        <v>1</v>
      </c>
      <c r="O49" s="2" t="b">
        <f>IF(Table1938[[#This Row],[Title]]="",TRUE,FALSE)</f>
        <v>0</v>
      </c>
      <c r="P49" s="2" t="b">
        <f>IF(Table1938[[#This Row],[Author]]="",TRUE,FALSE)</f>
        <v>1</v>
      </c>
      <c r="Q49" s="2" t="b">
        <f>IF(Table1938[[#This Row],[DOI]]&lt;&gt;"", FALSE,TRUE)</f>
        <v>1</v>
      </c>
      <c r="R49" s="2" t="b">
        <f>IF(Table1938[[#This Row],[Abstract]]="",TRUE,FALSE)</f>
        <v>1</v>
      </c>
      <c r="S49" s="2" t="b">
        <f>IF(OR(Table1938[[#This Row],[Document Type]]="book",Table1938[[#This Row],[Document Type]]="bookSection"),TRUE,FALSE)</f>
        <v>0</v>
      </c>
      <c r="T49" s="2" t="b">
        <f>NOT(IF(OR(Table1938[[#This Row],[Language]]&lt;&gt;"en",Table1938[[#This Row],[Language]]&lt;&gt;"EN",Table1938[[#This Row],[Language]]&lt;&gt;"spa",Table1938[[#This Row],[Language]]&lt;&gt;"SPA"),TRUE,FALSE))</f>
        <v>0</v>
      </c>
      <c r="U49" s="2" t="b">
        <f>IF(AND(Table1938[[#This Row],[EC-01]]=FALSE,Table1938[[#This Row],[EC-02]]=FALSE,Table1938[[#This Row],[EC-03]]=FALSE,Table1938[[#This Row],[EC-04]]=FALSE,Table1938[[#This Row],[EC-05]]=FALSE,Table1938[[#This Row],[EC-06]]=FALSE),TRUE,FALSE)</f>
        <v>0</v>
      </c>
      <c r="V49" s="2" t="b">
        <f>IF(Table1938[[#This Row],[Date]]&lt;&gt;"",AND(YEAR(Table1938[[#This Row],[Date]])&gt;=2010, YEAR(Table1938[[#This Row],[Date]])&lt;=2024),FALSE)</f>
        <v>0</v>
      </c>
      <c r="W49" s="2" t="b">
        <f>IF(Table1938[[#This Row],[Date]]&lt;&gt;"",AND(YEAR(Table1938[[#This Row],[Date]])&gt;=2010, YEAR(Table1938[[#This Row],[Date]])&lt;=2020),FALSE)</f>
        <v>0</v>
      </c>
      <c r="X49" s="2" t="b">
        <f>IF(AND(Table1938[[#This Row],[Accesible]]=TRUE,Table1938[[#This Row],[DOI]]&lt;&gt;""),TRUE,FALSE)</f>
        <v>0</v>
      </c>
      <c r="Y49" s="2" t="b">
        <f>OR(Table1938[[#This Row],[Document Type]]="journalArticle",Table1938[[#This Row],[Document Type]]="conferencePaper",Table1938[[#This Row],[Document Type]]="review")</f>
        <v>0</v>
      </c>
      <c r="Z49" s="2" t="b" cm="1">
        <f t="array" ref="Z49">SUMPRODUCT(--ISNUMBER(SEARCH({"dimensional analysis","dimensionless coefficients","Π","Pi","theorem","software","design","tools","development","architecture","similar"}, LOWER(Table1938[[#This Row],[Title]]))))&gt;0</f>
        <v>0</v>
      </c>
      <c r="AA49" s="2" t="b" cm="1">
        <f t="array" ref="AA49">SUMPRODUCT(--ISNUMBER(SEARCH({"dimensional analysis","dimensionless coefficients","Π","Pi","theorem","software","design","tools","development","architecture","similar"}, LOWER(Table1938[[#This Row],[Abstract]]))))&gt;0</f>
        <v>0</v>
      </c>
      <c r="AB49" s="2" t="b">
        <f>AND(OR(Table1938[[#This Row],[IC-01 @2024]:[IC-01 @2020]])=TRUE,Table1938[[#This Row],[IC-02]]=TRUE,Table1938[[#This Row],[IC-03]]=TRUE,Table1938[[#This Row],[IC-04]]=TRUE,Table1938[[#This Row],[IC-05]]=TRUE)</f>
        <v>0</v>
      </c>
      <c r="AC49" s="2" t="b">
        <f>AND(Table1938[[#This Row],[Pass-IC]]=TRUE,Table1938[[#This Row],[Pass-EC]]=TRUE)</f>
        <v>0</v>
      </c>
      <c r="AD49" s="2" t="b">
        <f>COUNTIF($D$25:D49, Table1938[[#This Row],[Title]]) = 1</f>
        <v>1</v>
      </c>
      <c r="AE49" s="2" t="b">
        <f>AND(Table1938[[#This Row],[IC + EC]:[Unique]])</f>
        <v>0</v>
      </c>
      <c r="AF49" s="2" t="b">
        <v>0</v>
      </c>
      <c r="AG49" s="2" t="b">
        <v>0</v>
      </c>
      <c r="AH49" s="2" t="b">
        <v>0</v>
      </c>
      <c r="AI49" s="2" t="b">
        <f>IF(AND(Table1938[[#This Row],[Double Check]]=TRUE,Table1938[[#This Row],[Inspected]]=TRUE,Table1938[[#This Row],[Relevant]]=TRUE),TRUE,FALSE)</f>
        <v>0</v>
      </c>
    </row>
    <row r="50" spans="1:35" ht="57.35" x14ac:dyDescent="0.5">
      <c r="A50" s="2">
        <v>49</v>
      </c>
      <c r="B50" s="20" t="s">
        <v>2</v>
      </c>
      <c r="C50" s="20" t="s">
        <v>2659</v>
      </c>
      <c r="D50" s="20" t="s">
        <v>2660</v>
      </c>
      <c r="E50" s="20" t="s">
        <v>2661</v>
      </c>
      <c r="F50" s="2" t="s">
        <v>2662</v>
      </c>
      <c r="G50" s="20" t="s">
        <v>2663</v>
      </c>
      <c r="H50" s="36">
        <v>46021</v>
      </c>
      <c r="I50" s="20">
        <v>2025</v>
      </c>
      <c r="J50" s="20" t="s">
        <v>61</v>
      </c>
      <c r="K50" s="20" t="s">
        <v>123</v>
      </c>
      <c r="L50" s="20" t="s">
        <v>2515</v>
      </c>
      <c r="M50" s="20" t="s">
        <v>2664</v>
      </c>
      <c r="N50" s="20" t="b">
        <v>0</v>
      </c>
      <c r="O50" s="2" t="b">
        <f>IF(Table1938[[#This Row],[Title]]="",TRUE,FALSE)</f>
        <v>0</v>
      </c>
      <c r="P50" s="2" t="b">
        <f>IF(Table1938[[#This Row],[Author]]="",TRUE,FALSE)</f>
        <v>0</v>
      </c>
      <c r="Q50" s="2" t="b">
        <f>IF(Table1938[[#This Row],[DOI]]&lt;&gt;"", FALSE,TRUE)</f>
        <v>0</v>
      </c>
      <c r="R50" s="2" t="b">
        <f>IF(Table1938[[#This Row],[Abstract]]="",TRUE,FALSE)</f>
        <v>0</v>
      </c>
      <c r="S50" s="2" t="b">
        <f>IF(OR(Table1938[[#This Row],[Document Type]]="book",Table1938[[#This Row],[Document Type]]="bookSection"),TRUE,FALSE)</f>
        <v>0</v>
      </c>
      <c r="T50" s="2" t="b">
        <f>NOT(IF(OR(Table1938[[#This Row],[Language]]&lt;&gt;"en",Table1938[[#This Row],[Language]]&lt;&gt;"EN",Table1938[[#This Row],[Language]]&lt;&gt;"spa",Table1938[[#This Row],[Language]]&lt;&gt;"SPA"),TRUE,FALSE))</f>
        <v>0</v>
      </c>
      <c r="U50" s="2" t="b">
        <f>IF(AND(Table1938[[#This Row],[EC-01]]=FALSE,Table1938[[#This Row],[EC-02]]=FALSE,Table1938[[#This Row],[EC-03]]=FALSE,Table1938[[#This Row],[EC-04]]=FALSE,Table1938[[#This Row],[EC-05]]=FALSE,Table1938[[#This Row],[EC-06]]=FALSE),TRUE,FALSE)</f>
        <v>1</v>
      </c>
      <c r="V50" s="2" t="b">
        <f>IF(Table1938[[#This Row],[Date]]&lt;&gt;"",AND(YEAR(Table1938[[#This Row],[Date]])&gt;=2010, YEAR(Table1938[[#This Row],[Date]])&lt;=2024),FALSE)</f>
        <v>0</v>
      </c>
      <c r="W50" s="2" t="b">
        <f>IF(Table1938[[#This Row],[Date]]&lt;&gt;"",AND(YEAR(Table1938[[#This Row],[Date]])&gt;=2010, YEAR(Table1938[[#This Row],[Date]])&lt;=2020),FALSE)</f>
        <v>0</v>
      </c>
      <c r="X50" s="2" t="b">
        <f>IF(AND(Table1938[[#This Row],[Accesible]]=TRUE,Table1938[[#This Row],[DOI]]&lt;&gt;""),TRUE,FALSE)</f>
        <v>0</v>
      </c>
      <c r="Y50" s="2" t="b">
        <f>OR(Table1938[[#This Row],[Document Type]]="journalArticle",Table1938[[#This Row],[Document Type]]="conferencePaper",Table1938[[#This Row],[Document Type]]="review")</f>
        <v>1</v>
      </c>
      <c r="Z50" s="2" t="b" cm="1">
        <f t="array" ref="Z50">SUMPRODUCT(--ISNUMBER(SEARCH({"dimensional analysis","dimensionless coefficients","Π","Pi","theorem","software","design","tools","development","architecture","similar"}, LOWER(Table1938[[#This Row],[Title]]))))&gt;0</f>
        <v>0</v>
      </c>
      <c r="AA50" s="2" t="b" cm="1">
        <f t="array" ref="AA50">SUMPRODUCT(--ISNUMBER(SEARCH({"dimensional analysis","dimensionless coefficients","Π","Pi","theorem","software","design","tools","development","architecture","similar"}, LOWER(Table1938[[#This Row],[Abstract]]))))&gt;0</f>
        <v>1</v>
      </c>
      <c r="AB50" s="2" t="b">
        <f>AND(OR(Table1938[[#This Row],[IC-01 @2024]:[IC-01 @2020]])=TRUE,Table1938[[#This Row],[IC-02]]=TRUE,Table1938[[#This Row],[IC-03]]=TRUE,Table1938[[#This Row],[IC-04]]=TRUE,Table1938[[#This Row],[IC-05]]=TRUE)</f>
        <v>0</v>
      </c>
      <c r="AC50" s="2" t="b">
        <f>AND(Table1938[[#This Row],[Pass-IC]]=TRUE,Table1938[[#This Row],[Pass-EC]]=TRUE)</f>
        <v>0</v>
      </c>
      <c r="AD50" s="2" t="b">
        <f>COUNTIF($D$25:D50, Table1938[[#This Row],[Title]]) = 1</f>
        <v>1</v>
      </c>
      <c r="AE50" s="2" t="b">
        <f>AND(Table1938[[#This Row],[IC + EC]:[Unique]])</f>
        <v>0</v>
      </c>
      <c r="AF50" s="2" t="b">
        <v>0</v>
      </c>
      <c r="AG50" s="2" t="b">
        <v>0</v>
      </c>
      <c r="AH50" s="2" t="b">
        <v>0</v>
      </c>
      <c r="AI50" s="2" t="b">
        <f>IF(AND(Table1938[[#This Row],[Double Check]]=TRUE,Table1938[[#This Row],[Inspected]]=TRUE,Table1938[[#This Row],[Relevant]]=TRUE),TRUE,FALSE)</f>
        <v>0</v>
      </c>
    </row>
    <row r="51" spans="1:35" ht="57.35" x14ac:dyDescent="0.5">
      <c r="A51" s="2">
        <v>50</v>
      </c>
      <c r="B51" s="20" t="s">
        <v>2</v>
      </c>
      <c r="C51" s="20" t="s">
        <v>2665</v>
      </c>
      <c r="D51" s="20" t="s">
        <v>2666</v>
      </c>
      <c r="E51" s="20" t="s">
        <v>123</v>
      </c>
      <c r="F51" s="2" t="s">
        <v>123</v>
      </c>
      <c r="G51" s="20" t="s">
        <v>2535</v>
      </c>
      <c r="H51" s="36" t="s">
        <v>123</v>
      </c>
      <c r="I51" s="20" t="s">
        <v>123</v>
      </c>
      <c r="J51" s="20" t="s">
        <v>2520</v>
      </c>
      <c r="K51" s="20" t="s">
        <v>123</v>
      </c>
      <c r="L51" s="20" t="s">
        <v>642</v>
      </c>
      <c r="M51" s="20" t="s">
        <v>123</v>
      </c>
      <c r="N51" s="20" t="b">
        <v>1</v>
      </c>
      <c r="O51" s="2" t="b">
        <f>IF(Table1938[[#This Row],[Title]]="",TRUE,FALSE)</f>
        <v>0</v>
      </c>
      <c r="P51" s="2" t="b">
        <f>IF(Table1938[[#This Row],[Author]]="",TRUE,FALSE)</f>
        <v>1</v>
      </c>
      <c r="Q51" s="2" t="b">
        <f>IF(Table1938[[#This Row],[DOI]]&lt;&gt;"", FALSE,TRUE)</f>
        <v>1</v>
      </c>
      <c r="R51" s="2" t="b">
        <f>IF(Table1938[[#This Row],[Abstract]]="",TRUE,FALSE)</f>
        <v>1</v>
      </c>
      <c r="S51" s="2" t="b">
        <f>IF(OR(Table1938[[#This Row],[Document Type]]="book",Table1938[[#This Row],[Document Type]]="bookSection"),TRUE,FALSE)</f>
        <v>0</v>
      </c>
      <c r="T51" s="2" t="b">
        <f>NOT(IF(OR(Table1938[[#This Row],[Language]]&lt;&gt;"en",Table1938[[#This Row],[Language]]&lt;&gt;"EN",Table1938[[#This Row],[Language]]&lt;&gt;"spa",Table1938[[#This Row],[Language]]&lt;&gt;"SPA"),TRUE,FALSE))</f>
        <v>0</v>
      </c>
      <c r="U51" s="2" t="b">
        <f>IF(AND(Table1938[[#This Row],[EC-01]]=FALSE,Table1938[[#This Row],[EC-02]]=FALSE,Table1938[[#This Row],[EC-03]]=FALSE,Table1938[[#This Row],[EC-04]]=FALSE,Table1938[[#This Row],[EC-05]]=FALSE,Table1938[[#This Row],[EC-06]]=FALSE),TRUE,FALSE)</f>
        <v>0</v>
      </c>
      <c r="V51" s="2" t="b">
        <f>IF(Table1938[[#This Row],[Date]]&lt;&gt;"",AND(YEAR(Table1938[[#This Row],[Date]])&gt;=2010, YEAR(Table1938[[#This Row],[Date]])&lt;=2024),FALSE)</f>
        <v>0</v>
      </c>
      <c r="W51" s="2" t="b">
        <f>IF(Table1938[[#This Row],[Date]]&lt;&gt;"",AND(YEAR(Table1938[[#This Row],[Date]])&gt;=2010, YEAR(Table1938[[#This Row],[Date]])&lt;=2020),FALSE)</f>
        <v>0</v>
      </c>
      <c r="X51" s="2" t="b">
        <f>IF(AND(Table1938[[#This Row],[Accesible]]=TRUE,Table1938[[#This Row],[DOI]]&lt;&gt;""),TRUE,FALSE)</f>
        <v>0</v>
      </c>
      <c r="Y51" s="2" t="b">
        <f>OR(Table1938[[#This Row],[Document Type]]="journalArticle",Table1938[[#This Row],[Document Type]]="conferencePaper",Table1938[[#This Row],[Document Type]]="review")</f>
        <v>0</v>
      </c>
      <c r="Z51" s="2" t="b" cm="1">
        <f t="array" ref="Z51">SUMPRODUCT(--ISNUMBER(SEARCH({"dimensional analysis","dimensionless coefficients","Π","Pi","theorem","software","design","tools","development","architecture","similar"}, LOWER(Table1938[[#This Row],[Title]]))))&gt;0</f>
        <v>0</v>
      </c>
      <c r="AA51" s="2" t="b" cm="1">
        <f t="array" ref="AA51">SUMPRODUCT(--ISNUMBER(SEARCH({"dimensional analysis","dimensionless coefficients","Π","Pi","theorem","software","design","tools","development","architecture","similar"}, LOWER(Table1938[[#This Row],[Abstract]]))))&gt;0</f>
        <v>0</v>
      </c>
      <c r="AB51" s="2" t="b">
        <f>AND(OR(Table1938[[#This Row],[IC-01 @2024]:[IC-01 @2020]])=TRUE,Table1938[[#This Row],[IC-02]]=TRUE,Table1938[[#This Row],[IC-03]]=TRUE,Table1938[[#This Row],[IC-04]]=TRUE,Table1938[[#This Row],[IC-05]]=TRUE)</f>
        <v>0</v>
      </c>
      <c r="AC51" s="2" t="b">
        <f>AND(Table1938[[#This Row],[Pass-IC]]=TRUE,Table1938[[#This Row],[Pass-EC]]=TRUE)</f>
        <v>0</v>
      </c>
      <c r="AD51" s="2" t="b">
        <f>COUNTIF($D$25:D51, Table1938[[#This Row],[Title]]) = 1</f>
        <v>1</v>
      </c>
      <c r="AE51" s="2" t="b">
        <f>AND(Table1938[[#This Row],[IC + EC]:[Unique]])</f>
        <v>0</v>
      </c>
      <c r="AF51" s="2" t="b">
        <v>0</v>
      </c>
      <c r="AG51" s="2" t="b">
        <v>0</v>
      </c>
      <c r="AH51" s="2" t="b">
        <v>0</v>
      </c>
      <c r="AI51" s="2" t="b">
        <f>IF(AND(Table1938[[#This Row],[Double Check]]=TRUE,Table1938[[#This Row],[Inspected]]=TRUE,Table1938[[#This Row],[Relevant]]=TRUE),TRUE,FALSE)</f>
        <v>0</v>
      </c>
    </row>
    <row r="52" spans="1:35" ht="43" x14ac:dyDescent="0.5">
      <c r="A52" s="2">
        <v>51</v>
      </c>
      <c r="B52" s="20" t="s">
        <v>2</v>
      </c>
      <c r="C52" s="20" t="s">
        <v>2667</v>
      </c>
      <c r="D52" s="20" t="s">
        <v>2668</v>
      </c>
      <c r="E52" s="20" t="s">
        <v>123</v>
      </c>
      <c r="F52" s="2" t="s">
        <v>123</v>
      </c>
      <c r="G52" s="20" t="s">
        <v>2519</v>
      </c>
      <c r="H52" s="36" t="s">
        <v>123</v>
      </c>
      <c r="I52" s="20" t="s">
        <v>123</v>
      </c>
      <c r="J52" s="20" t="s">
        <v>2520</v>
      </c>
      <c r="K52" s="20" t="s">
        <v>123</v>
      </c>
      <c r="L52" s="20" t="s">
        <v>642</v>
      </c>
      <c r="M52" s="20" t="s">
        <v>123</v>
      </c>
      <c r="N52" s="20" t="b">
        <v>1</v>
      </c>
      <c r="O52" s="2" t="b">
        <f>IF(Table1938[[#This Row],[Title]]="",TRUE,FALSE)</f>
        <v>0</v>
      </c>
      <c r="P52" s="2" t="b">
        <f>IF(Table1938[[#This Row],[Author]]="",TRUE,FALSE)</f>
        <v>1</v>
      </c>
      <c r="Q52" s="2" t="b">
        <f>IF(Table1938[[#This Row],[DOI]]&lt;&gt;"", FALSE,TRUE)</f>
        <v>1</v>
      </c>
      <c r="R52" s="2" t="b">
        <f>IF(Table1938[[#This Row],[Abstract]]="",TRUE,FALSE)</f>
        <v>1</v>
      </c>
      <c r="S52" s="2" t="b">
        <f>IF(OR(Table1938[[#This Row],[Document Type]]="book",Table1938[[#This Row],[Document Type]]="bookSection"),TRUE,FALSE)</f>
        <v>0</v>
      </c>
      <c r="T52" s="2" t="b">
        <f>NOT(IF(OR(Table1938[[#This Row],[Language]]&lt;&gt;"en",Table1938[[#This Row],[Language]]&lt;&gt;"EN",Table1938[[#This Row],[Language]]&lt;&gt;"spa",Table1938[[#This Row],[Language]]&lt;&gt;"SPA"),TRUE,FALSE))</f>
        <v>0</v>
      </c>
      <c r="U52" s="2" t="b">
        <f>IF(AND(Table1938[[#This Row],[EC-01]]=FALSE,Table1938[[#This Row],[EC-02]]=FALSE,Table1938[[#This Row],[EC-03]]=FALSE,Table1938[[#This Row],[EC-04]]=FALSE,Table1938[[#This Row],[EC-05]]=FALSE,Table1938[[#This Row],[EC-06]]=FALSE),TRUE,FALSE)</f>
        <v>0</v>
      </c>
      <c r="V52" s="2" t="b">
        <f>IF(Table1938[[#This Row],[Date]]&lt;&gt;"",AND(YEAR(Table1938[[#This Row],[Date]])&gt;=2010, YEAR(Table1938[[#This Row],[Date]])&lt;=2024),FALSE)</f>
        <v>0</v>
      </c>
      <c r="W52" s="2" t="b">
        <f>IF(Table1938[[#This Row],[Date]]&lt;&gt;"",AND(YEAR(Table1938[[#This Row],[Date]])&gt;=2010, YEAR(Table1938[[#This Row],[Date]])&lt;=2020),FALSE)</f>
        <v>0</v>
      </c>
      <c r="X52" s="2" t="b">
        <f>IF(AND(Table1938[[#This Row],[Accesible]]=TRUE,Table1938[[#This Row],[DOI]]&lt;&gt;""),TRUE,FALSE)</f>
        <v>0</v>
      </c>
      <c r="Y52" s="2" t="b">
        <f>OR(Table1938[[#This Row],[Document Type]]="journalArticle",Table1938[[#This Row],[Document Type]]="conferencePaper",Table1938[[#This Row],[Document Type]]="review")</f>
        <v>0</v>
      </c>
      <c r="Z52" s="2" t="b" cm="1">
        <f t="array" ref="Z52">SUMPRODUCT(--ISNUMBER(SEARCH({"dimensional analysis","dimensionless coefficients","Π","Pi","theorem","software","design","tools","development","architecture","similar"}, LOWER(Table1938[[#This Row],[Title]]))))&gt;0</f>
        <v>0</v>
      </c>
      <c r="AA52" s="2" t="b" cm="1">
        <f t="array" ref="AA52">SUMPRODUCT(--ISNUMBER(SEARCH({"dimensional analysis","dimensionless coefficients","Π","Pi","theorem","software","design","tools","development","architecture","similar"}, LOWER(Table1938[[#This Row],[Abstract]]))))&gt;0</f>
        <v>0</v>
      </c>
      <c r="AB52" s="2" t="b">
        <f>AND(OR(Table1938[[#This Row],[IC-01 @2024]:[IC-01 @2020]])=TRUE,Table1938[[#This Row],[IC-02]]=TRUE,Table1938[[#This Row],[IC-03]]=TRUE,Table1938[[#This Row],[IC-04]]=TRUE,Table1938[[#This Row],[IC-05]]=TRUE)</f>
        <v>0</v>
      </c>
      <c r="AC52" s="2" t="b">
        <f>AND(Table1938[[#This Row],[Pass-IC]]=TRUE,Table1938[[#This Row],[Pass-EC]]=TRUE)</f>
        <v>0</v>
      </c>
      <c r="AD52" s="2" t="b">
        <f>COUNTIF($D$25:D52, Table1938[[#This Row],[Title]]) = 1</f>
        <v>1</v>
      </c>
      <c r="AE52" s="2" t="b">
        <f>AND(Table1938[[#This Row],[IC + EC]:[Unique]])</f>
        <v>0</v>
      </c>
      <c r="AF52" s="2" t="b">
        <v>0</v>
      </c>
      <c r="AG52" s="2" t="b">
        <v>0</v>
      </c>
      <c r="AH52" s="2" t="b">
        <v>0</v>
      </c>
      <c r="AI52" s="2" t="b">
        <f>IF(AND(Table1938[[#This Row],[Double Check]]=TRUE,Table1938[[#This Row],[Inspected]]=TRUE,Table1938[[#This Row],[Relevant]]=TRUE),TRUE,FALSE)</f>
        <v>0</v>
      </c>
    </row>
    <row r="53" spans="1:35" ht="43" x14ac:dyDescent="0.5">
      <c r="A53" s="2">
        <v>52</v>
      </c>
      <c r="B53" s="20" t="s">
        <v>2</v>
      </c>
      <c r="C53" s="20" t="s">
        <v>2669</v>
      </c>
      <c r="D53" s="20" t="s">
        <v>235</v>
      </c>
      <c r="E53" s="20" t="s">
        <v>653</v>
      </c>
      <c r="F53" s="2" t="s">
        <v>154</v>
      </c>
      <c r="G53" s="20" t="s">
        <v>91</v>
      </c>
      <c r="H53" s="36">
        <v>44593</v>
      </c>
      <c r="I53" s="20">
        <v>2022</v>
      </c>
      <c r="J53" s="20" t="s">
        <v>61</v>
      </c>
      <c r="K53" s="20" t="s">
        <v>2670</v>
      </c>
      <c r="L53" s="20" t="s">
        <v>642</v>
      </c>
      <c r="M53" s="20" t="s">
        <v>236</v>
      </c>
      <c r="N53" s="20" t="b">
        <v>1</v>
      </c>
      <c r="O53" s="2" t="b">
        <f>IF(Table1938[[#This Row],[Title]]="",TRUE,FALSE)</f>
        <v>0</v>
      </c>
      <c r="P53" s="2" t="b">
        <f>IF(Table1938[[#This Row],[Author]]="",TRUE,FALSE)</f>
        <v>0</v>
      </c>
      <c r="Q53" s="2" t="b">
        <f>IF(Table1938[[#This Row],[DOI]]&lt;&gt;"", FALSE,TRUE)</f>
        <v>0</v>
      </c>
      <c r="R53" s="2" t="b">
        <f>IF(Table1938[[#This Row],[Abstract]]="",TRUE,FALSE)</f>
        <v>0</v>
      </c>
      <c r="S53" s="2" t="b">
        <f>IF(OR(Table1938[[#This Row],[Document Type]]="book",Table1938[[#This Row],[Document Type]]="bookSection"),TRUE,FALSE)</f>
        <v>0</v>
      </c>
      <c r="T53" s="2" t="b">
        <f>NOT(IF(OR(Table1938[[#This Row],[Language]]&lt;&gt;"en",Table1938[[#This Row],[Language]]&lt;&gt;"EN",Table1938[[#This Row],[Language]]&lt;&gt;"spa",Table1938[[#This Row],[Language]]&lt;&gt;"SPA"),TRUE,FALSE))</f>
        <v>0</v>
      </c>
      <c r="U53" s="2" t="b">
        <f>IF(AND(Table1938[[#This Row],[EC-01]]=FALSE,Table1938[[#This Row],[EC-02]]=FALSE,Table1938[[#This Row],[EC-03]]=FALSE,Table1938[[#This Row],[EC-04]]=FALSE,Table1938[[#This Row],[EC-05]]=FALSE,Table1938[[#This Row],[EC-06]]=FALSE),TRUE,FALSE)</f>
        <v>1</v>
      </c>
      <c r="V53" s="2" t="b">
        <f>IF(Table1938[[#This Row],[Date]]&lt;&gt;"",AND(YEAR(Table1938[[#This Row],[Date]])&gt;=2010, YEAR(Table1938[[#This Row],[Date]])&lt;=2024),FALSE)</f>
        <v>1</v>
      </c>
      <c r="W53" s="2" t="b">
        <f>IF(Table1938[[#This Row],[Date]]&lt;&gt;"",AND(YEAR(Table1938[[#This Row],[Date]])&gt;=2010, YEAR(Table1938[[#This Row],[Date]])&lt;=2020),FALSE)</f>
        <v>0</v>
      </c>
      <c r="X53" s="2" t="b">
        <f>IF(AND(Table1938[[#This Row],[Accesible]]=TRUE,Table1938[[#This Row],[DOI]]&lt;&gt;""),TRUE,FALSE)</f>
        <v>1</v>
      </c>
      <c r="Y53" s="2" t="b">
        <f>OR(Table1938[[#This Row],[Document Type]]="journalArticle",Table1938[[#This Row],[Document Type]]="conferencePaper",Table1938[[#This Row],[Document Type]]="review")</f>
        <v>1</v>
      </c>
      <c r="Z53" s="2" t="b" cm="1">
        <f t="array" ref="Z53">SUMPRODUCT(--ISNUMBER(SEARCH({"dimensional analysis","dimensionless coefficients","Π","Pi","theorem","software","design","tools","development","architecture","similar"}, LOWER(Table1938[[#This Row],[Title]]))))&gt;0</f>
        <v>0</v>
      </c>
      <c r="AA53" s="2" t="b" cm="1">
        <f t="array" ref="AA53">SUMPRODUCT(--ISNUMBER(SEARCH({"dimensional analysis","dimensionless coefficients","Π","Pi","theorem","software","design","tools","development","architecture","similar"}, LOWER(Table1938[[#This Row],[Abstract]]))))&gt;0</f>
        <v>1</v>
      </c>
      <c r="AB53" s="2" t="b">
        <f>AND(OR(Table1938[[#This Row],[IC-01 @2024]:[IC-01 @2020]])=TRUE,Table1938[[#This Row],[IC-02]]=TRUE,Table1938[[#This Row],[IC-03]]=TRUE,Table1938[[#This Row],[IC-04]]=TRUE,Table1938[[#This Row],[IC-05]]=TRUE)</f>
        <v>0</v>
      </c>
      <c r="AC53" s="2" t="b">
        <f>AND(Table1938[[#This Row],[Pass-IC]]=TRUE,Table1938[[#This Row],[Pass-EC]]=TRUE)</f>
        <v>0</v>
      </c>
      <c r="AD53" s="2" t="b">
        <f>COUNTIF($D$25:D53, Table1938[[#This Row],[Title]]) = 1</f>
        <v>1</v>
      </c>
      <c r="AE53" s="2" t="b">
        <f>AND(Table1938[[#This Row],[IC + EC]:[Unique]])</f>
        <v>0</v>
      </c>
      <c r="AF53" s="2" t="b">
        <v>0</v>
      </c>
      <c r="AG53" s="2" t="b">
        <v>0</v>
      </c>
      <c r="AH53" s="2" t="b">
        <v>0</v>
      </c>
      <c r="AI53" s="2" t="b">
        <f>IF(AND(Table1938[[#This Row],[Double Check]]=TRUE,Table1938[[#This Row],[Inspected]]=TRUE,Table1938[[#This Row],[Relevant]]=TRUE),TRUE,FALSE)</f>
        <v>0</v>
      </c>
    </row>
    <row r="54" spans="1:35" ht="57.35" x14ac:dyDescent="0.5">
      <c r="A54" s="2">
        <v>53</v>
      </c>
      <c r="B54" s="20" t="s">
        <v>2</v>
      </c>
      <c r="C54" s="20" t="s">
        <v>2671</v>
      </c>
      <c r="D54" s="20" t="s">
        <v>2672</v>
      </c>
      <c r="E54" s="20" t="s">
        <v>2673</v>
      </c>
      <c r="F54" s="2" t="s">
        <v>2674</v>
      </c>
      <c r="G54" s="20" t="s">
        <v>123</v>
      </c>
      <c r="H54" s="36">
        <v>42795</v>
      </c>
      <c r="I54" s="20">
        <v>2017</v>
      </c>
      <c r="J54" s="20" t="s">
        <v>61</v>
      </c>
      <c r="K54" s="20" t="s">
        <v>2675</v>
      </c>
      <c r="L54" s="20" t="s">
        <v>2515</v>
      </c>
      <c r="M54" s="20" t="s">
        <v>2676</v>
      </c>
      <c r="N54" s="20" t="b">
        <v>0</v>
      </c>
      <c r="O54" s="2" t="b">
        <f>IF(Table1938[[#This Row],[Title]]="",TRUE,FALSE)</f>
        <v>0</v>
      </c>
      <c r="P54" s="2" t="b">
        <f>IF(Table1938[[#This Row],[Author]]="",TRUE,FALSE)</f>
        <v>0</v>
      </c>
      <c r="Q54" s="2" t="b">
        <f>IF(Table1938[[#This Row],[DOI]]&lt;&gt;"", FALSE,TRUE)</f>
        <v>0</v>
      </c>
      <c r="R54" s="2" t="b">
        <f>IF(Table1938[[#This Row],[Abstract]]="",TRUE,FALSE)</f>
        <v>0</v>
      </c>
      <c r="S54" s="2" t="b">
        <f>IF(OR(Table1938[[#This Row],[Document Type]]="book",Table1938[[#This Row],[Document Type]]="bookSection"),TRUE,FALSE)</f>
        <v>0</v>
      </c>
      <c r="T54" s="2" t="b">
        <f>NOT(IF(OR(Table1938[[#This Row],[Language]]&lt;&gt;"en",Table1938[[#This Row],[Language]]&lt;&gt;"EN",Table1938[[#This Row],[Language]]&lt;&gt;"spa",Table1938[[#This Row],[Language]]&lt;&gt;"SPA"),TRUE,FALSE))</f>
        <v>0</v>
      </c>
      <c r="U54" s="2" t="b">
        <f>IF(AND(Table1938[[#This Row],[EC-01]]=FALSE,Table1938[[#This Row],[EC-02]]=FALSE,Table1938[[#This Row],[EC-03]]=FALSE,Table1938[[#This Row],[EC-04]]=FALSE,Table1938[[#This Row],[EC-05]]=FALSE,Table1938[[#This Row],[EC-06]]=FALSE),TRUE,FALSE)</f>
        <v>1</v>
      </c>
      <c r="V54" s="2" t="b">
        <f>IF(Table1938[[#This Row],[Date]]&lt;&gt;"",AND(YEAR(Table1938[[#This Row],[Date]])&gt;=2010, YEAR(Table1938[[#This Row],[Date]])&lt;=2024),FALSE)</f>
        <v>1</v>
      </c>
      <c r="W54" s="2" t="b">
        <f>IF(Table1938[[#This Row],[Date]]&lt;&gt;"",AND(YEAR(Table1938[[#This Row],[Date]])&gt;=2010, YEAR(Table1938[[#This Row],[Date]])&lt;=2020),FALSE)</f>
        <v>1</v>
      </c>
      <c r="X54" s="2" t="b">
        <f>IF(AND(Table1938[[#This Row],[Accesible]]=TRUE,Table1938[[#This Row],[DOI]]&lt;&gt;""),TRUE,FALSE)</f>
        <v>0</v>
      </c>
      <c r="Y54" s="2" t="b">
        <f>OR(Table1938[[#This Row],[Document Type]]="journalArticle",Table1938[[#This Row],[Document Type]]="conferencePaper",Table1938[[#This Row],[Document Type]]="review")</f>
        <v>1</v>
      </c>
      <c r="Z54" s="2" t="b" cm="1">
        <f t="array" ref="Z54">SUMPRODUCT(--ISNUMBER(SEARCH({"dimensional analysis","dimensionless coefficients","Π","Pi","theorem","software","design","tools","development","architecture","similar"}, LOWER(Table1938[[#This Row],[Title]]))))&gt;0</f>
        <v>0</v>
      </c>
      <c r="AA54" s="2" t="b" cm="1">
        <f t="array" ref="AA54">SUMPRODUCT(--ISNUMBER(SEARCH({"dimensional analysis","dimensionless coefficients","Π","Pi","theorem","software","design","tools","development","architecture","similar"}, LOWER(Table1938[[#This Row],[Abstract]]))))&gt;0</f>
        <v>1</v>
      </c>
      <c r="AB54" s="2" t="b">
        <f>AND(OR(Table1938[[#This Row],[IC-01 @2024]:[IC-01 @2020]])=TRUE,Table1938[[#This Row],[IC-02]]=TRUE,Table1938[[#This Row],[IC-03]]=TRUE,Table1938[[#This Row],[IC-04]]=TRUE,Table1938[[#This Row],[IC-05]]=TRUE)</f>
        <v>0</v>
      </c>
      <c r="AC54" s="2" t="b">
        <f>AND(Table1938[[#This Row],[Pass-IC]]=TRUE,Table1938[[#This Row],[Pass-EC]]=TRUE)</f>
        <v>0</v>
      </c>
      <c r="AD54" s="2" t="b">
        <f>COUNTIF($D$25:D54, Table1938[[#This Row],[Title]]) = 1</f>
        <v>1</v>
      </c>
      <c r="AE54" s="2" t="b">
        <f>AND(Table1938[[#This Row],[IC + EC]:[Unique]])</f>
        <v>0</v>
      </c>
      <c r="AF54" s="2" t="b">
        <v>0</v>
      </c>
      <c r="AG54" s="2" t="b">
        <v>0</v>
      </c>
      <c r="AH54" s="2" t="b">
        <v>0</v>
      </c>
      <c r="AI54" s="2" t="b">
        <f>IF(AND(Table1938[[#This Row],[Double Check]]=TRUE,Table1938[[#This Row],[Inspected]]=TRUE,Table1938[[#This Row],[Relevant]]=TRUE),TRUE,FALSE)</f>
        <v>0</v>
      </c>
    </row>
    <row r="55" spans="1:35" x14ac:dyDescent="0.5">
      <c r="A55" s="2">
        <v>54</v>
      </c>
      <c r="B55" s="20" t="s">
        <v>2</v>
      </c>
      <c r="C55" s="20" t="s">
        <v>2677</v>
      </c>
      <c r="D55" s="20" t="s">
        <v>683</v>
      </c>
      <c r="E55" s="20" t="s">
        <v>682</v>
      </c>
      <c r="F55" s="2" t="s">
        <v>686</v>
      </c>
      <c r="G55" s="20" t="s">
        <v>684</v>
      </c>
      <c r="H55" s="36">
        <v>45268</v>
      </c>
      <c r="I55" s="20">
        <v>2023</v>
      </c>
      <c r="J55" s="20" t="s">
        <v>61</v>
      </c>
      <c r="K55" s="20" t="s">
        <v>123</v>
      </c>
      <c r="L55" s="20" t="s">
        <v>2515</v>
      </c>
      <c r="M55" s="20" t="s">
        <v>685</v>
      </c>
      <c r="N55" s="20" t="b">
        <v>1</v>
      </c>
      <c r="O55" s="2" t="b">
        <f>IF(Table1938[[#This Row],[Title]]="",TRUE,FALSE)</f>
        <v>0</v>
      </c>
      <c r="P55" s="2" t="b">
        <f>IF(Table1938[[#This Row],[Author]]="",TRUE,FALSE)</f>
        <v>0</v>
      </c>
      <c r="Q55" s="2" t="b">
        <f>IF(Table1938[[#This Row],[DOI]]&lt;&gt;"", FALSE,TRUE)</f>
        <v>0</v>
      </c>
      <c r="R55" s="2" t="b">
        <f>IF(Table1938[[#This Row],[Abstract]]="",TRUE,FALSE)</f>
        <v>0</v>
      </c>
      <c r="S55" s="2" t="b">
        <f>IF(OR(Table1938[[#This Row],[Document Type]]="book",Table1938[[#This Row],[Document Type]]="bookSection"),TRUE,FALSE)</f>
        <v>0</v>
      </c>
      <c r="T55" s="2" t="b">
        <f>NOT(IF(OR(Table1938[[#This Row],[Language]]&lt;&gt;"en",Table1938[[#This Row],[Language]]&lt;&gt;"EN",Table1938[[#This Row],[Language]]&lt;&gt;"spa",Table1938[[#This Row],[Language]]&lt;&gt;"SPA"),TRUE,FALSE))</f>
        <v>0</v>
      </c>
      <c r="U55" s="2" t="b">
        <f>IF(AND(Table1938[[#This Row],[EC-01]]=FALSE,Table1938[[#This Row],[EC-02]]=FALSE,Table1938[[#This Row],[EC-03]]=FALSE,Table1938[[#This Row],[EC-04]]=FALSE,Table1938[[#This Row],[EC-05]]=FALSE,Table1938[[#This Row],[EC-06]]=FALSE),TRUE,FALSE)</f>
        <v>1</v>
      </c>
      <c r="V55" s="2" t="b">
        <f>IF(Table1938[[#This Row],[Date]]&lt;&gt;"",AND(YEAR(Table1938[[#This Row],[Date]])&gt;=2010, YEAR(Table1938[[#This Row],[Date]])&lt;=2024),FALSE)</f>
        <v>1</v>
      </c>
      <c r="W55" s="2" t="b">
        <f>IF(Table1938[[#This Row],[Date]]&lt;&gt;"",AND(YEAR(Table1938[[#This Row],[Date]])&gt;=2010, YEAR(Table1938[[#This Row],[Date]])&lt;=2020),FALSE)</f>
        <v>0</v>
      </c>
      <c r="X55" s="2" t="b">
        <f>IF(AND(Table1938[[#This Row],[Accesible]]=TRUE,Table1938[[#This Row],[DOI]]&lt;&gt;""),TRUE,FALSE)</f>
        <v>1</v>
      </c>
      <c r="Y55" s="2" t="b">
        <f>OR(Table1938[[#This Row],[Document Type]]="journalArticle",Table1938[[#This Row],[Document Type]]="conferencePaper",Table1938[[#This Row],[Document Type]]="review")</f>
        <v>1</v>
      </c>
      <c r="Z55" s="2" t="b" cm="1">
        <f t="array" ref="Z55">SUMPRODUCT(--ISNUMBER(SEARCH({"dimensional analysis","dimensionless coefficients","Π","Pi","theorem","software","design","tools","development","architecture","similar"}, LOWER(Table1938[[#This Row],[Title]]))))&gt;0</f>
        <v>0</v>
      </c>
      <c r="AA55" s="2" t="b" cm="1">
        <f t="array" ref="AA55">SUMPRODUCT(--ISNUMBER(SEARCH({"dimensional analysis","dimensionless coefficients","Π","Pi","theorem","software","design","tools","development","architecture","similar"}, LOWER(Table1938[[#This Row],[Abstract]]))))&gt;0</f>
        <v>0</v>
      </c>
      <c r="AB55" s="2" t="b">
        <f>AND(OR(Table1938[[#This Row],[IC-01 @2024]:[IC-01 @2020]])=TRUE,Table1938[[#This Row],[IC-02]]=TRUE,Table1938[[#This Row],[IC-03]]=TRUE,Table1938[[#This Row],[IC-04]]=TRUE,Table1938[[#This Row],[IC-05]]=TRUE)</f>
        <v>0</v>
      </c>
      <c r="AC55" s="2" t="b">
        <f>AND(Table1938[[#This Row],[Pass-IC]]=TRUE,Table1938[[#This Row],[Pass-EC]]=TRUE)</f>
        <v>0</v>
      </c>
      <c r="AD55" s="2" t="b">
        <f>COUNTIF($D$25:D55, Table1938[[#This Row],[Title]]) = 1</f>
        <v>1</v>
      </c>
      <c r="AE55" s="2" t="b">
        <f>AND(Table1938[[#This Row],[IC + EC]:[Unique]])</f>
        <v>0</v>
      </c>
      <c r="AF55" s="2" t="b">
        <v>0</v>
      </c>
      <c r="AG55" s="2" t="b">
        <v>0</v>
      </c>
      <c r="AH55" s="2" t="b">
        <v>0</v>
      </c>
      <c r="AI55" s="2" t="b">
        <f>IF(AND(Table1938[[#This Row],[Double Check]]=TRUE,Table1938[[#This Row],[Inspected]]=TRUE,Table1938[[#This Row],[Relevant]]=TRUE),TRUE,FALSE)</f>
        <v>0</v>
      </c>
    </row>
    <row r="56" spans="1:35" ht="43" x14ac:dyDescent="0.5">
      <c r="A56" s="2">
        <v>55</v>
      </c>
      <c r="B56" s="20" t="s">
        <v>2</v>
      </c>
      <c r="C56" s="20" t="s">
        <v>2678</v>
      </c>
      <c r="D56" s="20" t="s">
        <v>2679</v>
      </c>
      <c r="E56" s="20" t="s">
        <v>2680</v>
      </c>
      <c r="F56" s="2" t="s">
        <v>2681</v>
      </c>
      <c r="G56" s="20" t="s">
        <v>2682</v>
      </c>
      <c r="H56" s="36">
        <v>45494</v>
      </c>
      <c r="I56" s="20">
        <v>2024</v>
      </c>
      <c r="J56" s="20" t="s">
        <v>62</v>
      </c>
      <c r="K56" s="20" t="s">
        <v>123</v>
      </c>
      <c r="L56" s="20" t="s">
        <v>2515</v>
      </c>
      <c r="M56" s="20" t="s">
        <v>123</v>
      </c>
      <c r="N56" s="20" t="b">
        <v>0</v>
      </c>
      <c r="O56" s="2" t="b">
        <f>IF(Table1938[[#This Row],[Title]]="",TRUE,FALSE)</f>
        <v>0</v>
      </c>
      <c r="P56" s="2" t="b">
        <f>IF(Table1938[[#This Row],[Author]]="",TRUE,FALSE)</f>
        <v>0</v>
      </c>
      <c r="Q56" s="2" t="b">
        <f>IF(Table1938[[#This Row],[DOI]]&lt;&gt;"", FALSE,TRUE)</f>
        <v>1</v>
      </c>
      <c r="R56" s="2" t="b">
        <f>IF(Table1938[[#This Row],[Abstract]]="",TRUE,FALSE)</f>
        <v>0</v>
      </c>
      <c r="S56" s="2" t="b">
        <f>IF(OR(Table1938[[#This Row],[Document Type]]="book",Table1938[[#This Row],[Document Type]]="bookSection"),TRUE,FALSE)</f>
        <v>0</v>
      </c>
      <c r="T56" s="2" t="b">
        <f>NOT(IF(OR(Table1938[[#This Row],[Language]]&lt;&gt;"en",Table1938[[#This Row],[Language]]&lt;&gt;"EN",Table1938[[#This Row],[Language]]&lt;&gt;"spa",Table1938[[#This Row],[Language]]&lt;&gt;"SPA"),TRUE,FALSE))</f>
        <v>0</v>
      </c>
      <c r="U56" s="2" t="b">
        <f>IF(AND(Table1938[[#This Row],[EC-01]]=FALSE,Table1938[[#This Row],[EC-02]]=FALSE,Table1938[[#This Row],[EC-03]]=FALSE,Table1938[[#This Row],[EC-04]]=FALSE,Table1938[[#This Row],[EC-05]]=FALSE,Table1938[[#This Row],[EC-06]]=FALSE),TRUE,FALSE)</f>
        <v>0</v>
      </c>
      <c r="V56" s="2" t="b">
        <f>IF(Table1938[[#This Row],[Date]]&lt;&gt;"",AND(YEAR(Table1938[[#This Row],[Date]])&gt;=2010, YEAR(Table1938[[#This Row],[Date]])&lt;=2024),FALSE)</f>
        <v>1</v>
      </c>
      <c r="W56" s="2" t="b">
        <f>IF(Table1938[[#This Row],[Date]]&lt;&gt;"",AND(YEAR(Table1938[[#This Row],[Date]])&gt;=2010, YEAR(Table1938[[#This Row],[Date]])&lt;=2020),FALSE)</f>
        <v>0</v>
      </c>
      <c r="X56" s="2" t="b">
        <f>IF(AND(Table1938[[#This Row],[Accesible]]=TRUE,Table1938[[#This Row],[DOI]]&lt;&gt;""),TRUE,FALSE)</f>
        <v>0</v>
      </c>
      <c r="Y56" s="2" t="b">
        <f>OR(Table1938[[#This Row],[Document Type]]="journalArticle",Table1938[[#This Row],[Document Type]]="conferencePaper",Table1938[[#This Row],[Document Type]]="review")</f>
        <v>1</v>
      </c>
      <c r="Z56" s="2" t="b" cm="1">
        <f t="array" ref="Z56">SUMPRODUCT(--ISNUMBER(SEARCH({"dimensional analysis","dimensionless coefficients","Π","Pi","theorem","software","design","tools","development","architecture","similar"}, LOWER(Table1938[[#This Row],[Title]]))))&gt;0</f>
        <v>0</v>
      </c>
      <c r="AA56" s="2" t="b" cm="1">
        <f t="array" ref="AA56">SUMPRODUCT(--ISNUMBER(SEARCH({"dimensional analysis","dimensionless coefficients","Π","Pi","theorem","software","design","tools","development","architecture","similar"}, LOWER(Table1938[[#This Row],[Abstract]]))))&gt;0</f>
        <v>0</v>
      </c>
      <c r="AB56" s="2" t="b">
        <f>AND(OR(Table1938[[#This Row],[IC-01 @2024]:[IC-01 @2020]])=TRUE,Table1938[[#This Row],[IC-02]]=TRUE,Table1938[[#This Row],[IC-03]]=TRUE,Table1938[[#This Row],[IC-04]]=TRUE,Table1938[[#This Row],[IC-05]]=TRUE)</f>
        <v>0</v>
      </c>
      <c r="AC56" s="2" t="b">
        <f>AND(Table1938[[#This Row],[Pass-IC]]=TRUE,Table1938[[#This Row],[Pass-EC]]=TRUE)</f>
        <v>0</v>
      </c>
      <c r="AD56" s="2" t="b">
        <f>COUNTIF($D$25:D56, Table1938[[#This Row],[Title]]) = 1</f>
        <v>1</v>
      </c>
      <c r="AE56" s="2" t="b">
        <f>AND(Table1938[[#This Row],[IC + EC]:[Unique]])</f>
        <v>0</v>
      </c>
      <c r="AF56" s="2" t="b">
        <v>0</v>
      </c>
      <c r="AG56" s="2" t="b">
        <v>0</v>
      </c>
      <c r="AH56" s="2" t="b">
        <v>0</v>
      </c>
      <c r="AI56" s="2" t="b">
        <f>IF(AND(Table1938[[#This Row],[Double Check]]=TRUE,Table1938[[#This Row],[Inspected]]=TRUE,Table1938[[#This Row],[Relevant]]=TRUE),TRUE,FALSE)</f>
        <v>0</v>
      </c>
    </row>
    <row r="57" spans="1:35" ht="43" x14ac:dyDescent="0.5">
      <c r="A57" s="2">
        <v>56</v>
      </c>
      <c r="B57" s="20" t="s">
        <v>2</v>
      </c>
      <c r="C57" s="20" t="s">
        <v>2683</v>
      </c>
      <c r="D57" s="20" t="s">
        <v>2684</v>
      </c>
      <c r="E57" s="20" t="s">
        <v>123</v>
      </c>
      <c r="F57" s="2" t="s">
        <v>123</v>
      </c>
      <c r="G57" s="20" t="s">
        <v>2535</v>
      </c>
      <c r="H57" s="36" t="s">
        <v>123</v>
      </c>
      <c r="I57" s="20" t="s">
        <v>123</v>
      </c>
      <c r="J57" s="20" t="s">
        <v>2520</v>
      </c>
      <c r="K57" s="20" t="s">
        <v>123</v>
      </c>
      <c r="L57" s="20" t="s">
        <v>642</v>
      </c>
      <c r="M57" s="20" t="s">
        <v>123</v>
      </c>
      <c r="N57" s="20" t="b">
        <v>1</v>
      </c>
      <c r="O57" s="2" t="b">
        <f>IF(Table1938[[#This Row],[Title]]="",TRUE,FALSE)</f>
        <v>0</v>
      </c>
      <c r="P57" s="2" t="b">
        <f>IF(Table1938[[#This Row],[Author]]="",TRUE,FALSE)</f>
        <v>1</v>
      </c>
      <c r="Q57" s="2" t="b">
        <f>IF(Table1938[[#This Row],[DOI]]&lt;&gt;"", FALSE,TRUE)</f>
        <v>1</v>
      </c>
      <c r="R57" s="2" t="b">
        <f>IF(Table1938[[#This Row],[Abstract]]="",TRUE,FALSE)</f>
        <v>1</v>
      </c>
      <c r="S57" s="2" t="b">
        <f>IF(OR(Table1938[[#This Row],[Document Type]]="book",Table1938[[#This Row],[Document Type]]="bookSection"),TRUE,FALSE)</f>
        <v>0</v>
      </c>
      <c r="T57" s="2" t="b">
        <f>NOT(IF(OR(Table1938[[#This Row],[Language]]&lt;&gt;"en",Table1938[[#This Row],[Language]]&lt;&gt;"EN",Table1938[[#This Row],[Language]]&lt;&gt;"spa",Table1938[[#This Row],[Language]]&lt;&gt;"SPA"),TRUE,FALSE))</f>
        <v>0</v>
      </c>
      <c r="U57" s="2" t="b">
        <f>IF(AND(Table1938[[#This Row],[EC-01]]=FALSE,Table1938[[#This Row],[EC-02]]=FALSE,Table1938[[#This Row],[EC-03]]=FALSE,Table1938[[#This Row],[EC-04]]=FALSE,Table1938[[#This Row],[EC-05]]=FALSE,Table1938[[#This Row],[EC-06]]=FALSE),TRUE,FALSE)</f>
        <v>0</v>
      </c>
      <c r="V57" s="2" t="b">
        <f>IF(Table1938[[#This Row],[Date]]&lt;&gt;"",AND(YEAR(Table1938[[#This Row],[Date]])&gt;=2010, YEAR(Table1938[[#This Row],[Date]])&lt;=2024),FALSE)</f>
        <v>0</v>
      </c>
      <c r="W57" s="2" t="b">
        <f>IF(Table1938[[#This Row],[Date]]&lt;&gt;"",AND(YEAR(Table1938[[#This Row],[Date]])&gt;=2010, YEAR(Table1938[[#This Row],[Date]])&lt;=2020),FALSE)</f>
        <v>0</v>
      </c>
      <c r="X57" s="2" t="b">
        <f>IF(AND(Table1938[[#This Row],[Accesible]]=TRUE,Table1938[[#This Row],[DOI]]&lt;&gt;""),TRUE,FALSE)</f>
        <v>0</v>
      </c>
      <c r="Y57" s="2" t="b">
        <f>OR(Table1938[[#This Row],[Document Type]]="journalArticle",Table1938[[#This Row],[Document Type]]="conferencePaper",Table1938[[#This Row],[Document Type]]="review")</f>
        <v>0</v>
      </c>
      <c r="Z57" s="2" t="b" cm="1">
        <f t="array" ref="Z57">SUMPRODUCT(--ISNUMBER(SEARCH({"dimensional analysis","dimensionless coefficients","Π","Pi","theorem","software","design","tools","development","architecture","similar"}, LOWER(Table1938[[#This Row],[Title]]))))&gt;0</f>
        <v>0</v>
      </c>
      <c r="AA57" s="2" t="b" cm="1">
        <f t="array" ref="AA57">SUMPRODUCT(--ISNUMBER(SEARCH({"dimensional analysis","dimensionless coefficients","Π","Pi","theorem","software","design","tools","development","architecture","similar"}, LOWER(Table1938[[#This Row],[Abstract]]))))&gt;0</f>
        <v>0</v>
      </c>
      <c r="AB57" s="2" t="b">
        <f>AND(OR(Table1938[[#This Row],[IC-01 @2024]:[IC-01 @2020]])=TRUE,Table1938[[#This Row],[IC-02]]=TRUE,Table1938[[#This Row],[IC-03]]=TRUE,Table1938[[#This Row],[IC-04]]=TRUE,Table1938[[#This Row],[IC-05]]=TRUE)</f>
        <v>0</v>
      </c>
      <c r="AC57" s="2" t="b">
        <f>AND(Table1938[[#This Row],[Pass-IC]]=TRUE,Table1938[[#This Row],[Pass-EC]]=TRUE)</f>
        <v>0</v>
      </c>
      <c r="AD57" s="2" t="b">
        <f>COUNTIF($D$25:D57, Table1938[[#This Row],[Title]]) = 1</f>
        <v>1</v>
      </c>
      <c r="AE57" s="2" t="b">
        <f>AND(Table1938[[#This Row],[IC + EC]:[Unique]])</f>
        <v>0</v>
      </c>
      <c r="AF57" s="2" t="b">
        <v>0</v>
      </c>
      <c r="AG57" s="2" t="b">
        <v>0</v>
      </c>
      <c r="AH57" s="2" t="b">
        <v>0</v>
      </c>
      <c r="AI57" s="2" t="b">
        <f>IF(AND(Table1938[[#This Row],[Double Check]]=TRUE,Table1938[[#This Row],[Inspected]]=TRUE,Table1938[[#This Row],[Relevant]]=TRUE),TRUE,FALSE)</f>
        <v>0</v>
      </c>
    </row>
    <row r="58" spans="1:35" ht="71.7" x14ac:dyDescent="0.5">
      <c r="A58" s="2">
        <v>57</v>
      </c>
      <c r="B58" s="20" t="s">
        <v>2</v>
      </c>
      <c r="C58" s="20" t="s">
        <v>2685</v>
      </c>
      <c r="D58" s="20" t="s">
        <v>2686</v>
      </c>
      <c r="E58" s="20" t="s">
        <v>123</v>
      </c>
      <c r="F58" s="2" t="s">
        <v>123</v>
      </c>
      <c r="G58" s="20" t="s">
        <v>2535</v>
      </c>
      <c r="H58" s="36" t="s">
        <v>123</v>
      </c>
      <c r="I58" s="20" t="s">
        <v>123</v>
      </c>
      <c r="J58" s="20" t="s">
        <v>2520</v>
      </c>
      <c r="K58" s="20" t="s">
        <v>123</v>
      </c>
      <c r="L58" s="20" t="s">
        <v>642</v>
      </c>
      <c r="M58" s="20" t="s">
        <v>123</v>
      </c>
      <c r="N58" s="20" t="b">
        <v>1</v>
      </c>
      <c r="O58" s="2" t="b">
        <f>IF(Table1938[[#This Row],[Title]]="",TRUE,FALSE)</f>
        <v>0</v>
      </c>
      <c r="P58" s="2" t="b">
        <f>IF(Table1938[[#This Row],[Author]]="",TRUE,FALSE)</f>
        <v>1</v>
      </c>
      <c r="Q58" s="2" t="b">
        <f>IF(Table1938[[#This Row],[DOI]]&lt;&gt;"", FALSE,TRUE)</f>
        <v>1</v>
      </c>
      <c r="R58" s="2" t="b">
        <f>IF(Table1938[[#This Row],[Abstract]]="",TRUE,FALSE)</f>
        <v>1</v>
      </c>
      <c r="S58" s="2" t="b">
        <f>IF(OR(Table1938[[#This Row],[Document Type]]="book",Table1938[[#This Row],[Document Type]]="bookSection"),TRUE,FALSE)</f>
        <v>0</v>
      </c>
      <c r="T58" s="2" t="b">
        <f>NOT(IF(OR(Table1938[[#This Row],[Language]]&lt;&gt;"en",Table1938[[#This Row],[Language]]&lt;&gt;"EN",Table1938[[#This Row],[Language]]&lt;&gt;"spa",Table1938[[#This Row],[Language]]&lt;&gt;"SPA"),TRUE,FALSE))</f>
        <v>0</v>
      </c>
      <c r="U58" s="2" t="b">
        <f>IF(AND(Table1938[[#This Row],[EC-01]]=FALSE,Table1938[[#This Row],[EC-02]]=FALSE,Table1938[[#This Row],[EC-03]]=FALSE,Table1938[[#This Row],[EC-04]]=FALSE,Table1938[[#This Row],[EC-05]]=FALSE,Table1938[[#This Row],[EC-06]]=FALSE),TRUE,FALSE)</f>
        <v>0</v>
      </c>
      <c r="V58" s="2" t="b">
        <f>IF(Table1938[[#This Row],[Date]]&lt;&gt;"",AND(YEAR(Table1938[[#This Row],[Date]])&gt;=2010, YEAR(Table1938[[#This Row],[Date]])&lt;=2024),FALSE)</f>
        <v>0</v>
      </c>
      <c r="W58" s="2" t="b">
        <f>IF(Table1938[[#This Row],[Date]]&lt;&gt;"",AND(YEAR(Table1938[[#This Row],[Date]])&gt;=2010, YEAR(Table1938[[#This Row],[Date]])&lt;=2020),FALSE)</f>
        <v>0</v>
      </c>
      <c r="X58" s="2" t="b">
        <f>IF(AND(Table1938[[#This Row],[Accesible]]=TRUE,Table1938[[#This Row],[DOI]]&lt;&gt;""),TRUE,FALSE)</f>
        <v>0</v>
      </c>
      <c r="Y58" s="2" t="b">
        <f>OR(Table1938[[#This Row],[Document Type]]="journalArticle",Table1938[[#This Row],[Document Type]]="conferencePaper",Table1938[[#This Row],[Document Type]]="review")</f>
        <v>0</v>
      </c>
      <c r="Z58" s="2" t="b" cm="1">
        <f t="array" ref="Z58">SUMPRODUCT(--ISNUMBER(SEARCH({"dimensional analysis","dimensionless coefficients","Π","Pi","theorem","software","design","tools","development","architecture","similar"}, LOWER(Table1938[[#This Row],[Title]]))))&gt;0</f>
        <v>0</v>
      </c>
      <c r="AA58" s="2" t="b" cm="1">
        <f t="array" ref="AA58">SUMPRODUCT(--ISNUMBER(SEARCH({"dimensional analysis","dimensionless coefficients","Π","Pi","theorem","software","design","tools","development","architecture","similar"}, LOWER(Table1938[[#This Row],[Abstract]]))))&gt;0</f>
        <v>0</v>
      </c>
      <c r="AB58" s="2" t="b">
        <f>AND(OR(Table1938[[#This Row],[IC-01 @2024]:[IC-01 @2020]])=TRUE,Table1938[[#This Row],[IC-02]]=TRUE,Table1938[[#This Row],[IC-03]]=TRUE,Table1938[[#This Row],[IC-04]]=TRUE,Table1938[[#This Row],[IC-05]]=TRUE)</f>
        <v>0</v>
      </c>
      <c r="AC58" s="2" t="b">
        <f>AND(Table1938[[#This Row],[Pass-IC]]=TRUE,Table1938[[#This Row],[Pass-EC]]=TRUE)</f>
        <v>0</v>
      </c>
      <c r="AD58" s="2" t="b">
        <f>COUNTIF($D$25:D58, Table1938[[#This Row],[Title]]) = 1</f>
        <v>1</v>
      </c>
      <c r="AE58" s="2" t="b">
        <f>AND(Table1938[[#This Row],[IC + EC]:[Unique]])</f>
        <v>0</v>
      </c>
      <c r="AF58" s="2" t="b">
        <v>0</v>
      </c>
      <c r="AG58" s="2" t="b">
        <v>0</v>
      </c>
      <c r="AH58" s="2" t="b">
        <v>0</v>
      </c>
      <c r="AI58" s="2" t="b">
        <f>IF(AND(Table1938[[#This Row],[Double Check]]=TRUE,Table1938[[#This Row],[Inspected]]=TRUE,Table1938[[#This Row],[Relevant]]=TRUE),TRUE,FALSE)</f>
        <v>0</v>
      </c>
    </row>
    <row r="59" spans="1:35" ht="43" x14ac:dyDescent="0.5">
      <c r="A59" s="2">
        <v>58</v>
      </c>
      <c r="B59" s="20" t="s">
        <v>2</v>
      </c>
      <c r="C59" s="20" t="s">
        <v>2687</v>
      </c>
      <c r="D59" s="20" t="s">
        <v>2688</v>
      </c>
      <c r="E59" s="20" t="s">
        <v>123</v>
      </c>
      <c r="F59" s="2" t="s">
        <v>123</v>
      </c>
      <c r="G59" s="20" t="s">
        <v>2535</v>
      </c>
      <c r="H59" s="36" t="s">
        <v>123</v>
      </c>
      <c r="I59" s="20" t="s">
        <v>123</v>
      </c>
      <c r="J59" s="20" t="s">
        <v>2520</v>
      </c>
      <c r="K59" s="20" t="s">
        <v>123</v>
      </c>
      <c r="L59" s="20" t="s">
        <v>642</v>
      </c>
      <c r="M59" s="20" t="s">
        <v>123</v>
      </c>
      <c r="N59" s="20" t="b">
        <v>1</v>
      </c>
      <c r="O59" s="2" t="b">
        <f>IF(Table1938[[#This Row],[Title]]="",TRUE,FALSE)</f>
        <v>0</v>
      </c>
      <c r="P59" s="2" t="b">
        <f>IF(Table1938[[#This Row],[Author]]="",TRUE,FALSE)</f>
        <v>1</v>
      </c>
      <c r="Q59" s="2" t="b">
        <f>IF(Table1938[[#This Row],[DOI]]&lt;&gt;"", FALSE,TRUE)</f>
        <v>1</v>
      </c>
      <c r="R59" s="2" t="b">
        <f>IF(Table1938[[#This Row],[Abstract]]="",TRUE,FALSE)</f>
        <v>1</v>
      </c>
      <c r="S59" s="2" t="b">
        <f>IF(OR(Table1938[[#This Row],[Document Type]]="book",Table1938[[#This Row],[Document Type]]="bookSection"),TRUE,FALSE)</f>
        <v>0</v>
      </c>
      <c r="T59" s="2" t="b">
        <f>NOT(IF(OR(Table1938[[#This Row],[Language]]&lt;&gt;"en",Table1938[[#This Row],[Language]]&lt;&gt;"EN",Table1938[[#This Row],[Language]]&lt;&gt;"spa",Table1938[[#This Row],[Language]]&lt;&gt;"SPA"),TRUE,FALSE))</f>
        <v>0</v>
      </c>
      <c r="U59" s="2" t="b">
        <f>IF(AND(Table1938[[#This Row],[EC-01]]=FALSE,Table1938[[#This Row],[EC-02]]=FALSE,Table1938[[#This Row],[EC-03]]=FALSE,Table1938[[#This Row],[EC-04]]=FALSE,Table1938[[#This Row],[EC-05]]=FALSE,Table1938[[#This Row],[EC-06]]=FALSE),TRUE,FALSE)</f>
        <v>0</v>
      </c>
      <c r="V59" s="2" t="b">
        <f>IF(Table1938[[#This Row],[Date]]&lt;&gt;"",AND(YEAR(Table1938[[#This Row],[Date]])&gt;=2010, YEAR(Table1938[[#This Row],[Date]])&lt;=2024),FALSE)</f>
        <v>0</v>
      </c>
      <c r="W59" s="2" t="b">
        <f>IF(Table1938[[#This Row],[Date]]&lt;&gt;"",AND(YEAR(Table1938[[#This Row],[Date]])&gt;=2010, YEAR(Table1938[[#This Row],[Date]])&lt;=2020),FALSE)</f>
        <v>0</v>
      </c>
      <c r="X59" s="2" t="b">
        <f>IF(AND(Table1938[[#This Row],[Accesible]]=TRUE,Table1938[[#This Row],[DOI]]&lt;&gt;""),TRUE,FALSE)</f>
        <v>0</v>
      </c>
      <c r="Y59" s="2" t="b">
        <f>OR(Table1938[[#This Row],[Document Type]]="journalArticle",Table1938[[#This Row],[Document Type]]="conferencePaper",Table1938[[#This Row],[Document Type]]="review")</f>
        <v>0</v>
      </c>
      <c r="Z59" s="2" t="b" cm="1">
        <f t="array" ref="Z59">SUMPRODUCT(--ISNUMBER(SEARCH({"dimensional analysis","dimensionless coefficients","Π","Pi","theorem","software","design","tools","development","architecture","similar"}, LOWER(Table1938[[#This Row],[Title]]))))&gt;0</f>
        <v>0</v>
      </c>
      <c r="AA59" s="2" t="b" cm="1">
        <f t="array" ref="AA59">SUMPRODUCT(--ISNUMBER(SEARCH({"dimensional analysis","dimensionless coefficients","Π","Pi","theorem","software","design","tools","development","architecture","similar"}, LOWER(Table1938[[#This Row],[Abstract]]))))&gt;0</f>
        <v>0</v>
      </c>
      <c r="AB59" s="2" t="b">
        <f>AND(OR(Table1938[[#This Row],[IC-01 @2024]:[IC-01 @2020]])=TRUE,Table1938[[#This Row],[IC-02]]=TRUE,Table1938[[#This Row],[IC-03]]=TRUE,Table1938[[#This Row],[IC-04]]=TRUE,Table1938[[#This Row],[IC-05]]=TRUE)</f>
        <v>0</v>
      </c>
      <c r="AC59" s="2" t="b">
        <f>AND(Table1938[[#This Row],[Pass-IC]]=TRUE,Table1938[[#This Row],[Pass-EC]]=TRUE)</f>
        <v>0</v>
      </c>
      <c r="AD59" s="2" t="b">
        <f>COUNTIF($D$25:D59, Table1938[[#This Row],[Title]]) = 1</f>
        <v>1</v>
      </c>
      <c r="AE59" s="2" t="b">
        <f>AND(Table1938[[#This Row],[IC + EC]:[Unique]])</f>
        <v>0</v>
      </c>
      <c r="AF59" s="2" t="b">
        <v>0</v>
      </c>
      <c r="AG59" s="2" t="b">
        <v>0</v>
      </c>
      <c r="AH59" s="2" t="b">
        <v>0</v>
      </c>
      <c r="AI59" s="2" t="b">
        <f>IF(AND(Table1938[[#This Row],[Double Check]]=TRUE,Table1938[[#This Row],[Inspected]]=TRUE,Table1938[[#This Row],[Relevant]]=TRUE),TRUE,FALSE)</f>
        <v>0</v>
      </c>
    </row>
    <row r="60" spans="1:35" ht="43" x14ac:dyDescent="0.5">
      <c r="A60" s="2">
        <v>59</v>
      </c>
      <c r="B60" s="20" t="s">
        <v>2</v>
      </c>
      <c r="C60" s="20" t="s">
        <v>2689</v>
      </c>
      <c r="D60" s="20" t="s">
        <v>193</v>
      </c>
      <c r="E60" s="20" t="s">
        <v>649</v>
      </c>
      <c r="F60" s="2" t="s">
        <v>250</v>
      </c>
      <c r="G60" s="20" t="s">
        <v>194</v>
      </c>
      <c r="H60" s="36">
        <v>44652</v>
      </c>
      <c r="I60" s="20">
        <v>2022</v>
      </c>
      <c r="J60" s="20" t="s">
        <v>61</v>
      </c>
      <c r="K60" s="20" t="s">
        <v>2690</v>
      </c>
      <c r="L60" s="20" t="s">
        <v>642</v>
      </c>
      <c r="M60" s="20" t="s">
        <v>195</v>
      </c>
      <c r="N60" s="20" t="b">
        <v>1</v>
      </c>
      <c r="O60" s="2" t="b">
        <f>IF(Table1938[[#This Row],[Title]]="",TRUE,FALSE)</f>
        <v>0</v>
      </c>
      <c r="P60" s="2" t="b">
        <f>IF(Table1938[[#This Row],[Author]]="",TRUE,FALSE)</f>
        <v>0</v>
      </c>
      <c r="Q60" s="2" t="b">
        <f>IF(Table1938[[#This Row],[DOI]]&lt;&gt;"", FALSE,TRUE)</f>
        <v>0</v>
      </c>
      <c r="R60" s="2" t="b">
        <f>IF(Table1938[[#This Row],[Abstract]]="",TRUE,FALSE)</f>
        <v>0</v>
      </c>
      <c r="S60" s="2" t="b">
        <f>IF(OR(Table1938[[#This Row],[Document Type]]="book",Table1938[[#This Row],[Document Type]]="bookSection"),TRUE,FALSE)</f>
        <v>0</v>
      </c>
      <c r="T60" s="2" t="b">
        <f>NOT(IF(OR(Table1938[[#This Row],[Language]]&lt;&gt;"en",Table1938[[#This Row],[Language]]&lt;&gt;"EN",Table1938[[#This Row],[Language]]&lt;&gt;"spa",Table1938[[#This Row],[Language]]&lt;&gt;"SPA"),TRUE,FALSE))</f>
        <v>0</v>
      </c>
      <c r="U60" s="2" t="b">
        <f>IF(AND(Table1938[[#This Row],[EC-01]]=FALSE,Table1938[[#This Row],[EC-02]]=FALSE,Table1938[[#This Row],[EC-03]]=FALSE,Table1938[[#This Row],[EC-04]]=FALSE,Table1938[[#This Row],[EC-05]]=FALSE,Table1938[[#This Row],[EC-06]]=FALSE),TRUE,FALSE)</f>
        <v>1</v>
      </c>
      <c r="V60" s="2" t="b">
        <f>IF(Table1938[[#This Row],[Date]]&lt;&gt;"",AND(YEAR(Table1938[[#This Row],[Date]])&gt;=2010, YEAR(Table1938[[#This Row],[Date]])&lt;=2024),FALSE)</f>
        <v>1</v>
      </c>
      <c r="W60" s="2" t="b">
        <f>IF(Table1938[[#This Row],[Date]]&lt;&gt;"",AND(YEAR(Table1938[[#This Row],[Date]])&gt;=2010, YEAR(Table1938[[#This Row],[Date]])&lt;=2020),FALSE)</f>
        <v>0</v>
      </c>
      <c r="X60" s="2" t="b">
        <f>IF(AND(Table1938[[#This Row],[Accesible]]=TRUE,Table1938[[#This Row],[DOI]]&lt;&gt;""),TRUE,FALSE)</f>
        <v>1</v>
      </c>
      <c r="Y60" s="2" t="b">
        <f>OR(Table1938[[#This Row],[Document Type]]="journalArticle",Table1938[[#This Row],[Document Type]]="conferencePaper",Table1938[[#This Row],[Document Type]]="review")</f>
        <v>1</v>
      </c>
      <c r="Z60" s="2" t="b" cm="1">
        <f t="array" ref="Z60">SUMPRODUCT(--ISNUMBER(SEARCH({"dimensional analysis","dimensionless coefficients","Π","Pi","theorem","software","design","tools","development","architecture","similar"}, LOWER(Table1938[[#This Row],[Title]]))))&gt;0</f>
        <v>0</v>
      </c>
      <c r="AA60" s="2" t="b" cm="1">
        <f t="array" ref="AA60">SUMPRODUCT(--ISNUMBER(SEARCH({"dimensional analysis","dimensionless coefficients","Π","Pi","theorem","software","design","tools","development","architecture","similar"}, LOWER(Table1938[[#This Row],[Abstract]]))))&gt;0</f>
        <v>1</v>
      </c>
      <c r="AB60" s="2" t="b">
        <f>AND(OR(Table1938[[#This Row],[IC-01 @2024]:[IC-01 @2020]])=TRUE,Table1938[[#This Row],[IC-02]]=TRUE,Table1938[[#This Row],[IC-03]]=TRUE,Table1938[[#This Row],[IC-04]]=TRUE,Table1938[[#This Row],[IC-05]]=TRUE)</f>
        <v>0</v>
      </c>
      <c r="AC60" s="2" t="b">
        <f>AND(Table1938[[#This Row],[Pass-IC]]=TRUE,Table1938[[#This Row],[Pass-EC]]=TRUE)</f>
        <v>0</v>
      </c>
      <c r="AD60" s="2" t="b">
        <f>COUNTIF($D$25:D60, Table1938[[#This Row],[Title]]) = 1</f>
        <v>1</v>
      </c>
      <c r="AE60" s="2" t="b">
        <f>AND(Table1938[[#This Row],[IC + EC]:[Unique]])</f>
        <v>0</v>
      </c>
      <c r="AF60" s="2" t="b">
        <v>0</v>
      </c>
      <c r="AG60" s="2" t="b">
        <v>0</v>
      </c>
      <c r="AH60" s="2" t="b">
        <v>0</v>
      </c>
      <c r="AI60" s="2" t="b">
        <f>IF(AND(Table1938[[#This Row],[Double Check]]=TRUE,Table1938[[#This Row],[Inspected]]=TRUE,Table1938[[#This Row],[Relevant]]=TRUE),TRUE,FALSE)</f>
        <v>0</v>
      </c>
    </row>
    <row r="61" spans="1:35" ht="57.35" x14ac:dyDescent="0.5">
      <c r="A61" s="2">
        <v>60</v>
      </c>
      <c r="B61" s="20" t="s">
        <v>2</v>
      </c>
      <c r="C61" s="20" t="s">
        <v>2691</v>
      </c>
      <c r="D61" s="20" t="s">
        <v>2692</v>
      </c>
      <c r="E61" s="20" t="s">
        <v>123</v>
      </c>
      <c r="F61" s="2" t="s">
        <v>123</v>
      </c>
      <c r="G61" s="20" t="s">
        <v>2519</v>
      </c>
      <c r="H61" s="36" t="s">
        <v>123</v>
      </c>
      <c r="I61" s="20" t="s">
        <v>123</v>
      </c>
      <c r="J61" s="20" t="s">
        <v>2520</v>
      </c>
      <c r="K61" s="20" t="s">
        <v>123</v>
      </c>
      <c r="L61" s="20" t="s">
        <v>642</v>
      </c>
      <c r="M61" s="20" t="s">
        <v>123</v>
      </c>
      <c r="N61" s="20" t="b">
        <v>1</v>
      </c>
      <c r="O61" s="2" t="b">
        <f>IF(Table1938[[#This Row],[Title]]="",TRUE,FALSE)</f>
        <v>0</v>
      </c>
      <c r="P61" s="2" t="b">
        <f>IF(Table1938[[#This Row],[Author]]="",TRUE,FALSE)</f>
        <v>1</v>
      </c>
      <c r="Q61" s="2" t="b">
        <f>IF(Table1938[[#This Row],[DOI]]&lt;&gt;"", FALSE,TRUE)</f>
        <v>1</v>
      </c>
      <c r="R61" s="2" t="b">
        <f>IF(Table1938[[#This Row],[Abstract]]="",TRUE,FALSE)</f>
        <v>1</v>
      </c>
      <c r="S61" s="2" t="b">
        <f>IF(OR(Table1938[[#This Row],[Document Type]]="book",Table1938[[#This Row],[Document Type]]="bookSection"),TRUE,FALSE)</f>
        <v>0</v>
      </c>
      <c r="T61" s="2" t="b">
        <f>NOT(IF(OR(Table1938[[#This Row],[Language]]&lt;&gt;"en",Table1938[[#This Row],[Language]]&lt;&gt;"EN",Table1938[[#This Row],[Language]]&lt;&gt;"spa",Table1938[[#This Row],[Language]]&lt;&gt;"SPA"),TRUE,FALSE))</f>
        <v>0</v>
      </c>
      <c r="U61" s="2" t="b">
        <f>IF(AND(Table1938[[#This Row],[EC-01]]=FALSE,Table1938[[#This Row],[EC-02]]=FALSE,Table1938[[#This Row],[EC-03]]=FALSE,Table1938[[#This Row],[EC-04]]=FALSE,Table1938[[#This Row],[EC-05]]=FALSE,Table1938[[#This Row],[EC-06]]=FALSE),TRUE,FALSE)</f>
        <v>0</v>
      </c>
      <c r="V61" s="2" t="b">
        <f>IF(Table1938[[#This Row],[Date]]&lt;&gt;"",AND(YEAR(Table1938[[#This Row],[Date]])&gt;=2010, YEAR(Table1938[[#This Row],[Date]])&lt;=2024),FALSE)</f>
        <v>0</v>
      </c>
      <c r="W61" s="2" t="b">
        <f>IF(Table1938[[#This Row],[Date]]&lt;&gt;"",AND(YEAR(Table1938[[#This Row],[Date]])&gt;=2010, YEAR(Table1938[[#This Row],[Date]])&lt;=2020),FALSE)</f>
        <v>0</v>
      </c>
      <c r="X61" s="2" t="b">
        <f>IF(AND(Table1938[[#This Row],[Accesible]]=TRUE,Table1938[[#This Row],[DOI]]&lt;&gt;""),TRUE,FALSE)</f>
        <v>0</v>
      </c>
      <c r="Y61" s="2" t="b">
        <f>OR(Table1938[[#This Row],[Document Type]]="journalArticle",Table1938[[#This Row],[Document Type]]="conferencePaper",Table1938[[#This Row],[Document Type]]="review")</f>
        <v>0</v>
      </c>
      <c r="Z61" s="2" t="b" cm="1">
        <f t="array" ref="Z61">SUMPRODUCT(--ISNUMBER(SEARCH({"dimensional analysis","dimensionless coefficients","Π","Pi","theorem","software","design","tools","development","architecture","similar"}, LOWER(Table1938[[#This Row],[Title]]))))&gt;0</f>
        <v>0</v>
      </c>
      <c r="AA61" s="2" t="b" cm="1">
        <f t="array" ref="AA61">SUMPRODUCT(--ISNUMBER(SEARCH({"dimensional analysis","dimensionless coefficients","Π","Pi","theorem","software","design","tools","development","architecture","similar"}, LOWER(Table1938[[#This Row],[Abstract]]))))&gt;0</f>
        <v>0</v>
      </c>
      <c r="AB61" s="2" t="b">
        <f>AND(OR(Table1938[[#This Row],[IC-01 @2024]:[IC-01 @2020]])=TRUE,Table1938[[#This Row],[IC-02]]=TRUE,Table1938[[#This Row],[IC-03]]=TRUE,Table1938[[#This Row],[IC-04]]=TRUE,Table1938[[#This Row],[IC-05]]=TRUE)</f>
        <v>0</v>
      </c>
      <c r="AC61" s="2" t="b">
        <f>AND(Table1938[[#This Row],[Pass-IC]]=TRUE,Table1938[[#This Row],[Pass-EC]]=TRUE)</f>
        <v>0</v>
      </c>
      <c r="AD61" s="2" t="b">
        <f>COUNTIF($D$25:D61, Table1938[[#This Row],[Title]]) = 1</f>
        <v>1</v>
      </c>
      <c r="AE61" s="2" t="b">
        <f>AND(Table1938[[#This Row],[IC + EC]:[Unique]])</f>
        <v>0</v>
      </c>
      <c r="AF61" s="2" t="b">
        <v>0</v>
      </c>
      <c r="AG61" s="2" t="b">
        <v>0</v>
      </c>
      <c r="AH61" s="2" t="b">
        <v>0</v>
      </c>
      <c r="AI61" s="2" t="b">
        <f>IF(AND(Table1938[[#This Row],[Double Check]]=TRUE,Table1938[[#This Row],[Inspected]]=TRUE,Table1938[[#This Row],[Relevant]]=TRUE),TRUE,FALSE)</f>
        <v>0</v>
      </c>
    </row>
    <row r="62" spans="1:35" ht="57.35" x14ac:dyDescent="0.5">
      <c r="A62" s="2">
        <v>61</v>
      </c>
      <c r="B62" s="20" t="s">
        <v>2</v>
      </c>
      <c r="C62" s="20" t="s">
        <v>2693</v>
      </c>
      <c r="D62" s="20" t="s">
        <v>2694</v>
      </c>
      <c r="E62" s="20" t="s">
        <v>123</v>
      </c>
      <c r="F62" s="2" t="s">
        <v>123</v>
      </c>
      <c r="G62" s="20" t="s">
        <v>2535</v>
      </c>
      <c r="H62" s="36" t="s">
        <v>123</v>
      </c>
      <c r="I62" s="20" t="s">
        <v>123</v>
      </c>
      <c r="J62" s="20" t="s">
        <v>2520</v>
      </c>
      <c r="K62" s="20" t="s">
        <v>123</v>
      </c>
      <c r="L62" s="20" t="s">
        <v>642</v>
      </c>
      <c r="M62" s="20" t="s">
        <v>123</v>
      </c>
      <c r="N62" s="20" t="b">
        <v>1</v>
      </c>
      <c r="O62" s="2" t="b">
        <f>IF(Table1938[[#This Row],[Title]]="",TRUE,FALSE)</f>
        <v>0</v>
      </c>
      <c r="P62" s="2" t="b">
        <f>IF(Table1938[[#This Row],[Author]]="",TRUE,FALSE)</f>
        <v>1</v>
      </c>
      <c r="Q62" s="2" t="b">
        <f>IF(Table1938[[#This Row],[DOI]]&lt;&gt;"", FALSE,TRUE)</f>
        <v>1</v>
      </c>
      <c r="R62" s="2" t="b">
        <f>IF(Table1938[[#This Row],[Abstract]]="",TRUE,FALSE)</f>
        <v>1</v>
      </c>
      <c r="S62" s="2" t="b">
        <f>IF(OR(Table1938[[#This Row],[Document Type]]="book",Table1938[[#This Row],[Document Type]]="bookSection"),TRUE,FALSE)</f>
        <v>0</v>
      </c>
      <c r="T62" s="2" t="b">
        <f>NOT(IF(OR(Table1938[[#This Row],[Language]]&lt;&gt;"en",Table1938[[#This Row],[Language]]&lt;&gt;"EN",Table1938[[#This Row],[Language]]&lt;&gt;"spa",Table1938[[#This Row],[Language]]&lt;&gt;"SPA"),TRUE,FALSE))</f>
        <v>0</v>
      </c>
      <c r="U62" s="2" t="b">
        <f>IF(AND(Table1938[[#This Row],[EC-01]]=FALSE,Table1938[[#This Row],[EC-02]]=FALSE,Table1938[[#This Row],[EC-03]]=FALSE,Table1938[[#This Row],[EC-04]]=FALSE,Table1938[[#This Row],[EC-05]]=FALSE,Table1938[[#This Row],[EC-06]]=FALSE),TRUE,FALSE)</f>
        <v>0</v>
      </c>
      <c r="V62" s="2" t="b">
        <f>IF(Table1938[[#This Row],[Date]]&lt;&gt;"",AND(YEAR(Table1938[[#This Row],[Date]])&gt;=2010, YEAR(Table1938[[#This Row],[Date]])&lt;=2024),FALSE)</f>
        <v>0</v>
      </c>
      <c r="W62" s="2" t="b">
        <f>IF(Table1938[[#This Row],[Date]]&lt;&gt;"",AND(YEAR(Table1938[[#This Row],[Date]])&gt;=2010, YEAR(Table1938[[#This Row],[Date]])&lt;=2020),FALSE)</f>
        <v>0</v>
      </c>
      <c r="X62" s="2" t="b">
        <f>IF(AND(Table1938[[#This Row],[Accesible]]=TRUE,Table1938[[#This Row],[DOI]]&lt;&gt;""),TRUE,FALSE)</f>
        <v>0</v>
      </c>
      <c r="Y62" s="2" t="b">
        <f>OR(Table1938[[#This Row],[Document Type]]="journalArticle",Table1938[[#This Row],[Document Type]]="conferencePaper",Table1938[[#This Row],[Document Type]]="review")</f>
        <v>0</v>
      </c>
      <c r="Z62" s="2" t="b" cm="1">
        <f t="array" ref="Z62">SUMPRODUCT(--ISNUMBER(SEARCH({"dimensional analysis","dimensionless coefficients","Π","Pi","theorem","software","design","tools","development","architecture","similar"}, LOWER(Table1938[[#This Row],[Title]]))))&gt;0</f>
        <v>0</v>
      </c>
      <c r="AA62" s="2" t="b" cm="1">
        <f t="array" ref="AA62">SUMPRODUCT(--ISNUMBER(SEARCH({"dimensional analysis","dimensionless coefficients","Π","Pi","theorem","software","design","tools","development","architecture","similar"}, LOWER(Table1938[[#This Row],[Abstract]]))))&gt;0</f>
        <v>0</v>
      </c>
      <c r="AB62" s="2" t="b">
        <f>AND(OR(Table1938[[#This Row],[IC-01 @2024]:[IC-01 @2020]])=TRUE,Table1938[[#This Row],[IC-02]]=TRUE,Table1938[[#This Row],[IC-03]]=TRUE,Table1938[[#This Row],[IC-04]]=TRUE,Table1938[[#This Row],[IC-05]]=TRUE)</f>
        <v>0</v>
      </c>
      <c r="AC62" s="2" t="b">
        <f>AND(Table1938[[#This Row],[Pass-IC]]=TRUE,Table1938[[#This Row],[Pass-EC]]=TRUE)</f>
        <v>0</v>
      </c>
      <c r="AD62" s="2" t="b">
        <f>COUNTIF($D$25:D62, Table1938[[#This Row],[Title]]) = 1</f>
        <v>1</v>
      </c>
      <c r="AE62" s="2" t="b">
        <f>AND(Table1938[[#This Row],[IC + EC]:[Unique]])</f>
        <v>0</v>
      </c>
      <c r="AF62" s="2" t="b">
        <v>0</v>
      </c>
      <c r="AG62" s="2" t="b">
        <v>0</v>
      </c>
      <c r="AH62" s="2" t="b">
        <v>0</v>
      </c>
      <c r="AI62" s="2" t="b">
        <f>IF(AND(Table1938[[#This Row],[Double Check]]=TRUE,Table1938[[#This Row],[Inspected]]=TRUE,Table1938[[#This Row],[Relevant]]=TRUE),TRUE,FALSE)</f>
        <v>0</v>
      </c>
    </row>
    <row r="63" spans="1:35" ht="57.35" x14ac:dyDescent="0.5">
      <c r="A63" s="2">
        <v>62</v>
      </c>
      <c r="B63" s="20" t="s">
        <v>2</v>
      </c>
      <c r="C63" s="20" t="s">
        <v>2695</v>
      </c>
      <c r="D63" s="20" t="s">
        <v>2696</v>
      </c>
      <c r="E63" s="20" t="s">
        <v>123</v>
      </c>
      <c r="F63" s="2" t="s">
        <v>123</v>
      </c>
      <c r="G63" s="20" t="s">
        <v>2535</v>
      </c>
      <c r="H63" s="36" t="s">
        <v>123</v>
      </c>
      <c r="I63" s="20" t="s">
        <v>123</v>
      </c>
      <c r="J63" s="20" t="s">
        <v>2520</v>
      </c>
      <c r="K63" s="20" t="s">
        <v>123</v>
      </c>
      <c r="L63" s="20" t="s">
        <v>642</v>
      </c>
      <c r="M63" s="20" t="s">
        <v>123</v>
      </c>
      <c r="N63" s="20" t="b">
        <v>1</v>
      </c>
      <c r="O63" s="2" t="b">
        <f>IF(Table1938[[#This Row],[Title]]="",TRUE,FALSE)</f>
        <v>0</v>
      </c>
      <c r="P63" s="2" t="b">
        <f>IF(Table1938[[#This Row],[Author]]="",TRUE,FALSE)</f>
        <v>1</v>
      </c>
      <c r="Q63" s="2" t="b">
        <f>IF(Table1938[[#This Row],[DOI]]&lt;&gt;"", FALSE,TRUE)</f>
        <v>1</v>
      </c>
      <c r="R63" s="2" t="b">
        <f>IF(Table1938[[#This Row],[Abstract]]="",TRUE,FALSE)</f>
        <v>1</v>
      </c>
      <c r="S63" s="2" t="b">
        <f>IF(OR(Table1938[[#This Row],[Document Type]]="book",Table1938[[#This Row],[Document Type]]="bookSection"),TRUE,FALSE)</f>
        <v>0</v>
      </c>
      <c r="T63" s="2" t="b">
        <f>NOT(IF(OR(Table1938[[#This Row],[Language]]&lt;&gt;"en",Table1938[[#This Row],[Language]]&lt;&gt;"EN",Table1938[[#This Row],[Language]]&lt;&gt;"spa",Table1938[[#This Row],[Language]]&lt;&gt;"SPA"),TRUE,FALSE))</f>
        <v>0</v>
      </c>
      <c r="U63" s="2" t="b">
        <f>IF(AND(Table1938[[#This Row],[EC-01]]=FALSE,Table1938[[#This Row],[EC-02]]=FALSE,Table1938[[#This Row],[EC-03]]=FALSE,Table1938[[#This Row],[EC-04]]=FALSE,Table1938[[#This Row],[EC-05]]=FALSE,Table1938[[#This Row],[EC-06]]=FALSE),TRUE,FALSE)</f>
        <v>0</v>
      </c>
      <c r="V63" s="2" t="b">
        <f>IF(Table1938[[#This Row],[Date]]&lt;&gt;"",AND(YEAR(Table1938[[#This Row],[Date]])&gt;=2010, YEAR(Table1938[[#This Row],[Date]])&lt;=2024),FALSE)</f>
        <v>0</v>
      </c>
      <c r="W63" s="2" t="b">
        <f>IF(Table1938[[#This Row],[Date]]&lt;&gt;"",AND(YEAR(Table1938[[#This Row],[Date]])&gt;=2010, YEAR(Table1938[[#This Row],[Date]])&lt;=2020),FALSE)</f>
        <v>0</v>
      </c>
      <c r="X63" s="2" t="b">
        <f>IF(AND(Table1938[[#This Row],[Accesible]]=TRUE,Table1938[[#This Row],[DOI]]&lt;&gt;""),TRUE,FALSE)</f>
        <v>0</v>
      </c>
      <c r="Y63" s="2" t="b">
        <f>OR(Table1938[[#This Row],[Document Type]]="journalArticle",Table1938[[#This Row],[Document Type]]="conferencePaper",Table1938[[#This Row],[Document Type]]="review")</f>
        <v>0</v>
      </c>
      <c r="Z63" s="2" t="b" cm="1">
        <f t="array" ref="Z63">SUMPRODUCT(--ISNUMBER(SEARCH({"dimensional analysis","dimensionless coefficients","Π","Pi","theorem","software","design","tools","development","architecture","similar"}, LOWER(Table1938[[#This Row],[Title]]))))&gt;0</f>
        <v>0</v>
      </c>
      <c r="AA63" s="2" t="b" cm="1">
        <f t="array" ref="AA63">SUMPRODUCT(--ISNUMBER(SEARCH({"dimensional analysis","dimensionless coefficients","Π","Pi","theorem","software","design","tools","development","architecture","similar"}, LOWER(Table1938[[#This Row],[Abstract]]))))&gt;0</f>
        <v>0</v>
      </c>
      <c r="AB63" s="2" t="b">
        <f>AND(OR(Table1938[[#This Row],[IC-01 @2024]:[IC-01 @2020]])=TRUE,Table1938[[#This Row],[IC-02]]=TRUE,Table1938[[#This Row],[IC-03]]=TRUE,Table1938[[#This Row],[IC-04]]=TRUE,Table1938[[#This Row],[IC-05]]=TRUE)</f>
        <v>0</v>
      </c>
      <c r="AC63" s="2" t="b">
        <f>AND(Table1938[[#This Row],[Pass-IC]]=TRUE,Table1938[[#This Row],[Pass-EC]]=TRUE)</f>
        <v>0</v>
      </c>
      <c r="AD63" s="2" t="b">
        <f>COUNTIF($D$25:D63, Table1938[[#This Row],[Title]]) = 1</f>
        <v>1</v>
      </c>
      <c r="AE63" s="2" t="b">
        <f>AND(Table1938[[#This Row],[IC + EC]:[Unique]])</f>
        <v>0</v>
      </c>
      <c r="AF63" s="2" t="b">
        <v>0</v>
      </c>
      <c r="AG63" s="2" t="b">
        <v>0</v>
      </c>
      <c r="AH63" s="2" t="b">
        <v>0</v>
      </c>
      <c r="AI63" s="2" t="b">
        <f>IF(AND(Table1938[[#This Row],[Double Check]]=TRUE,Table1938[[#This Row],[Inspected]]=TRUE,Table1938[[#This Row],[Relevant]]=TRUE),TRUE,FALSE)</f>
        <v>0</v>
      </c>
    </row>
    <row r="64" spans="1:35" ht="86" x14ac:dyDescent="0.5">
      <c r="A64" s="2">
        <v>63</v>
      </c>
      <c r="B64" s="20" t="s">
        <v>2</v>
      </c>
      <c r="C64" s="20" t="s">
        <v>2697</v>
      </c>
      <c r="D64" s="20" t="s">
        <v>2698</v>
      </c>
      <c r="E64" s="20" t="s">
        <v>2699</v>
      </c>
      <c r="F64" s="2" t="s">
        <v>2700</v>
      </c>
      <c r="G64" s="20" t="s">
        <v>2701</v>
      </c>
      <c r="H64" s="36">
        <v>45108</v>
      </c>
      <c r="I64" s="20">
        <v>2023</v>
      </c>
      <c r="J64" s="20" t="s">
        <v>61</v>
      </c>
      <c r="K64" s="20" t="s">
        <v>123</v>
      </c>
      <c r="L64" s="20" t="s">
        <v>2515</v>
      </c>
      <c r="M64" s="20" t="s">
        <v>2702</v>
      </c>
      <c r="N64" s="20" t="b">
        <v>0</v>
      </c>
      <c r="O64" s="2" t="b">
        <f>IF(Table1938[[#This Row],[Title]]="",TRUE,FALSE)</f>
        <v>0</v>
      </c>
      <c r="P64" s="2" t="b">
        <f>IF(Table1938[[#This Row],[Author]]="",TRUE,FALSE)</f>
        <v>0</v>
      </c>
      <c r="Q64" s="2" t="b">
        <f>IF(Table1938[[#This Row],[DOI]]&lt;&gt;"", FALSE,TRUE)</f>
        <v>0</v>
      </c>
      <c r="R64" s="2" t="b">
        <f>IF(Table1938[[#This Row],[Abstract]]="",TRUE,FALSE)</f>
        <v>0</v>
      </c>
      <c r="S64" s="2" t="b">
        <f>IF(OR(Table1938[[#This Row],[Document Type]]="book",Table1938[[#This Row],[Document Type]]="bookSection"),TRUE,FALSE)</f>
        <v>0</v>
      </c>
      <c r="T64" s="2" t="b">
        <f>NOT(IF(OR(Table1938[[#This Row],[Language]]&lt;&gt;"en",Table1938[[#This Row],[Language]]&lt;&gt;"EN",Table1938[[#This Row],[Language]]&lt;&gt;"spa",Table1938[[#This Row],[Language]]&lt;&gt;"SPA"),TRUE,FALSE))</f>
        <v>0</v>
      </c>
      <c r="U64" s="2" t="b">
        <f>IF(AND(Table1938[[#This Row],[EC-01]]=FALSE,Table1938[[#This Row],[EC-02]]=FALSE,Table1938[[#This Row],[EC-03]]=FALSE,Table1938[[#This Row],[EC-04]]=FALSE,Table1938[[#This Row],[EC-05]]=FALSE,Table1938[[#This Row],[EC-06]]=FALSE),TRUE,FALSE)</f>
        <v>1</v>
      </c>
      <c r="V64" s="2" t="b">
        <f>IF(Table1938[[#This Row],[Date]]&lt;&gt;"",AND(YEAR(Table1938[[#This Row],[Date]])&gt;=2010, YEAR(Table1938[[#This Row],[Date]])&lt;=2024),FALSE)</f>
        <v>1</v>
      </c>
      <c r="W64" s="2" t="b">
        <f>IF(Table1938[[#This Row],[Date]]&lt;&gt;"",AND(YEAR(Table1938[[#This Row],[Date]])&gt;=2010, YEAR(Table1938[[#This Row],[Date]])&lt;=2020),FALSE)</f>
        <v>0</v>
      </c>
      <c r="X64" s="2" t="b">
        <f>IF(AND(Table1938[[#This Row],[Accesible]]=TRUE,Table1938[[#This Row],[DOI]]&lt;&gt;""),TRUE,FALSE)</f>
        <v>0</v>
      </c>
      <c r="Y64" s="2" t="b">
        <f>OR(Table1938[[#This Row],[Document Type]]="journalArticle",Table1938[[#This Row],[Document Type]]="conferencePaper",Table1938[[#This Row],[Document Type]]="review")</f>
        <v>1</v>
      </c>
      <c r="Z64" s="2" t="b" cm="1">
        <f t="array" ref="Z64">SUMPRODUCT(--ISNUMBER(SEARCH({"dimensional analysis","dimensionless coefficients","Π","Pi","theorem","software","design","tools","development","architecture","similar"}, LOWER(Table1938[[#This Row],[Title]]))))&gt;0</f>
        <v>1</v>
      </c>
      <c r="AA64" s="2" t="b" cm="1">
        <f t="array" ref="AA64">SUMPRODUCT(--ISNUMBER(SEARCH({"dimensional analysis","dimensionless coefficients","Π","Pi","theorem","software","design","tools","development","architecture","similar"}, LOWER(Table1938[[#This Row],[Abstract]]))))&gt;0</f>
        <v>1</v>
      </c>
      <c r="AB64" s="2" t="b">
        <f>AND(OR(Table1938[[#This Row],[IC-01 @2024]:[IC-01 @2020]])=TRUE,Table1938[[#This Row],[IC-02]]=TRUE,Table1938[[#This Row],[IC-03]]=TRUE,Table1938[[#This Row],[IC-04]]=TRUE,Table1938[[#This Row],[IC-05]]=TRUE)</f>
        <v>0</v>
      </c>
      <c r="AC64" s="2" t="b">
        <f>AND(Table1938[[#This Row],[Pass-IC]]=TRUE,Table1938[[#This Row],[Pass-EC]]=TRUE)</f>
        <v>0</v>
      </c>
      <c r="AD64" s="2" t="b">
        <f>COUNTIF($D$25:D64, Table1938[[#This Row],[Title]]) = 1</f>
        <v>1</v>
      </c>
      <c r="AE64" s="2" t="b">
        <f>AND(Table1938[[#This Row],[IC + EC]:[Unique]])</f>
        <v>0</v>
      </c>
      <c r="AF64" s="2" t="b">
        <v>0</v>
      </c>
      <c r="AG64" s="2" t="b">
        <v>0</v>
      </c>
      <c r="AH64" s="2" t="b">
        <v>0</v>
      </c>
      <c r="AI64" s="2" t="b">
        <f>IF(AND(Table1938[[#This Row],[Double Check]]=TRUE,Table1938[[#This Row],[Inspected]]=TRUE,Table1938[[#This Row],[Relevant]]=TRUE),TRUE,FALSE)</f>
        <v>0</v>
      </c>
    </row>
    <row r="65" spans="1:35" ht="71.7" x14ac:dyDescent="0.5">
      <c r="A65" s="2">
        <v>64</v>
      </c>
      <c r="B65" s="20" t="s">
        <v>2</v>
      </c>
      <c r="C65" s="20" t="s">
        <v>2703</v>
      </c>
      <c r="D65" s="20" t="s">
        <v>2704</v>
      </c>
      <c r="E65" s="20" t="s">
        <v>123</v>
      </c>
      <c r="F65" s="2" t="s">
        <v>123</v>
      </c>
      <c r="G65" s="20" t="s">
        <v>2535</v>
      </c>
      <c r="H65" s="36" t="s">
        <v>123</v>
      </c>
      <c r="I65" s="20" t="s">
        <v>123</v>
      </c>
      <c r="J65" s="20" t="s">
        <v>2520</v>
      </c>
      <c r="K65" s="20" t="s">
        <v>123</v>
      </c>
      <c r="L65" s="20" t="s">
        <v>642</v>
      </c>
      <c r="M65" s="20" t="s">
        <v>123</v>
      </c>
      <c r="N65" s="20" t="b">
        <v>1</v>
      </c>
      <c r="O65" s="2" t="b">
        <f>IF(Table1938[[#This Row],[Title]]="",TRUE,FALSE)</f>
        <v>0</v>
      </c>
      <c r="P65" s="2" t="b">
        <f>IF(Table1938[[#This Row],[Author]]="",TRUE,FALSE)</f>
        <v>1</v>
      </c>
      <c r="Q65" s="2" t="b">
        <f>IF(Table1938[[#This Row],[DOI]]&lt;&gt;"", FALSE,TRUE)</f>
        <v>1</v>
      </c>
      <c r="R65" s="2" t="b">
        <f>IF(Table1938[[#This Row],[Abstract]]="",TRUE,FALSE)</f>
        <v>1</v>
      </c>
      <c r="S65" s="2" t="b">
        <f>IF(OR(Table1938[[#This Row],[Document Type]]="book",Table1938[[#This Row],[Document Type]]="bookSection"),TRUE,FALSE)</f>
        <v>0</v>
      </c>
      <c r="T65" s="2" t="b">
        <f>NOT(IF(OR(Table1938[[#This Row],[Language]]&lt;&gt;"en",Table1938[[#This Row],[Language]]&lt;&gt;"EN",Table1938[[#This Row],[Language]]&lt;&gt;"spa",Table1938[[#This Row],[Language]]&lt;&gt;"SPA"),TRUE,FALSE))</f>
        <v>0</v>
      </c>
      <c r="U65" s="2" t="b">
        <f>IF(AND(Table1938[[#This Row],[EC-01]]=FALSE,Table1938[[#This Row],[EC-02]]=FALSE,Table1938[[#This Row],[EC-03]]=FALSE,Table1938[[#This Row],[EC-04]]=FALSE,Table1938[[#This Row],[EC-05]]=FALSE,Table1938[[#This Row],[EC-06]]=FALSE),TRUE,FALSE)</f>
        <v>0</v>
      </c>
      <c r="V65" s="2" t="b">
        <f>IF(Table1938[[#This Row],[Date]]&lt;&gt;"",AND(YEAR(Table1938[[#This Row],[Date]])&gt;=2010, YEAR(Table1938[[#This Row],[Date]])&lt;=2024),FALSE)</f>
        <v>0</v>
      </c>
      <c r="W65" s="2" t="b">
        <f>IF(Table1938[[#This Row],[Date]]&lt;&gt;"",AND(YEAR(Table1938[[#This Row],[Date]])&gt;=2010, YEAR(Table1938[[#This Row],[Date]])&lt;=2020),FALSE)</f>
        <v>0</v>
      </c>
      <c r="X65" s="2" t="b">
        <f>IF(AND(Table1938[[#This Row],[Accesible]]=TRUE,Table1938[[#This Row],[DOI]]&lt;&gt;""),TRUE,FALSE)</f>
        <v>0</v>
      </c>
      <c r="Y65" s="2" t="b">
        <f>OR(Table1938[[#This Row],[Document Type]]="journalArticle",Table1938[[#This Row],[Document Type]]="conferencePaper",Table1938[[#This Row],[Document Type]]="review")</f>
        <v>0</v>
      </c>
      <c r="Z65" s="2" t="b" cm="1">
        <f t="array" ref="Z65">SUMPRODUCT(--ISNUMBER(SEARCH({"dimensional analysis","dimensionless coefficients","Π","Pi","theorem","software","design","tools","development","architecture","similar"}, LOWER(Table1938[[#This Row],[Title]]))))&gt;0</f>
        <v>0</v>
      </c>
      <c r="AA65" s="2" t="b" cm="1">
        <f t="array" ref="AA65">SUMPRODUCT(--ISNUMBER(SEARCH({"dimensional analysis","dimensionless coefficients","Π","Pi","theorem","software","design","tools","development","architecture","similar"}, LOWER(Table1938[[#This Row],[Abstract]]))))&gt;0</f>
        <v>0</v>
      </c>
      <c r="AB65" s="2" t="b">
        <f>AND(OR(Table1938[[#This Row],[IC-01 @2024]:[IC-01 @2020]])=TRUE,Table1938[[#This Row],[IC-02]]=TRUE,Table1938[[#This Row],[IC-03]]=TRUE,Table1938[[#This Row],[IC-04]]=TRUE,Table1938[[#This Row],[IC-05]]=TRUE)</f>
        <v>0</v>
      </c>
      <c r="AC65" s="2" t="b">
        <f>AND(Table1938[[#This Row],[Pass-IC]]=TRUE,Table1938[[#This Row],[Pass-EC]]=TRUE)</f>
        <v>0</v>
      </c>
      <c r="AD65" s="2" t="b">
        <f>COUNTIF($D$25:D65, Table1938[[#This Row],[Title]]) = 1</f>
        <v>1</v>
      </c>
      <c r="AE65" s="2" t="b">
        <f>AND(Table1938[[#This Row],[IC + EC]:[Unique]])</f>
        <v>0</v>
      </c>
      <c r="AF65" s="2" t="b">
        <v>0</v>
      </c>
      <c r="AG65" s="2" t="b">
        <v>0</v>
      </c>
      <c r="AH65" s="2" t="b">
        <v>0</v>
      </c>
      <c r="AI65" s="2" t="b">
        <f>IF(AND(Table1938[[#This Row],[Double Check]]=TRUE,Table1938[[#This Row],[Inspected]]=TRUE,Table1938[[#This Row],[Relevant]]=TRUE),TRUE,FALSE)</f>
        <v>0</v>
      </c>
    </row>
    <row r="66" spans="1:35" ht="57.35" x14ac:dyDescent="0.5">
      <c r="A66" s="2">
        <v>65</v>
      </c>
      <c r="B66" s="20" t="s">
        <v>2</v>
      </c>
      <c r="C66" s="20" t="s">
        <v>2705</v>
      </c>
      <c r="D66" s="20" t="s">
        <v>2706</v>
      </c>
      <c r="E66" s="20" t="s">
        <v>2707</v>
      </c>
      <c r="F66" s="2" t="s">
        <v>2708</v>
      </c>
      <c r="G66" s="20" t="s">
        <v>2709</v>
      </c>
      <c r="H66" s="36">
        <v>45302</v>
      </c>
      <c r="I66" s="20">
        <v>2024</v>
      </c>
      <c r="J66" s="20" t="s">
        <v>61</v>
      </c>
      <c r="K66" s="20" t="s">
        <v>2710</v>
      </c>
      <c r="L66" s="20" t="s">
        <v>2515</v>
      </c>
      <c r="M66" s="20" t="s">
        <v>2711</v>
      </c>
      <c r="N66" s="20" t="b">
        <v>0</v>
      </c>
      <c r="O66" s="2" t="b">
        <f>IF(Table1938[[#This Row],[Title]]="",TRUE,FALSE)</f>
        <v>0</v>
      </c>
      <c r="P66" s="2" t="b">
        <f>IF(Table1938[[#This Row],[Author]]="",TRUE,FALSE)</f>
        <v>0</v>
      </c>
      <c r="Q66" s="2" t="b">
        <f>IF(Table1938[[#This Row],[DOI]]&lt;&gt;"", FALSE,TRUE)</f>
        <v>0</v>
      </c>
      <c r="R66" s="2" t="b">
        <f>IF(Table1938[[#This Row],[Abstract]]="",TRUE,FALSE)</f>
        <v>0</v>
      </c>
      <c r="S66" s="2" t="b">
        <f>IF(OR(Table1938[[#This Row],[Document Type]]="book",Table1938[[#This Row],[Document Type]]="bookSection"),TRUE,FALSE)</f>
        <v>0</v>
      </c>
      <c r="T66" s="2" t="b">
        <f>NOT(IF(OR(Table1938[[#This Row],[Language]]&lt;&gt;"en",Table1938[[#This Row],[Language]]&lt;&gt;"EN",Table1938[[#This Row],[Language]]&lt;&gt;"spa",Table1938[[#This Row],[Language]]&lt;&gt;"SPA"),TRUE,FALSE))</f>
        <v>0</v>
      </c>
      <c r="U66" s="2" t="b">
        <f>IF(AND(Table1938[[#This Row],[EC-01]]=FALSE,Table1938[[#This Row],[EC-02]]=FALSE,Table1938[[#This Row],[EC-03]]=FALSE,Table1938[[#This Row],[EC-04]]=FALSE,Table1938[[#This Row],[EC-05]]=FALSE,Table1938[[#This Row],[EC-06]]=FALSE),TRUE,FALSE)</f>
        <v>1</v>
      </c>
      <c r="V66" s="2" t="b">
        <f>IF(Table1938[[#This Row],[Date]]&lt;&gt;"",AND(YEAR(Table1938[[#This Row],[Date]])&gt;=2010, YEAR(Table1938[[#This Row],[Date]])&lt;=2024),FALSE)</f>
        <v>1</v>
      </c>
      <c r="W66" s="2" t="b">
        <f>IF(Table1938[[#This Row],[Date]]&lt;&gt;"",AND(YEAR(Table1938[[#This Row],[Date]])&gt;=2010, YEAR(Table1938[[#This Row],[Date]])&lt;=2020),FALSE)</f>
        <v>0</v>
      </c>
      <c r="X66" s="2" t="b">
        <f>IF(AND(Table1938[[#This Row],[Accesible]]=TRUE,Table1938[[#This Row],[DOI]]&lt;&gt;""),TRUE,FALSE)</f>
        <v>0</v>
      </c>
      <c r="Y66" s="2" t="b">
        <f>OR(Table1938[[#This Row],[Document Type]]="journalArticle",Table1938[[#This Row],[Document Type]]="conferencePaper",Table1938[[#This Row],[Document Type]]="review")</f>
        <v>1</v>
      </c>
      <c r="Z66" s="2" t="b" cm="1">
        <f t="array" ref="Z66">SUMPRODUCT(--ISNUMBER(SEARCH({"dimensional analysis","dimensionless coefficients","Π","Pi","theorem","software","design","tools","development","architecture","similar"}, LOWER(Table1938[[#This Row],[Title]]))))&gt;0</f>
        <v>0</v>
      </c>
      <c r="AA66" s="2" t="b" cm="1">
        <f t="array" ref="AA66">SUMPRODUCT(--ISNUMBER(SEARCH({"dimensional analysis","dimensionless coefficients","Π","Pi","theorem","software","design","tools","development","architecture","similar"}, LOWER(Table1938[[#This Row],[Abstract]]))))&gt;0</f>
        <v>0</v>
      </c>
      <c r="AB66" s="2" t="b">
        <f>AND(OR(Table1938[[#This Row],[IC-01 @2024]:[IC-01 @2020]])=TRUE,Table1938[[#This Row],[IC-02]]=TRUE,Table1938[[#This Row],[IC-03]]=TRUE,Table1938[[#This Row],[IC-04]]=TRUE,Table1938[[#This Row],[IC-05]]=TRUE)</f>
        <v>0</v>
      </c>
      <c r="AC66" s="2" t="b">
        <f>AND(Table1938[[#This Row],[Pass-IC]]=TRUE,Table1938[[#This Row],[Pass-EC]]=TRUE)</f>
        <v>0</v>
      </c>
      <c r="AD66" s="2" t="b">
        <f>COUNTIF($D$25:D66, Table1938[[#This Row],[Title]]) = 1</f>
        <v>1</v>
      </c>
      <c r="AE66" s="2" t="b">
        <f>AND(Table1938[[#This Row],[IC + EC]:[Unique]])</f>
        <v>0</v>
      </c>
      <c r="AF66" s="2" t="b">
        <v>0</v>
      </c>
      <c r="AG66" s="2" t="b">
        <v>0</v>
      </c>
      <c r="AH66" s="2" t="b">
        <v>0</v>
      </c>
      <c r="AI66" s="2" t="b">
        <f>IF(AND(Table1938[[#This Row],[Double Check]]=TRUE,Table1938[[#This Row],[Inspected]]=TRUE,Table1938[[#This Row],[Relevant]]=TRUE),TRUE,FALSE)</f>
        <v>0</v>
      </c>
    </row>
    <row r="67" spans="1:35" ht="71.7" x14ac:dyDescent="0.5">
      <c r="A67" s="2">
        <v>66</v>
      </c>
      <c r="B67" s="20" t="s">
        <v>2</v>
      </c>
      <c r="C67" s="20" t="s">
        <v>2712</v>
      </c>
      <c r="D67" s="20" t="s">
        <v>2713</v>
      </c>
      <c r="E67" s="20" t="s">
        <v>123</v>
      </c>
      <c r="F67" s="2" t="s">
        <v>123</v>
      </c>
      <c r="G67" s="20" t="s">
        <v>2535</v>
      </c>
      <c r="H67" s="36" t="s">
        <v>123</v>
      </c>
      <c r="I67" s="20" t="s">
        <v>123</v>
      </c>
      <c r="J67" s="20" t="s">
        <v>2520</v>
      </c>
      <c r="K67" s="20" t="s">
        <v>123</v>
      </c>
      <c r="L67" s="20" t="s">
        <v>642</v>
      </c>
      <c r="M67" s="20" t="s">
        <v>123</v>
      </c>
      <c r="N67" s="20" t="b">
        <v>1</v>
      </c>
      <c r="O67" s="2" t="b">
        <f>IF(Table1938[[#This Row],[Title]]="",TRUE,FALSE)</f>
        <v>0</v>
      </c>
      <c r="P67" s="2" t="b">
        <f>IF(Table1938[[#This Row],[Author]]="",TRUE,FALSE)</f>
        <v>1</v>
      </c>
      <c r="Q67" s="2" t="b">
        <f>IF(Table1938[[#This Row],[DOI]]&lt;&gt;"", FALSE,TRUE)</f>
        <v>1</v>
      </c>
      <c r="R67" s="2" t="b">
        <f>IF(Table1938[[#This Row],[Abstract]]="",TRUE,FALSE)</f>
        <v>1</v>
      </c>
      <c r="S67" s="2" t="b">
        <f>IF(OR(Table1938[[#This Row],[Document Type]]="book",Table1938[[#This Row],[Document Type]]="bookSection"),TRUE,FALSE)</f>
        <v>0</v>
      </c>
      <c r="T67" s="2" t="b">
        <f>NOT(IF(OR(Table1938[[#This Row],[Language]]&lt;&gt;"en",Table1938[[#This Row],[Language]]&lt;&gt;"EN",Table1938[[#This Row],[Language]]&lt;&gt;"spa",Table1938[[#This Row],[Language]]&lt;&gt;"SPA"),TRUE,FALSE))</f>
        <v>0</v>
      </c>
      <c r="U67" s="2" t="b">
        <f>IF(AND(Table1938[[#This Row],[EC-01]]=FALSE,Table1938[[#This Row],[EC-02]]=FALSE,Table1938[[#This Row],[EC-03]]=FALSE,Table1938[[#This Row],[EC-04]]=FALSE,Table1938[[#This Row],[EC-05]]=FALSE,Table1938[[#This Row],[EC-06]]=FALSE),TRUE,FALSE)</f>
        <v>0</v>
      </c>
      <c r="V67" s="2" t="b">
        <f>IF(Table1938[[#This Row],[Date]]&lt;&gt;"",AND(YEAR(Table1938[[#This Row],[Date]])&gt;=2010, YEAR(Table1938[[#This Row],[Date]])&lt;=2024),FALSE)</f>
        <v>0</v>
      </c>
      <c r="W67" s="2" t="b">
        <f>IF(Table1938[[#This Row],[Date]]&lt;&gt;"",AND(YEAR(Table1938[[#This Row],[Date]])&gt;=2010, YEAR(Table1938[[#This Row],[Date]])&lt;=2020),FALSE)</f>
        <v>0</v>
      </c>
      <c r="X67" s="2" t="b">
        <f>IF(AND(Table1938[[#This Row],[Accesible]]=TRUE,Table1938[[#This Row],[DOI]]&lt;&gt;""),TRUE,FALSE)</f>
        <v>0</v>
      </c>
      <c r="Y67" s="2" t="b">
        <f>OR(Table1938[[#This Row],[Document Type]]="journalArticle",Table1938[[#This Row],[Document Type]]="conferencePaper",Table1938[[#This Row],[Document Type]]="review")</f>
        <v>0</v>
      </c>
      <c r="Z67" s="2" t="b" cm="1">
        <f t="array" ref="Z67">SUMPRODUCT(--ISNUMBER(SEARCH({"dimensional analysis","dimensionless coefficients","Π","Pi","theorem","software","design","tools","development","architecture","similar"}, LOWER(Table1938[[#This Row],[Title]]))))&gt;0</f>
        <v>0</v>
      </c>
      <c r="AA67" s="2" t="b" cm="1">
        <f t="array" ref="AA67">SUMPRODUCT(--ISNUMBER(SEARCH({"dimensional analysis","dimensionless coefficients","Π","Pi","theorem","software","design","tools","development","architecture","similar"}, LOWER(Table1938[[#This Row],[Abstract]]))))&gt;0</f>
        <v>0</v>
      </c>
      <c r="AB67" s="2" t="b">
        <f>AND(OR(Table1938[[#This Row],[IC-01 @2024]:[IC-01 @2020]])=TRUE,Table1938[[#This Row],[IC-02]]=TRUE,Table1938[[#This Row],[IC-03]]=TRUE,Table1938[[#This Row],[IC-04]]=TRUE,Table1938[[#This Row],[IC-05]]=TRUE)</f>
        <v>0</v>
      </c>
      <c r="AC67" s="2" t="b">
        <f>AND(Table1938[[#This Row],[Pass-IC]]=TRUE,Table1938[[#This Row],[Pass-EC]]=TRUE)</f>
        <v>0</v>
      </c>
      <c r="AD67" s="2" t="b">
        <f>COUNTIF($D$25:D67, Table1938[[#This Row],[Title]]) = 1</f>
        <v>1</v>
      </c>
      <c r="AE67" s="2" t="b">
        <f>AND(Table1938[[#This Row],[IC + EC]:[Unique]])</f>
        <v>0</v>
      </c>
      <c r="AF67" s="2" t="b">
        <v>0</v>
      </c>
      <c r="AG67" s="2" t="b">
        <v>0</v>
      </c>
      <c r="AH67" s="2" t="b">
        <v>0</v>
      </c>
      <c r="AI67" s="2" t="b">
        <f>IF(AND(Table1938[[#This Row],[Double Check]]=TRUE,Table1938[[#This Row],[Inspected]]=TRUE,Table1938[[#This Row],[Relevant]]=TRUE),TRUE,FALSE)</f>
        <v>0</v>
      </c>
    </row>
    <row r="68" spans="1:35" ht="57.35" x14ac:dyDescent="0.5">
      <c r="A68" s="2">
        <v>67</v>
      </c>
      <c r="B68" s="20" t="s">
        <v>2</v>
      </c>
      <c r="C68" s="20" t="s">
        <v>2714</v>
      </c>
      <c r="D68" s="20" t="s">
        <v>2715</v>
      </c>
      <c r="E68" s="20" t="s">
        <v>123</v>
      </c>
      <c r="F68" s="2" t="s">
        <v>123</v>
      </c>
      <c r="G68" s="20" t="s">
        <v>2535</v>
      </c>
      <c r="H68" s="36" t="s">
        <v>123</v>
      </c>
      <c r="I68" s="20" t="s">
        <v>123</v>
      </c>
      <c r="J68" s="20" t="s">
        <v>2520</v>
      </c>
      <c r="K68" s="20" t="s">
        <v>123</v>
      </c>
      <c r="L68" s="20" t="s">
        <v>642</v>
      </c>
      <c r="M68" s="20" t="s">
        <v>123</v>
      </c>
      <c r="N68" s="20" t="b">
        <v>1</v>
      </c>
      <c r="O68" s="2" t="b">
        <f>IF(Table1938[[#This Row],[Title]]="",TRUE,FALSE)</f>
        <v>0</v>
      </c>
      <c r="P68" s="2" t="b">
        <f>IF(Table1938[[#This Row],[Author]]="",TRUE,FALSE)</f>
        <v>1</v>
      </c>
      <c r="Q68" s="2" t="b">
        <f>IF(Table1938[[#This Row],[DOI]]&lt;&gt;"", FALSE,TRUE)</f>
        <v>1</v>
      </c>
      <c r="R68" s="2" t="b">
        <f>IF(Table1938[[#This Row],[Abstract]]="",TRUE,FALSE)</f>
        <v>1</v>
      </c>
      <c r="S68" s="2" t="b">
        <f>IF(OR(Table1938[[#This Row],[Document Type]]="book",Table1938[[#This Row],[Document Type]]="bookSection"),TRUE,FALSE)</f>
        <v>0</v>
      </c>
      <c r="T68" s="2" t="b">
        <f>NOT(IF(OR(Table1938[[#This Row],[Language]]&lt;&gt;"en",Table1938[[#This Row],[Language]]&lt;&gt;"EN",Table1938[[#This Row],[Language]]&lt;&gt;"spa",Table1938[[#This Row],[Language]]&lt;&gt;"SPA"),TRUE,FALSE))</f>
        <v>0</v>
      </c>
      <c r="U68" s="2" t="b">
        <f>IF(AND(Table1938[[#This Row],[EC-01]]=FALSE,Table1938[[#This Row],[EC-02]]=FALSE,Table1938[[#This Row],[EC-03]]=FALSE,Table1938[[#This Row],[EC-04]]=FALSE,Table1938[[#This Row],[EC-05]]=FALSE,Table1938[[#This Row],[EC-06]]=FALSE),TRUE,FALSE)</f>
        <v>0</v>
      </c>
      <c r="V68" s="2" t="b">
        <f>IF(Table1938[[#This Row],[Date]]&lt;&gt;"",AND(YEAR(Table1938[[#This Row],[Date]])&gt;=2010, YEAR(Table1938[[#This Row],[Date]])&lt;=2024),FALSE)</f>
        <v>0</v>
      </c>
      <c r="W68" s="2" t="b">
        <f>IF(Table1938[[#This Row],[Date]]&lt;&gt;"",AND(YEAR(Table1938[[#This Row],[Date]])&gt;=2010, YEAR(Table1938[[#This Row],[Date]])&lt;=2020),FALSE)</f>
        <v>0</v>
      </c>
      <c r="X68" s="2" t="b">
        <f>IF(AND(Table1938[[#This Row],[Accesible]]=TRUE,Table1938[[#This Row],[DOI]]&lt;&gt;""),TRUE,FALSE)</f>
        <v>0</v>
      </c>
      <c r="Y68" s="2" t="b">
        <f>OR(Table1938[[#This Row],[Document Type]]="journalArticle",Table1938[[#This Row],[Document Type]]="conferencePaper",Table1938[[#This Row],[Document Type]]="review")</f>
        <v>0</v>
      </c>
      <c r="Z68" s="2" t="b" cm="1">
        <f t="array" ref="Z68">SUMPRODUCT(--ISNUMBER(SEARCH({"dimensional analysis","dimensionless coefficients","Π","Pi","theorem","software","design","tools","development","architecture","similar"}, LOWER(Table1938[[#This Row],[Title]]))))&gt;0</f>
        <v>0</v>
      </c>
      <c r="AA68" s="2" t="b" cm="1">
        <f t="array" ref="AA68">SUMPRODUCT(--ISNUMBER(SEARCH({"dimensional analysis","dimensionless coefficients","Π","Pi","theorem","software","design","tools","development","architecture","similar"}, LOWER(Table1938[[#This Row],[Abstract]]))))&gt;0</f>
        <v>0</v>
      </c>
      <c r="AB68" s="2" t="b">
        <f>AND(OR(Table1938[[#This Row],[IC-01 @2024]:[IC-01 @2020]])=TRUE,Table1938[[#This Row],[IC-02]]=TRUE,Table1938[[#This Row],[IC-03]]=TRUE,Table1938[[#This Row],[IC-04]]=TRUE,Table1938[[#This Row],[IC-05]]=TRUE)</f>
        <v>0</v>
      </c>
      <c r="AC68" s="2" t="b">
        <f>AND(Table1938[[#This Row],[Pass-IC]]=TRUE,Table1938[[#This Row],[Pass-EC]]=TRUE)</f>
        <v>0</v>
      </c>
      <c r="AD68" s="2" t="b">
        <f>COUNTIF($D$5:D88, Table1938[[#This Row],[Title]]) = 1</f>
        <v>1</v>
      </c>
      <c r="AE68" s="2" t="b">
        <f>AND(Table1938[[#This Row],[IC + EC]:[Unique]])</f>
        <v>0</v>
      </c>
      <c r="AF68" s="2" t="b">
        <v>0</v>
      </c>
      <c r="AG68" s="2" t="b">
        <v>0</v>
      </c>
      <c r="AH68" s="2" t="b">
        <v>0</v>
      </c>
      <c r="AI68" s="2" t="b">
        <f>IF(AND(Table1938[[#This Row],[Double Check]]=TRUE,Table1938[[#This Row],[Inspected]]=TRUE,Table1938[[#This Row],[Relevant]]=TRUE),TRUE,FALSE)</f>
        <v>0</v>
      </c>
    </row>
    <row r="69" spans="1:35" ht="28.7" x14ac:dyDescent="0.5">
      <c r="A69" s="2">
        <v>68</v>
      </c>
      <c r="B69" s="20" t="s">
        <v>2</v>
      </c>
      <c r="C69" s="20" t="s">
        <v>2716</v>
      </c>
      <c r="D69" s="20" t="s">
        <v>2717</v>
      </c>
      <c r="E69" s="20" t="s">
        <v>123</v>
      </c>
      <c r="F69" s="2" t="s">
        <v>123</v>
      </c>
      <c r="G69" s="20" t="s">
        <v>2519</v>
      </c>
      <c r="H69" s="36" t="s">
        <v>123</v>
      </c>
      <c r="I69" s="20" t="s">
        <v>123</v>
      </c>
      <c r="J69" s="20" t="s">
        <v>2520</v>
      </c>
      <c r="K69" s="20" t="s">
        <v>123</v>
      </c>
      <c r="L69" s="20" t="s">
        <v>642</v>
      </c>
      <c r="M69" s="20" t="s">
        <v>123</v>
      </c>
      <c r="N69" s="20" t="b">
        <v>1</v>
      </c>
      <c r="O69" s="2" t="b">
        <f>IF(Table1938[[#This Row],[Title]]="",TRUE,FALSE)</f>
        <v>0</v>
      </c>
      <c r="P69" s="2" t="b">
        <f>IF(Table1938[[#This Row],[Author]]="",TRUE,FALSE)</f>
        <v>1</v>
      </c>
      <c r="Q69" s="2" t="b">
        <f>IF(Table1938[[#This Row],[DOI]]&lt;&gt;"", FALSE,TRUE)</f>
        <v>1</v>
      </c>
      <c r="R69" s="2" t="b">
        <f>IF(Table1938[[#This Row],[Abstract]]="",TRUE,FALSE)</f>
        <v>1</v>
      </c>
      <c r="S69" s="2" t="b">
        <f>IF(OR(Table1938[[#This Row],[Document Type]]="book",Table1938[[#This Row],[Document Type]]="bookSection"),TRUE,FALSE)</f>
        <v>0</v>
      </c>
      <c r="T69" s="2" t="b">
        <f>NOT(IF(OR(Table1938[[#This Row],[Language]]&lt;&gt;"en",Table1938[[#This Row],[Language]]&lt;&gt;"EN",Table1938[[#This Row],[Language]]&lt;&gt;"spa",Table1938[[#This Row],[Language]]&lt;&gt;"SPA"),TRUE,FALSE))</f>
        <v>0</v>
      </c>
      <c r="U69" s="2" t="b">
        <f>IF(AND(Table1938[[#This Row],[EC-01]]=FALSE,Table1938[[#This Row],[EC-02]]=FALSE,Table1938[[#This Row],[EC-03]]=FALSE,Table1938[[#This Row],[EC-04]]=FALSE,Table1938[[#This Row],[EC-05]]=FALSE,Table1938[[#This Row],[EC-06]]=FALSE),TRUE,FALSE)</f>
        <v>0</v>
      </c>
      <c r="V69" s="2" t="b">
        <f>IF(Table1938[[#This Row],[Date]]&lt;&gt;"",AND(YEAR(Table1938[[#This Row],[Date]])&gt;=2010, YEAR(Table1938[[#This Row],[Date]])&lt;=2024),FALSE)</f>
        <v>0</v>
      </c>
      <c r="W69" s="2" t="b">
        <f>IF(Table1938[[#This Row],[Date]]&lt;&gt;"",AND(YEAR(Table1938[[#This Row],[Date]])&gt;=2010, YEAR(Table1938[[#This Row],[Date]])&lt;=2020),FALSE)</f>
        <v>0</v>
      </c>
      <c r="X69" s="2" t="b">
        <f>IF(AND(Table1938[[#This Row],[Accesible]]=TRUE,Table1938[[#This Row],[DOI]]&lt;&gt;""),TRUE,FALSE)</f>
        <v>0</v>
      </c>
      <c r="Y69" s="2" t="b">
        <f>OR(Table1938[[#This Row],[Document Type]]="journalArticle",Table1938[[#This Row],[Document Type]]="conferencePaper",Table1938[[#This Row],[Document Type]]="review")</f>
        <v>0</v>
      </c>
      <c r="Z69" s="2" t="b" cm="1">
        <f t="array" ref="Z69">SUMPRODUCT(--ISNUMBER(SEARCH({"dimensional analysis","dimensionless coefficients","Π","Pi","theorem","software","design","tools","development","architecture","similar"}, LOWER(Table1938[[#This Row],[Title]]))))&gt;0</f>
        <v>0</v>
      </c>
      <c r="AA69" s="2" t="b" cm="1">
        <f t="array" ref="AA69">SUMPRODUCT(--ISNUMBER(SEARCH({"dimensional analysis","dimensionless coefficients","Π","Pi","theorem","software","design","tools","development","architecture","similar"}, LOWER(Table1938[[#This Row],[Abstract]]))))&gt;0</f>
        <v>0</v>
      </c>
      <c r="AB69" s="2" t="b">
        <f>AND(OR(Table1938[[#This Row],[IC-01 @2024]:[IC-01 @2020]])=TRUE,Table1938[[#This Row],[IC-02]]=TRUE,Table1938[[#This Row],[IC-03]]=TRUE,Table1938[[#This Row],[IC-04]]=TRUE,Table1938[[#This Row],[IC-05]]=TRUE)</f>
        <v>0</v>
      </c>
      <c r="AC69" s="2" t="b">
        <f>AND(Table1938[[#This Row],[Pass-IC]]=TRUE,Table1938[[#This Row],[Pass-EC]]=TRUE)</f>
        <v>0</v>
      </c>
      <c r="AD69" s="2" t="b">
        <f>COUNTIF($D$25:D69, Table1938[[#This Row],[Title]]) = 1</f>
        <v>1</v>
      </c>
      <c r="AE69" s="2" t="b">
        <f>AND(Table1938[[#This Row],[IC + EC]:[Unique]])</f>
        <v>0</v>
      </c>
      <c r="AF69" s="2" t="b">
        <v>0</v>
      </c>
      <c r="AG69" s="2" t="b">
        <v>0</v>
      </c>
      <c r="AH69" s="2" t="b">
        <v>0</v>
      </c>
      <c r="AI69" s="2" t="b">
        <f>IF(AND(Table1938[[#This Row],[Double Check]]=TRUE,Table1938[[#This Row],[Inspected]]=TRUE,Table1938[[#This Row],[Relevant]]=TRUE),TRUE,FALSE)</f>
        <v>0</v>
      </c>
    </row>
    <row r="70" spans="1:35" ht="86" x14ac:dyDescent="0.5">
      <c r="A70" s="2">
        <v>69</v>
      </c>
      <c r="B70" s="20" t="s">
        <v>2</v>
      </c>
      <c r="C70" s="20" t="s">
        <v>2718</v>
      </c>
      <c r="D70" s="20" t="s">
        <v>2719</v>
      </c>
      <c r="E70" s="20" t="s">
        <v>123</v>
      </c>
      <c r="F70" s="2" t="s">
        <v>123</v>
      </c>
      <c r="G70" s="20" t="s">
        <v>2535</v>
      </c>
      <c r="H70" s="36" t="s">
        <v>123</v>
      </c>
      <c r="I70" s="20" t="s">
        <v>123</v>
      </c>
      <c r="J70" s="20" t="s">
        <v>2520</v>
      </c>
      <c r="K70" s="20" t="s">
        <v>123</v>
      </c>
      <c r="L70" s="20" t="s">
        <v>642</v>
      </c>
      <c r="M70" s="20" t="s">
        <v>123</v>
      </c>
      <c r="N70" s="20" t="b">
        <v>1</v>
      </c>
      <c r="O70" s="2" t="b">
        <f>IF(Table1938[[#This Row],[Title]]="",TRUE,FALSE)</f>
        <v>0</v>
      </c>
      <c r="P70" s="2" t="b">
        <f>IF(Table1938[[#This Row],[Author]]="",TRUE,FALSE)</f>
        <v>1</v>
      </c>
      <c r="Q70" s="2" t="b">
        <f>IF(Table1938[[#This Row],[DOI]]&lt;&gt;"", FALSE,TRUE)</f>
        <v>1</v>
      </c>
      <c r="R70" s="2" t="b">
        <f>IF(Table1938[[#This Row],[Abstract]]="",TRUE,FALSE)</f>
        <v>1</v>
      </c>
      <c r="S70" s="2" t="b">
        <f>IF(OR(Table1938[[#This Row],[Document Type]]="book",Table1938[[#This Row],[Document Type]]="bookSection"),TRUE,FALSE)</f>
        <v>0</v>
      </c>
      <c r="T70" s="2" t="b">
        <f>NOT(IF(OR(Table1938[[#This Row],[Language]]&lt;&gt;"en",Table1938[[#This Row],[Language]]&lt;&gt;"EN",Table1938[[#This Row],[Language]]&lt;&gt;"spa",Table1938[[#This Row],[Language]]&lt;&gt;"SPA"),TRUE,FALSE))</f>
        <v>0</v>
      </c>
      <c r="U70" s="2" t="b">
        <f>IF(AND(Table1938[[#This Row],[EC-01]]=FALSE,Table1938[[#This Row],[EC-02]]=FALSE,Table1938[[#This Row],[EC-03]]=FALSE,Table1938[[#This Row],[EC-04]]=FALSE,Table1938[[#This Row],[EC-05]]=FALSE,Table1938[[#This Row],[EC-06]]=FALSE),TRUE,FALSE)</f>
        <v>0</v>
      </c>
      <c r="V70" s="2" t="b">
        <f>IF(Table1938[[#This Row],[Date]]&lt;&gt;"",AND(YEAR(Table1938[[#This Row],[Date]])&gt;=2010, YEAR(Table1938[[#This Row],[Date]])&lt;=2024),FALSE)</f>
        <v>0</v>
      </c>
      <c r="W70" s="2" t="b">
        <f>IF(Table1938[[#This Row],[Date]]&lt;&gt;"",AND(YEAR(Table1938[[#This Row],[Date]])&gt;=2010, YEAR(Table1938[[#This Row],[Date]])&lt;=2020),FALSE)</f>
        <v>0</v>
      </c>
      <c r="X70" s="2" t="b">
        <f>IF(AND(Table1938[[#This Row],[Accesible]]=TRUE,Table1938[[#This Row],[DOI]]&lt;&gt;""),TRUE,FALSE)</f>
        <v>0</v>
      </c>
      <c r="Y70" s="2" t="b">
        <f>OR(Table1938[[#This Row],[Document Type]]="journalArticle",Table1938[[#This Row],[Document Type]]="conferencePaper",Table1938[[#This Row],[Document Type]]="review")</f>
        <v>0</v>
      </c>
      <c r="Z70" s="2" t="b" cm="1">
        <f t="array" ref="Z70">SUMPRODUCT(--ISNUMBER(SEARCH({"dimensional analysis","dimensionless coefficients","Π","Pi","theorem","software","design","tools","development","architecture","similar"}, LOWER(Table1938[[#This Row],[Title]]))))&gt;0</f>
        <v>0</v>
      </c>
      <c r="AA70" s="2" t="b" cm="1">
        <f t="array" ref="AA70">SUMPRODUCT(--ISNUMBER(SEARCH({"dimensional analysis","dimensionless coefficients","Π","Pi","theorem","software","design","tools","development","architecture","similar"}, LOWER(Table1938[[#This Row],[Abstract]]))))&gt;0</f>
        <v>0</v>
      </c>
      <c r="AB70" s="2" t="b">
        <f>AND(OR(Table1938[[#This Row],[IC-01 @2024]:[IC-01 @2020]])=TRUE,Table1938[[#This Row],[IC-02]]=TRUE,Table1938[[#This Row],[IC-03]]=TRUE,Table1938[[#This Row],[IC-04]]=TRUE,Table1938[[#This Row],[IC-05]]=TRUE)</f>
        <v>0</v>
      </c>
      <c r="AC70" s="2" t="b">
        <f>AND(Table1938[[#This Row],[Pass-IC]]=TRUE,Table1938[[#This Row],[Pass-EC]]=TRUE)</f>
        <v>0</v>
      </c>
      <c r="AD70" s="2" t="b">
        <f>COUNTIF($D$25:D70, Table1938[[#This Row],[Title]]) = 1</f>
        <v>1</v>
      </c>
      <c r="AE70" s="2" t="b">
        <f>AND(Table1938[[#This Row],[IC + EC]:[Unique]])</f>
        <v>0</v>
      </c>
      <c r="AF70" s="2" t="b">
        <v>0</v>
      </c>
      <c r="AG70" s="2" t="b">
        <v>0</v>
      </c>
      <c r="AH70" s="2" t="b">
        <v>0</v>
      </c>
      <c r="AI70" s="2" t="b">
        <f>IF(AND(Table1938[[#This Row],[Double Check]]=TRUE,Table1938[[#This Row],[Inspected]]=TRUE,Table1938[[#This Row],[Relevant]]=TRUE),TRUE,FALSE)</f>
        <v>0</v>
      </c>
    </row>
    <row r="71" spans="1:35" ht="43" x14ac:dyDescent="0.5">
      <c r="A71" s="39">
        <v>70</v>
      </c>
      <c r="B71" s="40" t="s">
        <v>2</v>
      </c>
      <c r="C71" s="40" t="s">
        <v>2720</v>
      </c>
      <c r="D71" s="40" t="s">
        <v>87</v>
      </c>
      <c r="E71" s="40" t="s">
        <v>326</v>
      </c>
      <c r="F71" s="2" t="s">
        <v>88</v>
      </c>
      <c r="G71" s="20" t="s">
        <v>89</v>
      </c>
      <c r="H71" s="36">
        <v>40575</v>
      </c>
      <c r="I71" s="20">
        <v>2011</v>
      </c>
      <c r="J71" s="20" t="s">
        <v>61</v>
      </c>
      <c r="K71" s="20" t="s">
        <v>2721</v>
      </c>
      <c r="L71" s="20" t="s">
        <v>2515</v>
      </c>
      <c r="M71" s="20" t="s">
        <v>376</v>
      </c>
      <c r="N71" s="20" t="b">
        <v>0</v>
      </c>
      <c r="O71" s="2" t="b">
        <f>IF(Table1938[[#This Row],[Title]]="",TRUE,FALSE)</f>
        <v>0</v>
      </c>
      <c r="P71" s="2" t="b">
        <f>IF(Table1938[[#This Row],[Author]]="",TRUE,FALSE)</f>
        <v>0</v>
      </c>
      <c r="Q71" s="2" t="b">
        <f>IF(Table1938[[#This Row],[DOI]]&lt;&gt;"", FALSE,TRUE)</f>
        <v>0</v>
      </c>
      <c r="R71" s="2" t="b">
        <f>IF(Table1938[[#This Row],[Abstract]]="",TRUE,FALSE)</f>
        <v>0</v>
      </c>
      <c r="S71" s="2" t="b">
        <f>IF(OR(Table1938[[#This Row],[Document Type]]="book",Table1938[[#This Row],[Document Type]]="bookSection"),TRUE,FALSE)</f>
        <v>0</v>
      </c>
      <c r="T71" s="2" t="b">
        <f>NOT(IF(OR(Table1938[[#This Row],[Language]]&lt;&gt;"en",Table1938[[#This Row],[Language]]&lt;&gt;"EN",Table1938[[#This Row],[Language]]&lt;&gt;"spa",Table1938[[#This Row],[Language]]&lt;&gt;"SPA"),TRUE,FALSE))</f>
        <v>0</v>
      </c>
      <c r="U71" s="2" t="b">
        <f>IF(AND(Table1938[[#This Row],[EC-01]]=FALSE,Table1938[[#This Row],[EC-02]]=FALSE,Table1938[[#This Row],[EC-03]]=FALSE,Table1938[[#This Row],[EC-04]]=FALSE,Table1938[[#This Row],[EC-05]]=FALSE,Table1938[[#This Row],[EC-06]]=FALSE),TRUE,FALSE)</f>
        <v>1</v>
      </c>
      <c r="V71" s="2" t="b">
        <f>IF(Table1938[[#This Row],[Date]]&lt;&gt;"",AND(YEAR(Table1938[[#This Row],[Date]])&gt;=2010, YEAR(Table1938[[#This Row],[Date]])&lt;=2024),FALSE)</f>
        <v>1</v>
      </c>
      <c r="W71" s="2" t="b">
        <f>IF(Table1938[[#This Row],[Date]]&lt;&gt;"",AND(YEAR(Table1938[[#This Row],[Date]])&gt;=2010, YEAR(Table1938[[#This Row],[Date]])&lt;=2020),FALSE)</f>
        <v>1</v>
      </c>
      <c r="X71" s="2" t="b">
        <v>1</v>
      </c>
      <c r="Y71" s="2" t="b">
        <f>OR(Table1938[[#This Row],[Document Type]]="journalArticle",Table1938[[#This Row],[Document Type]]="conferencePaper",Table1938[[#This Row],[Document Type]]="review")</f>
        <v>1</v>
      </c>
      <c r="Z71" s="2" t="b" cm="1">
        <f t="array" ref="Z71">SUMPRODUCT(--ISNUMBER(SEARCH({"dimensional analysis","dimensionless coefficients","Π","Pi","theorem","software","design","tools","development","architecture","similar"}, LOWER(Table1938[[#This Row],[Title]]))))&gt;0</f>
        <v>1</v>
      </c>
      <c r="AA71" s="2" t="b" cm="1">
        <f t="array" ref="AA71">SUMPRODUCT(--ISNUMBER(SEARCH({"dimensional analysis","dimensionless coefficients","Π","Pi","theorem","software","design","tools","development","architecture","similar"}, LOWER(Table1938[[#This Row],[Abstract]]))))&gt;0</f>
        <v>1</v>
      </c>
      <c r="AB71" s="2" t="b">
        <f>AND(OR(Table1938[[#This Row],[IC-01 @2024]:[IC-01 @2020]])=TRUE,Table1938[[#This Row],[IC-02]]=TRUE,Table1938[[#This Row],[IC-03]]=TRUE,Table1938[[#This Row],[IC-04]]=TRUE,Table1938[[#This Row],[IC-05]]=TRUE)</f>
        <v>1</v>
      </c>
      <c r="AC71" s="2" t="b">
        <f>AND(Table1938[[#This Row],[Pass-IC]]=TRUE,Table1938[[#This Row],[Pass-EC]]=TRUE)</f>
        <v>1</v>
      </c>
      <c r="AD71" s="2" t="b">
        <f>COUNTIF($D$2:D94, Table1938[[#This Row],[Title]]) = 1</f>
        <v>1</v>
      </c>
      <c r="AE71" s="2" t="b">
        <f>AND(Table1938[[#This Row],[IC + EC]:[Unique]])</f>
        <v>1</v>
      </c>
      <c r="AF71" s="2" t="b">
        <v>1</v>
      </c>
      <c r="AG71" s="2" t="b">
        <v>1</v>
      </c>
      <c r="AH71" s="2" t="b">
        <v>1</v>
      </c>
      <c r="AI71" s="2" t="b">
        <f>IF(AND(Table1938[[#This Row],[Double Check]]=TRUE,Table1938[[#This Row],[Inspected]]=TRUE,Table1938[[#This Row],[Relevant]]=TRUE),TRUE,FALSE)</f>
        <v>1</v>
      </c>
    </row>
    <row r="72" spans="1:35" ht="28.7" x14ac:dyDescent="0.5">
      <c r="A72" s="2">
        <v>71</v>
      </c>
      <c r="B72" s="20" t="s">
        <v>2</v>
      </c>
      <c r="C72" s="20" t="s">
        <v>2722</v>
      </c>
      <c r="D72" s="20" t="s">
        <v>2723</v>
      </c>
      <c r="E72" s="20" t="s">
        <v>2724</v>
      </c>
      <c r="F72" s="2" t="s">
        <v>2725</v>
      </c>
      <c r="G72" s="20" t="s">
        <v>123</v>
      </c>
      <c r="H72" s="36">
        <v>40909</v>
      </c>
      <c r="I72" s="20">
        <v>2012</v>
      </c>
      <c r="J72" s="20" t="s">
        <v>63</v>
      </c>
      <c r="K72" s="20" t="s">
        <v>123</v>
      </c>
      <c r="L72" s="20" t="s">
        <v>2515</v>
      </c>
      <c r="M72" s="20" t="s">
        <v>123</v>
      </c>
      <c r="N72" s="20" t="b">
        <v>0</v>
      </c>
      <c r="O72" s="2" t="b">
        <f>IF(Table1938[[#This Row],[Title]]="",TRUE,FALSE)</f>
        <v>0</v>
      </c>
      <c r="P72" s="2" t="b">
        <f>IF(Table1938[[#This Row],[Author]]="",TRUE,FALSE)</f>
        <v>0</v>
      </c>
      <c r="Q72" s="2" t="b">
        <f>IF(Table1938[[#This Row],[DOI]]&lt;&gt;"", FALSE,TRUE)</f>
        <v>1</v>
      </c>
      <c r="R72" s="2" t="b">
        <f>IF(Table1938[[#This Row],[Abstract]]="",TRUE,FALSE)</f>
        <v>0</v>
      </c>
      <c r="S72" s="2" t="b">
        <f>IF(OR(Table1938[[#This Row],[Document Type]]="book",Table1938[[#This Row],[Document Type]]="bookSection"),TRUE,FALSE)</f>
        <v>1</v>
      </c>
      <c r="T72" s="2" t="b">
        <f>NOT(IF(OR(Table1938[[#This Row],[Language]]&lt;&gt;"en",Table1938[[#This Row],[Language]]&lt;&gt;"EN",Table1938[[#This Row],[Language]]&lt;&gt;"spa",Table1938[[#This Row],[Language]]&lt;&gt;"SPA"),TRUE,FALSE))</f>
        <v>0</v>
      </c>
      <c r="U72" s="2" t="b">
        <f>IF(AND(Table1938[[#This Row],[EC-01]]=FALSE,Table1938[[#This Row],[EC-02]]=FALSE,Table1938[[#This Row],[EC-03]]=FALSE,Table1938[[#This Row],[EC-04]]=FALSE,Table1938[[#This Row],[EC-05]]=FALSE,Table1938[[#This Row],[EC-06]]=FALSE),TRUE,FALSE)</f>
        <v>0</v>
      </c>
      <c r="V72" s="2" t="b">
        <f>IF(Table1938[[#This Row],[Date]]&lt;&gt;"",AND(YEAR(Table1938[[#This Row],[Date]])&gt;=2010, YEAR(Table1938[[#This Row],[Date]])&lt;=2024),FALSE)</f>
        <v>1</v>
      </c>
      <c r="W72" s="2" t="b">
        <f>IF(Table1938[[#This Row],[Date]]&lt;&gt;"",AND(YEAR(Table1938[[#This Row],[Date]])&gt;=2010, YEAR(Table1938[[#This Row],[Date]])&lt;=2020),FALSE)</f>
        <v>1</v>
      </c>
      <c r="X72" s="2" t="b">
        <f>IF(AND(Table1938[[#This Row],[Accesible]]=TRUE,Table1938[[#This Row],[DOI]]&lt;&gt;""),TRUE,FALSE)</f>
        <v>0</v>
      </c>
      <c r="Y72" s="2" t="b">
        <f>OR(Table1938[[#This Row],[Document Type]]="journalArticle",Table1938[[#This Row],[Document Type]]="conferencePaper",Table1938[[#This Row],[Document Type]]="review")</f>
        <v>0</v>
      </c>
      <c r="Z72" s="2" t="b" cm="1">
        <f t="array" ref="Z72">SUMPRODUCT(--ISNUMBER(SEARCH({"dimensional analysis","dimensionless coefficients","Π","Pi","theorem","software","design","tools","development","architecture","similar"}, LOWER(Table1938[[#This Row],[Title]]))))&gt;0</f>
        <v>0</v>
      </c>
      <c r="AA72" s="2" t="b" cm="1">
        <f t="array" ref="AA72">SUMPRODUCT(--ISNUMBER(SEARCH({"dimensional analysis","dimensionless coefficients","Π","Pi","theorem","software","design","tools","development","architecture","similar"}, LOWER(Table1938[[#This Row],[Abstract]]))))&gt;0</f>
        <v>1</v>
      </c>
      <c r="AB72" s="2" t="b">
        <f>AND(OR(Table1938[[#This Row],[IC-01 @2024]:[IC-01 @2020]])=TRUE,Table1938[[#This Row],[IC-02]]=TRUE,Table1938[[#This Row],[IC-03]]=TRUE,Table1938[[#This Row],[IC-04]]=TRUE,Table1938[[#This Row],[IC-05]]=TRUE)</f>
        <v>0</v>
      </c>
      <c r="AC72" s="2" t="b">
        <f>AND(Table1938[[#This Row],[Pass-IC]]=TRUE,Table1938[[#This Row],[Pass-EC]]=TRUE)</f>
        <v>0</v>
      </c>
      <c r="AD72" s="2" t="b">
        <f>COUNTIF($D$25:D72, Table1938[[#This Row],[Title]]) = 1</f>
        <v>1</v>
      </c>
      <c r="AE72" s="2" t="b">
        <f>AND(Table1938[[#This Row],[IC + EC]:[Unique]])</f>
        <v>0</v>
      </c>
      <c r="AF72" s="2" t="b">
        <v>0</v>
      </c>
      <c r="AG72" s="2" t="b">
        <v>0</v>
      </c>
      <c r="AH72" s="2" t="b">
        <v>0</v>
      </c>
      <c r="AI72" s="2" t="b">
        <f>IF(AND(Table1938[[#This Row],[Double Check]]=TRUE,Table1938[[#This Row],[Inspected]]=TRUE,Table1938[[#This Row],[Relevant]]=TRUE),TRUE,FALSE)</f>
        <v>0</v>
      </c>
    </row>
    <row r="73" spans="1:35" ht="57.35" x14ac:dyDescent="0.5">
      <c r="A73" s="2">
        <v>72</v>
      </c>
      <c r="B73" s="20" t="s">
        <v>2</v>
      </c>
      <c r="C73" s="20" t="s">
        <v>2726</v>
      </c>
      <c r="D73" s="20" t="s">
        <v>203</v>
      </c>
      <c r="E73" s="20" t="s">
        <v>2727</v>
      </c>
      <c r="F73" s="2" t="s">
        <v>299</v>
      </c>
      <c r="G73" s="20" t="s">
        <v>204</v>
      </c>
      <c r="H73" s="36">
        <v>42979</v>
      </c>
      <c r="I73" s="20">
        <v>2017</v>
      </c>
      <c r="J73" s="20" t="s">
        <v>61</v>
      </c>
      <c r="K73" s="20" t="s">
        <v>2728</v>
      </c>
      <c r="L73" s="20" t="s">
        <v>642</v>
      </c>
      <c r="M73" s="20" t="s">
        <v>205</v>
      </c>
      <c r="N73" s="20" t="b">
        <v>1</v>
      </c>
      <c r="O73" s="2" t="b">
        <f>IF(Table1938[[#This Row],[Title]]="",TRUE,FALSE)</f>
        <v>0</v>
      </c>
      <c r="P73" s="2" t="b">
        <f>IF(Table1938[[#This Row],[Author]]="",TRUE,FALSE)</f>
        <v>0</v>
      </c>
      <c r="Q73" s="2" t="b">
        <f>IF(Table1938[[#This Row],[DOI]]&lt;&gt;"", FALSE,TRUE)</f>
        <v>0</v>
      </c>
      <c r="R73" s="2" t="b">
        <f>IF(Table1938[[#This Row],[Abstract]]="",TRUE,FALSE)</f>
        <v>0</v>
      </c>
      <c r="S73" s="2" t="b">
        <f>IF(OR(Table1938[[#This Row],[Document Type]]="book",Table1938[[#This Row],[Document Type]]="bookSection"),TRUE,FALSE)</f>
        <v>0</v>
      </c>
      <c r="T73" s="2" t="b">
        <f>NOT(IF(OR(Table1938[[#This Row],[Language]]&lt;&gt;"en",Table1938[[#This Row],[Language]]&lt;&gt;"EN",Table1938[[#This Row],[Language]]&lt;&gt;"spa",Table1938[[#This Row],[Language]]&lt;&gt;"SPA"),TRUE,FALSE))</f>
        <v>0</v>
      </c>
      <c r="U73" s="2" t="b">
        <f>IF(AND(Table1938[[#This Row],[EC-01]]=FALSE,Table1938[[#This Row],[EC-02]]=FALSE,Table1938[[#This Row],[EC-03]]=FALSE,Table1938[[#This Row],[EC-04]]=FALSE,Table1938[[#This Row],[EC-05]]=FALSE,Table1938[[#This Row],[EC-06]]=FALSE),TRUE,FALSE)</f>
        <v>1</v>
      </c>
      <c r="V73" s="2" t="b">
        <f>IF(Table1938[[#This Row],[Date]]&lt;&gt;"",AND(YEAR(Table1938[[#This Row],[Date]])&gt;=2010, YEAR(Table1938[[#This Row],[Date]])&lt;=2024),FALSE)</f>
        <v>1</v>
      </c>
      <c r="W73" s="2" t="b">
        <f>IF(Table1938[[#This Row],[Date]]&lt;&gt;"",AND(YEAR(Table1938[[#This Row],[Date]])&gt;=2010, YEAR(Table1938[[#This Row],[Date]])&lt;=2020),FALSE)</f>
        <v>1</v>
      </c>
      <c r="X73" s="2" t="b">
        <f>IF(AND(Table1938[[#This Row],[Accesible]]=TRUE,Table1938[[#This Row],[DOI]]&lt;&gt;""),TRUE,FALSE)</f>
        <v>1</v>
      </c>
      <c r="Y73" s="2" t="b">
        <f>OR(Table1938[[#This Row],[Document Type]]="journalArticle",Table1938[[#This Row],[Document Type]]="conferencePaper",Table1938[[#This Row],[Document Type]]="review")</f>
        <v>1</v>
      </c>
      <c r="Z73" s="2" t="b" cm="1">
        <f t="array" ref="Z73">SUMPRODUCT(--ISNUMBER(SEARCH({"dimensional analysis","dimensionless coefficients","Π","Pi","theorem","software","design","tools","development","architecture","similar"}, LOWER(Table1938[[#This Row],[Title]]))))&gt;0</f>
        <v>1</v>
      </c>
      <c r="AA73" s="2" t="b" cm="1">
        <f t="array" ref="AA73">SUMPRODUCT(--ISNUMBER(SEARCH({"dimensional analysis","dimensionless coefficients","Π","Pi","theorem","software","design","tools","development","architecture","similar"}, LOWER(Table1938[[#This Row],[Abstract]]))))&gt;0</f>
        <v>1</v>
      </c>
      <c r="AB73" s="2" t="b">
        <f>AND(OR(Table1938[[#This Row],[IC-01 @2024]:[IC-01 @2020]])=TRUE,Table1938[[#This Row],[IC-02]]=TRUE,Table1938[[#This Row],[IC-03]]=TRUE,Table1938[[#This Row],[IC-04]]=TRUE,Table1938[[#This Row],[IC-05]]=TRUE)</f>
        <v>1</v>
      </c>
      <c r="AC73" s="2" t="b">
        <f>AND(Table1938[[#This Row],[Pass-IC]]=TRUE,Table1938[[#This Row],[Pass-EC]]=TRUE)</f>
        <v>1</v>
      </c>
      <c r="AD73" s="2" t="b">
        <f>COUNTIF($D$25:D73, Table1938[[#This Row],[Title]]) = 1</f>
        <v>1</v>
      </c>
      <c r="AE73" s="2" t="b">
        <f>AND(Table1938[[#This Row],[IC + EC]:[Unique]])</f>
        <v>1</v>
      </c>
      <c r="AF73" s="2" t="b">
        <v>1</v>
      </c>
      <c r="AG73" s="2" t="b">
        <v>1</v>
      </c>
      <c r="AH73" s="2" t="b">
        <v>0</v>
      </c>
      <c r="AI73" s="2" t="b">
        <f>IF(AND(Table1938[[#This Row],[Double Check]]=TRUE,Table1938[[#This Row],[Inspected]]=TRUE,Table1938[[#This Row],[Relevant]]=TRUE),TRUE,FALSE)</f>
        <v>0</v>
      </c>
    </row>
    <row r="74" spans="1:35" ht="86" x14ac:dyDescent="0.5">
      <c r="A74" s="2">
        <v>73</v>
      </c>
      <c r="B74" s="20" t="s">
        <v>2</v>
      </c>
      <c r="C74" s="20" t="s">
        <v>2729</v>
      </c>
      <c r="D74" s="20" t="s">
        <v>2730</v>
      </c>
      <c r="E74" s="20" t="s">
        <v>2731</v>
      </c>
      <c r="F74" s="2" t="s">
        <v>2732</v>
      </c>
      <c r="G74" s="20" t="s">
        <v>2733</v>
      </c>
      <c r="H74" s="36">
        <v>45391</v>
      </c>
      <c r="I74" s="20">
        <v>2024</v>
      </c>
      <c r="J74" s="20" t="s">
        <v>61</v>
      </c>
      <c r="K74" s="20" t="s">
        <v>123</v>
      </c>
      <c r="L74" s="20" t="s">
        <v>2515</v>
      </c>
      <c r="M74" s="20" t="s">
        <v>2734</v>
      </c>
      <c r="N74" s="20" t="b">
        <v>1</v>
      </c>
      <c r="O74" s="2" t="b">
        <f>IF(Table1938[[#This Row],[Title]]="",TRUE,FALSE)</f>
        <v>0</v>
      </c>
      <c r="P74" s="2" t="b">
        <f>IF(Table1938[[#This Row],[Author]]="",TRUE,FALSE)</f>
        <v>0</v>
      </c>
      <c r="Q74" s="2" t="b">
        <f>IF(Table1938[[#This Row],[DOI]]&lt;&gt;"", FALSE,TRUE)</f>
        <v>0</v>
      </c>
      <c r="R74" s="2" t="b">
        <f>IF(Table1938[[#This Row],[Abstract]]="",TRUE,FALSE)</f>
        <v>0</v>
      </c>
      <c r="S74" s="2" t="b">
        <f>IF(OR(Table1938[[#This Row],[Document Type]]="book",Table1938[[#This Row],[Document Type]]="bookSection"),TRUE,FALSE)</f>
        <v>0</v>
      </c>
      <c r="T74" s="2" t="b">
        <f>NOT(IF(OR(Table1938[[#This Row],[Language]]&lt;&gt;"en",Table1938[[#This Row],[Language]]&lt;&gt;"EN",Table1938[[#This Row],[Language]]&lt;&gt;"spa",Table1938[[#This Row],[Language]]&lt;&gt;"SPA"),TRUE,FALSE))</f>
        <v>0</v>
      </c>
      <c r="U74" s="2" t="b">
        <f>IF(AND(Table1938[[#This Row],[EC-01]]=FALSE,Table1938[[#This Row],[EC-02]]=FALSE,Table1938[[#This Row],[EC-03]]=FALSE,Table1938[[#This Row],[EC-04]]=FALSE,Table1938[[#This Row],[EC-05]]=FALSE,Table1938[[#This Row],[EC-06]]=FALSE),TRUE,FALSE)</f>
        <v>1</v>
      </c>
      <c r="V74" s="2" t="b">
        <f>IF(Table1938[[#This Row],[Date]]&lt;&gt;"",AND(YEAR(Table1938[[#This Row],[Date]])&gt;=2010, YEAR(Table1938[[#This Row],[Date]])&lt;=2024),FALSE)</f>
        <v>1</v>
      </c>
      <c r="W74" s="2" t="b">
        <f>IF(Table1938[[#This Row],[Date]]&lt;&gt;"",AND(YEAR(Table1938[[#This Row],[Date]])&gt;=2010, YEAR(Table1938[[#This Row],[Date]])&lt;=2020),FALSE)</f>
        <v>0</v>
      </c>
      <c r="X74" s="2" t="b">
        <f>IF(AND(Table1938[[#This Row],[Accesible]]=TRUE,Table1938[[#This Row],[DOI]]&lt;&gt;""),TRUE,FALSE)</f>
        <v>1</v>
      </c>
      <c r="Y74" s="2" t="b">
        <f>OR(Table1938[[#This Row],[Document Type]]="journalArticle",Table1938[[#This Row],[Document Type]]="conferencePaper",Table1938[[#This Row],[Document Type]]="review")</f>
        <v>1</v>
      </c>
      <c r="Z74" s="2" t="b" cm="1">
        <f t="array" ref="Z74">SUMPRODUCT(--ISNUMBER(SEARCH({"dimensional analysis","dimensionless coefficients","Π","Pi","theorem","software","design","tools","development","architecture","similar"}, LOWER(Table1938[[#This Row],[Title]]))))&gt;0</f>
        <v>0</v>
      </c>
      <c r="AA74" s="2" t="b" cm="1">
        <f t="array" ref="AA74">SUMPRODUCT(--ISNUMBER(SEARCH({"dimensional analysis","dimensionless coefficients","Π","Pi","theorem","software","design","tools","development","architecture","similar"}, LOWER(Table1938[[#This Row],[Abstract]]))))&gt;0</f>
        <v>1</v>
      </c>
      <c r="AB74" s="2" t="b">
        <f>AND(OR(Table1938[[#This Row],[IC-01 @2024]:[IC-01 @2020]])=TRUE,Table1938[[#This Row],[IC-02]]=TRUE,Table1938[[#This Row],[IC-03]]=TRUE,Table1938[[#This Row],[IC-04]]=TRUE,Table1938[[#This Row],[IC-05]]=TRUE)</f>
        <v>0</v>
      </c>
      <c r="AC74" s="2" t="b">
        <f>AND(Table1938[[#This Row],[Pass-IC]]=TRUE,Table1938[[#This Row],[Pass-EC]]=TRUE)</f>
        <v>0</v>
      </c>
      <c r="AD74" s="2" t="b">
        <f>COUNTIF($D$25:D74, Table1938[[#This Row],[Title]]) = 1</f>
        <v>1</v>
      </c>
      <c r="AE74" s="2" t="b">
        <f>AND(Table1938[[#This Row],[IC + EC]:[Unique]])</f>
        <v>0</v>
      </c>
      <c r="AF74" s="2" t="b">
        <v>0</v>
      </c>
      <c r="AG74" s="2" t="b">
        <v>0</v>
      </c>
      <c r="AH74" s="2" t="b">
        <v>0</v>
      </c>
      <c r="AI74" s="2" t="b">
        <f>IF(AND(Table1938[[#This Row],[Double Check]]=TRUE,Table1938[[#This Row],[Inspected]]=TRUE,Table1938[[#This Row],[Relevant]]=TRUE),TRUE,FALSE)</f>
        <v>0</v>
      </c>
    </row>
    <row r="75" spans="1:35" ht="43" x14ac:dyDescent="0.5">
      <c r="A75" s="2">
        <v>74</v>
      </c>
      <c r="B75" s="20" t="s">
        <v>2</v>
      </c>
      <c r="C75" s="20" t="s">
        <v>2735</v>
      </c>
      <c r="D75" s="20" t="s">
        <v>2736</v>
      </c>
      <c r="E75" s="20" t="s">
        <v>123</v>
      </c>
      <c r="F75" s="2" t="s">
        <v>123</v>
      </c>
      <c r="G75" s="20" t="s">
        <v>2519</v>
      </c>
      <c r="H75" s="36" t="s">
        <v>123</v>
      </c>
      <c r="I75" s="20" t="s">
        <v>123</v>
      </c>
      <c r="J75" s="20" t="s">
        <v>2520</v>
      </c>
      <c r="K75" s="20" t="s">
        <v>123</v>
      </c>
      <c r="L75" s="20" t="s">
        <v>642</v>
      </c>
      <c r="M75" s="20" t="s">
        <v>123</v>
      </c>
      <c r="N75" s="20" t="b">
        <v>1</v>
      </c>
      <c r="O75" s="2" t="b">
        <f>IF(Table1938[[#This Row],[Title]]="",TRUE,FALSE)</f>
        <v>0</v>
      </c>
      <c r="P75" s="2" t="b">
        <f>IF(Table1938[[#This Row],[Author]]="",TRUE,FALSE)</f>
        <v>1</v>
      </c>
      <c r="Q75" s="2" t="b">
        <f>IF(Table1938[[#This Row],[DOI]]&lt;&gt;"", FALSE,TRUE)</f>
        <v>1</v>
      </c>
      <c r="R75" s="2" t="b">
        <f>IF(Table1938[[#This Row],[Abstract]]="",TRUE,FALSE)</f>
        <v>1</v>
      </c>
      <c r="S75" s="2" t="b">
        <f>IF(OR(Table1938[[#This Row],[Document Type]]="book",Table1938[[#This Row],[Document Type]]="bookSection"),TRUE,FALSE)</f>
        <v>0</v>
      </c>
      <c r="T75" s="2" t="b">
        <f>NOT(IF(OR(Table1938[[#This Row],[Language]]&lt;&gt;"en",Table1938[[#This Row],[Language]]&lt;&gt;"EN",Table1938[[#This Row],[Language]]&lt;&gt;"spa",Table1938[[#This Row],[Language]]&lt;&gt;"SPA"),TRUE,FALSE))</f>
        <v>0</v>
      </c>
      <c r="U75" s="2" t="b">
        <f>IF(AND(Table1938[[#This Row],[EC-01]]=FALSE,Table1938[[#This Row],[EC-02]]=FALSE,Table1938[[#This Row],[EC-03]]=FALSE,Table1938[[#This Row],[EC-04]]=FALSE,Table1938[[#This Row],[EC-05]]=FALSE,Table1938[[#This Row],[EC-06]]=FALSE),TRUE,FALSE)</f>
        <v>0</v>
      </c>
      <c r="V75" s="2" t="b">
        <f>IF(Table1938[[#This Row],[Date]]&lt;&gt;"",AND(YEAR(Table1938[[#This Row],[Date]])&gt;=2010, YEAR(Table1938[[#This Row],[Date]])&lt;=2024),FALSE)</f>
        <v>0</v>
      </c>
      <c r="W75" s="2" t="b">
        <f>IF(Table1938[[#This Row],[Date]]&lt;&gt;"",AND(YEAR(Table1938[[#This Row],[Date]])&gt;=2010, YEAR(Table1938[[#This Row],[Date]])&lt;=2020),FALSE)</f>
        <v>0</v>
      </c>
      <c r="X75" s="2" t="b">
        <f>IF(AND(Table1938[[#This Row],[Accesible]]=TRUE,Table1938[[#This Row],[DOI]]&lt;&gt;""),TRUE,FALSE)</f>
        <v>0</v>
      </c>
      <c r="Y75" s="2" t="b">
        <f>OR(Table1938[[#This Row],[Document Type]]="journalArticle",Table1938[[#This Row],[Document Type]]="conferencePaper",Table1938[[#This Row],[Document Type]]="review")</f>
        <v>0</v>
      </c>
      <c r="Z75" s="2" t="b" cm="1">
        <f t="array" ref="Z75">SUMPRODUCT(--ISNUMBER(SEARCH({"dimensional analysis","dimensionless coefficients","Π","Pi","theorem","software","design","tools","development","architecture","similar"}, LOWER(Table1938[[#This Row],[Title]]))))&gt;0</f>
        <v>0</v>
      </c>
      <c r="AA75" s="2" t="b" cm="1">
        <f t="array" ref="AA75">SUMPRODUCT(--ISNUMBER(SEARCH({"dimensional analysis","dimensionless coefficients","Π","Pi","theorem","software","design","tools","development","architecture","similar"}, LOWER(Table1938[[#This Row],[Abstract]]))))&gt;0</f>
        <v>0</v>
      </c>
      <c r="AB75" s="2" t="b">
        <f>AND(OR(Table1938[[#This Row],[IC-01 @2024]:[IC-01 @2020]])=TRUE,Table1938[[#This Row],[IC-02]]=TRUE,Table1938[[#This Row],[IC-03]]=TRUE,Table1938[[#This Row],[IC-04]]=TRUE,Table1938[[#This Row],[IC-05]]=TRUE)</f>
        <v>0</v>
      </c>
      <c r="AC75" s="2" t="b">
        <f>AND(Table1938[[#This Row],[Pass-IC]]=TRUE,Table1938[[#This Row],[Pass-EC]]=TRUE)</f>
        <v>0</v>
      </c>
      <c r="AD75" s="2" t="b">
        <f>COUNTIF($D$25:D75, Table1938[[#This Row],[Title]]) = 1</f>
        <v>1</v>
      </c>
      <c r="AE75" s="2" t="b">
        <f>AND(Table1938[[#This Row],[IC + EC]:[Unique]])</f>
        <v>0</v>
      </c>
      <c r="AF75" s="2" t="b">
        <v>0</v>
      </c>
      <c r="AG75" s="2" t="b">
        <v>0</v>
      </c>
      <c r="AH75" s="2" t="b">
        <v>0</v>
      </c>
      <c r="AI75" s="2" t="b">
        <f>IF(AND(Table1938[[#This Row],[Double Check]]=TRUE,Table1938[[#This Row],[Inspected]]=TRUE,Table1938[[#This Row],[Relevant]]=TRUE),TRUE,FALSE)</f>
        <v>0</v>
      </c>
    </row>
    <row r="76" spans="1:35" ht="57.35" x14ac:dyDescent="0.5">
      <c r="A76" s="2">
        <v>75</v>
      </c>
      <c r="B76" s="20" t="s">
        <v>2</v>
      </c>
      <c r="C76" s="20" t="s">
        <v>2737</v>
      </c>
      <c r="D76" s="20" t="s">
        <v>2738</v>
      </c>
      <c r="E76" s="20" t="s">
        <v>123</v>
      </c>
      <c r="F76" s="2" t="s">
        <v>123</v>
      </c>
      <c r="G76" s="20" t="s">
        <v>2535</v>
      </c>
      <c r="H76" s="36" t="s">
        <v>123</v>
      </c>
      <c r="I76" s="20" t="s">
        <v>123</v>
      </c>
      <c r="J76" s="20" t="s">
        <v>2520</v>
      </c>
      <c r="K76" s="20" t="s">
        <v>123</v>
      </c>
      <c r="L76" s="20" t="s">
        <v>642</v>
      </c>
      <c r="M76" s="20" t="s">
        <v>123</v>
      </c>
      <c r="N76" s="20" t="b">
        <v>1</v>
      </c>
      <c r="O76" s="2" t="b">
        <f>IF(Table1938[[#This Row],[Title]]="",TRUE,FALSE)</f>
        <v>0</v>
      </c>
      <c r="P76" s="2" t="b">
        <f>IF(Table1938[[#This Row],[Author]]="",TRUE,FALSE)</f>
        <v>1</v>
      </c>
      <c r="Q76" s="2" t="b">
        <f>IF(Table1938[[#This Row],[DOI]]&lt;&gt;"", FALSE,TRUE)</f>
        <v>1</v>
      </c>
      <c r="R76" s="2" t="b">
        <f>IF(Table1938[[#This Row],[Abstract]]="",TRUE,FALSE)</f>
        <v>1</v>
      </c>
      <c r="S76" s="2" t="b">
        <f>IF(OR(Table1938[[#This Row],[Document Type]]="book",Table1938[[#This Row],[Document Type]]="bookSection"),TRUE,FALSE)</f>
        <v>0</v>
      </c>
      <c r="T76" s="2" t="b">
        <f>NOT(IF(OR(Table1938[[#This Row],[Language]]&lt;&gt;"en",Table1938[[#This Row],[Language]]&lt;&gt;"EN",Table1938[[#This Row],[Language]]&lt;&gt;"spa",Table1938[[#This Row],[Language]]&lt;&gt;"SPA"),TRUE,FALSE))</f>
        <v>0</v>
      </c>
      <c r="U76" s="2" t="b">
        <f>IF(AND(Table1938[[#This Row],[EC-01]]=FALSE,Table1938[[#This Row],[EC-02]]=FALSE,Table1938[[#This Row],[EC-03]]=FALSE,Table1938[[#This Row],[EC-04]]=FALSE,Table1938[[#This Row],[EC-05]]=FALSE,Table1938[[#This Row],[EC-06]]=FALSE),TRUE,FALSE)</f>
        <v>0</v>
      </c>
      <c r="V76" s="2" t="b">
        <f>IF(Table1938[[#This Row],[Date]]&lt;&gt;"",AND(YEAR(Table1938[[#This Row],[Date]])&gt;=2010, YEAR(Table1938[[#This Row],[Date]])&lt;=2024),FALSE)</f>
        <v>0</v>
      </c>
      <c r="W76" s="2" t="b">
        <f>IF(Table1938[[#This Row],[Date]]&lt;&gt;"",AND(YEAR(Table1938[[#This Row],[Date]])&gt;=2010, YEAR(Table1938[[#This Row],[Date]])&lt;=2020),FALSE)</f>
        <v>0</v>
      </c>
      <c r="X76" s="2" t="b">
        <f>IF(AND(Table1938[[#This Row],[Accesible]]=TRUE,Table1938[[#This Row],[DOI]]&lt;&gt;""),TRUE,FALSE)</f>
        <v>0</v>
      </c>
      <c r="Y76" s="2" t="b">
        <f>OR(Table1938[[#This Row],[Document Type]]="journalArticle",Table1938[[#This Row],[Document Type]]="conferencePaper",Table1938[[#This Row],[Document Type]]="review")</f>
        <v>0</v>
      </c>
      <c r="Z76" s="2" t="b" cm="1">
        <f t="array" ref="Z76">SUMPRODUCT(--ISNUMBER(SEARCH({"dimensional analysis","dimensionless coefficients","Π","Pi","theorem","software","design","tools","development","architecture","similar"}, LOWER(Table1938[[#This Row],[Title]]))))&gt;0</f>
        <v>0</v>
      </c>
      <c r="AA76" s="2" t="b" cm="1">
        <f t="array" ref="AA76">SUMPRODUCT(--ISNUMBER(SEARCH({"dimensional analysis","dimensionless coefficients","Π","Pi","theorem","software","design","tools","development","architecture","similar"}, LOWER(Table1938[[#This Row],[Abstract]]))))&gt;0</f>
        <v>0</v>
      </c>
      <c r="AB76" s="2" t="b">
        <f>AND(OR(Table1938[[#This Row],[IC-01 @2024]:[IC-01 @2020]])=TRUE,Table1938[[#This Row],[IC-02]]=TRUE,Table1938[[#This Row],[IC-03]]=TRUE,Table1938[[#This Row],[IC-04]]=TRUE,Table1938[[#This Row],[IC-05]]=TRUE)</f>
        <v>0</v>
      </c>
      <c r="AC76" s="2" t="b">
        <f>AND(Table1938[[#This Row],[Pass-IC]]=TRUE,Table1938[[#This Row],[Pass-EC]]=TRUE)</f>
        <v>0</v>
      </c>
      <c r="AD76" s="2" t="b">
        <f>COUNTIF($D$25:D76, Table1938[[#This Row],[Title]]) = 1</f>
        <v>1</v>
      </c>
      <c r="AE76" s="2" t="b">
        <f>AND(Table1938[[#This Row],[IC + EC]:[Unique]])</f>
        <v>0</v>
      </c>
      <c r="AF76" s="2" t="b">
        <v>0</v>
      </c>
      <c r="AG76" s="2" t="b">
        <v>0</v>
      </c>
      <c r="AH76" s="2" t="b">
        <v>0</v>
      </c>
      <c r="AI76" s="2" t="b">
        <f>IF(AND(Table1938[[#This Row],[Double Check]]=TRUE,Table1938[[#This Row],[Inspected]]=TRUE,Table1938[[#This Row],[Relevant]]=TRUE),TRUE,FALSE)</f>
        <v>0</v>
      </c>
    </row>
    <row r="77" spans="1:35" ht="43" x14ac:dyDescent="0.5">
      <c r="A77" s="2">
        <v>76</v>
      </c>
      <c r="B77" s="20" t="s">
        <v>2</v>
      </c>
      <c r="C77" s="20" t="s">
        <v>2739</v>
      </c>
      <c r="D77" s="20" t="s">
        <v>2740</v>
      </c>
      <c r="E77" s="20" t="s">
        <v>449</v>
      </c>
      <c r="F77" s="2" t="s">
        <v>460</v>
      </c>
      <c r="G77" s="20" t="s">
        <v>2741</v>
      </c>
      <c r="H77" s="36">
        <v>43587</v>
      </c>
      <c r="I77" s="20">
        <v>2019</v>
      </c>
      <c r="J77" s="20" t="s">
        <v>62</v>
      </c>
      <c r="K77" s="20" t="s">
        <v>123</v>
      </c>
      <c r="L77" s="20" t="s">
        <v>2515</v>
      </c>
      <c r="M77" s="20" t="s">
        <v>443</v>
      </c>
      <c r="N77" s="20" t="b">
        <v>1</v>
      </c>
      <c r="O77" s="2" t="b">
        <f>IF(Table1938[[#This Row],[Title]]="",TRUE,FALSE)</f>
        <v>0</v>
      </c>
      <c r="P77" s="2" t="b">
        <f>IF(Table1938[[#This Row],[Author]]="",TRUE,FALSE)</f>
        <v>0</v>
      </c>
      <c r="Q77" s="2" t="b">
        <f>IF(Table1938[[#This Row],[DOI]]&lt;&gt;"", FALSE,TRUE)</f>
        <v>0</v>
      </c>
      <c r="R77" s="2" t="b">
        <f>IF(Table1938[[#This Row],[Abstract]]="",TRUE,FALSE)</f>
        <v>0</v>
      </c>
      <c r="S77" s="2" t="b">
        <f>IF(OR(Table1938[[#This Row],[Document Type]]="book",Table1938[[#This Row],[Document Type]]="bookSection"),TRUE,FALSE)</f>
        <v>0</v>
      </c>
      <c r="T77" s="2" t="b">
        <f>NOT(IF(OR(Table1938[[#This Row],[Language]]&lt;&gt;"en",Table1938[[#This Row],[Language]]&lt;&gt;"EN",Table1938[[#This Row],[Language]]&lt;&gt;"spa",Table1938[[#This Row],[Language]]&lt;&gt;"SPA"),TRUE,FALSE))</f>
        <v>0</v>
      </c>
      <c r="U77" s="2" t="b">
        <f>IF(AND(Table1938[[#This Row],[EC-01]]=FALSE,Table1938[[#This Row],[EC-02]]=FALSE,Table1938[[#This Row],[EC-03]]=FALSE,Table1938[[#This Row],[EC-04]]=FALSE,Table1938[[#This Row],[EC-05]]=FALSE,Table1938[[#This Row],[EC-06]]=FALSE),TRUE,FALSE)</f>
        <v>1</v>
      </c>
      <c r="V77" s="2" t="b">
        <f>IF(Table1938[[#This Row],[Date]]&lt;&gt;"",AND(YEAR(Table1938[[#This Row],[Date]])&gt;=2010, YEAR(Table1938[[#This Row],[Date]])&lt;=2024),FALSE)</f>
        <v>1</v>
      </c>
      <c r="W77" s="2" t="b">
        <f>IF(Table1938[[#This Row],[Date]]&lt;&gt;"",AND(YEAR(Table1938[[#This Row],[Date]])&gt;=2010, YEAR(Table1938[[#This Row],[Date]])&lt;=2020),FALSE)</f>
        <v>1</v>
      </c>
      <c r="X77" s="2" t="b">
        <f>IF(AND(Table1938[[#This Row],[Accesible]]=TRUE,Table1938[[#This Row],[DOI]]&lt;&gt;""),TRUE,FALSE)</f>
        <v>1</v>
      </c>
      <c r="Y77" s="2" t="b">
        <f>OR(Table1938[[#This Row],[Document Type]]="journalArticle",Table1938[[#This Row],[Document Type]]="conferencePaper",Table1938[[#This Row],[Document Type]]="review")</f>
        <v>1</v>
      </c>
      <c r="Z77" s="2" t="b" cm="1">
        <f t="array" ref="Z77">SUMPRODUCT(--ISNUMBER(SEARCH({"dimensional analysis","dimensionless coefficients","Π","Pi","theorem","software","design","tools","development","architecture","similar"}, LOWER(Table1938[[#This Row],[Title]]))))&gt;0</f>
        <v>0</v>
      </c>
      <c r="AA77" s="2" t="b" cm="1">
        <f t="array" ref="AA77">SUMPRODUCT(--ISNUMBER(SEARCH({"dimensional analysis","dimensionless coefficients","Π","Pi","theorem","software","design","tools","development","architecture","similar"}, LOWER(Table1938[[#This Row],[Abstract]]))))&gt;0</f>
        <v>1</v>
      </c>
      <c r="AB77" s="2" t="b">
        <f>AND(OR(Table1938[[#This Row],[IC-01 @2024]:[IC-01 @2020]])=TRUE,Table1938[[#This Row],[IC-02]]=TRUE,Table1938[[#This Row],[IC-03]]=TRUE,Table1938[[#This Row],[IC-04]]=TRUE,Table1938[[#This Row],[IC-05]]=TRUE)</f>
        <v>0</v>
      </c>
      <c r="AC77" s="2" t="b">
        <f>AND(Table1938[[#This Row],[Pass-IC]]=TRUE,Table1938[[#This Row],[Pass-EC]]=TRUE)</f>
        <v>0</v>
      </c>
      <c r="AD77" s="2" t="b">
        <f>COUNTIF($D$25:D77, Table1938[[#This Row],[Title]]) = 1</f>
        <v>1</v>
      </c>
      <c r="AE77" s="2" t="b">
        <f>AND(Table1938[[#This Row],[IC + EC]:[Unique]])</f>
        <v>0</v>
      </c>
      <c r="AF77" s="2" t="b">
        <v>0</v>
      </c>
      <c r="AG77" s="2" t="b">
        <v>0</v>
      </c>
      <c r="AH77" s="2" t="b">
        <v>0</v>
      </c>
      <c r="AI77" s="2" t="b">
        <f>IF(AND(Table1938[[#This Row],[Double Check]]=TRUE,Table1938[[#This Row],[Inspected]]=TRUE,Table1938[[#This Row],[Relevant]]=TRUE),TRUE,FALSE)</f>
        <v>0</v>
      </c>
    </row>
    <row r="78" spans="1:35" ht="57.35" x14ac:dyDescent="0.5">
      <c r="A78" s="2">
        <v>77</v>
      </c>
      <c r="B78" s="20" t="s">
        <v>2</v>
      </c>
      <c r="C78" s="20" t="s">
        <v>2742</v>
      </c>
      <c r="D78" s="20" t="s">
        <v>2743</v>
      </c>
      <c r="E78" s="20" t="s">
        <v>123</v>
      </c>
      <c r="F78" s="2" t="s">
        <v>123</v>
      </c>
      <c r="G78" s="20" t="s">
        <v>2535</v>
      </c>
      <c r="H78" s="36" t="s">
        <v>123</v>
      </c>
      <c r="I78" s="20" t="s">
        <v>123</v>
      </c>
      <c r="J78" s="20" t="s">
        <v>2520</v>
      </c>
      <c r="K78" s="20" t="s">
        <v>123</v>
      </c>
      <c r="L78" s="20" t="s">
        <v>642</v>
      </c>
      <c r="M78" s="20" t="s">
        <v>123</v>
      </c>
      <c r="N78" s="20" t="b">
        <v>1</v>
      </c>
      <c r="O78" s="2" t="b">
        <f>IF(Table1938[[#This Row],[Title]]="",TRUE,FALSE)</f>
        <v>0</v>
      </c>
      <c r="P78" s="2" t="b">
        <f>IF(Table1938[[#This Row],[Author]]="",TRUE,FALSE)</f>
        <v>1</v>
      </c>
      <c r="Q78" s="2" t="b">
        <f>IF(Table1938[[#This Row],[DOI]]&lt;&gt;"", FALSE,TRUE)</f>
        <v>1</v>
      </c>
      <c r="R78" s="2" t="b">
        <f>IF(Table1938[[#This Row],[Abstract]]="",TRUE,FALSE)</f>
        <v>1</v>
      </c>
      <c r="S78" s="2" t="b">
        <f>IF(OR(Table1938[[#This Row],[Document Type]]="book",Table1938[[#This Row],[Document Type]]="bookSection"),TRUE,FALSE)</f>
        <v>0</v>
      </c>
      <c r="T78" s="2" t="b">
        <f>NOT(IF(OR(Table1938[[#This Row],[Language]]&lt;&gt;"en",Table1938[[#This Row],[Language]]&lt;&gt;"EN",Table1938[[#This Row],[Language]]&lt;&gt;"spa",Table1938[[#This Row],[Language]]&lt;&gt;"SPA"),TRUE,FALSE))</f>
        <v>0</v>
      </c>
      <c r="U78" s="2" t="b">
        <f>IF(AND(Table1938[[#This Row],[EC-01]]=FALSE,Table1938[[#This Row],[EC-02]]=FALSE,Table1938[[#This Row],[EC-03]]=FALSE,Table1938[[#This Row],[EC-04]]=FALSE,Table1938[[#This Row],[EC-05]]=FALSE,Table1938[[#This Row],[EC-06]]=FALSE),TRUE,FALSE)</f>
        <v>0</v>
      </c>
      <c r="V78" s="2" t="b">
        <f>IF(Table1938[[#This Row],[Date]]&lt;&gt;"",AND(YEAR(Table1938[[#This Row],[Date]])&gt;=2010, YEAR(Table1938[[#This Row],[Date]])&lt;=2024),FALSE)</f>
        <v>0</v>
      </c>
      <c r="W78" s="2" t="b">
        <f>IF(Table1938[[#This Row],[Date]]&lt;&gt;"",AND(YEAR(Table1938[[#This Row],[Date]])&gt;=2010, YEAR(Table1938[[#This Row],[Date]])&lt;=2020),FALSE)</f>
        <v>0</v>
      </c>
      <c r="X78" s="2" t="b">
        <f>IF(AND(Table1938[[#This Row],[Accesible]]=TRUE,Table1938[[#This Row],[DOI]]&lt;&gt;""),TRUE,FALSE)</f>
        <v>0</v>
      </c>
      <c r="Y78" s="2" t="b">
        <f>OR(Table1938[[#This Row],[Document Type]]="journalArticle",Table1938[[#This Row],[Document Type]]="conferencePaper",Table1938[[#This Row],[Document Type]]="review")</f>
        <v>0</v>
      </c>
      <c r="Z78" s="2" t="b" cm="1">
        <f t="array" ref="Z78">SUMPRODUCT(--ISNUMBER(SEARCH({"dimensional analysis","dimensionless coefficients","Π","Pi","theorem","software","design","tools","development","architecture","similar"}, LOWER(Table1938[[#This Row],[Title]]))))&gt;0</f>
        <v>0</v>
      </c>
      <c r="AA78" s="2" t="b" cm="1">
        <f t="array" ref="AA78">SUMPRODUCT(--ISNUMBER(SEARCH({"dimensional analysis","dimensionless coefficients","Π","Pi","theorem","software","design","tools","development","architecture","similar"}, LOWER(Table1938[[#This Row],[Abstract]]))))&gt;0</f>
        <v>0</v>
      </c>
      <c r="AB78" s="2" t="b">
        <f>AND(OR(Table1938[[#This Row],[IC-01 @2024]:[IC-01 @2020]])=TRUE,Table1938[[#This Row],[IC-02]]=TRUE,Table1938[[#This Row],[IC-03]]=TRUE,Table1938[[#This Row],[IC-04]]=TRUE,Table1938[[#This Row],[IC-05]]=TRUE)</f>
        <v>0</v>
      </c>
      <c r="AC78" s="2" t="b">
        <f>AND(Table1938[[#This Row],[Pass-IC]]=TRUE,Table1938[[#This Row],[Pass-EC]]=TRUE)</f>
        <v>0</v>
      </c>
      <c r="AD78" s="2" t="b">
        <f>COUNTIF($D$25:D78, Table1938[[#This Row],[Title]]) = 1</f>
        <v>1</v>
      </c>
      <c r="AE78" s="2" t="b">
        <f>AND(Table1938[[#This Row],[IC + EC]:[Unique]])</f>
        <v>0</v>
      </c>
      <c r="AF78" s="2" t="b">
        <v>0</v>
      </c>
      <c r="AG78" s="2" t="b">
        <v>0</v>
      </c>
      <c r="AH78" s="2" t="b">
        <v>0</v>
      </c>
      <c r="AI78" s="2" t="b">
        <f>IF(AND(Table1938[[#This Row],[Double Check]]=TRUE,Table1938[[#This Row],[Inspected]]=TRUE,Table1938[[#This Row],[Relevant]]=TRUE),TRUE,FALSE)</f>
        <v>0</v>
      </c>
    </row>
    <row r="79" spans="1:35" ht="43" x14ac:dyDescent="0.5">
      <c r="A79" s="2">
        <v>78</v>
      </c>
      <c r="B79" s="20" t="s">
        <v>2</v>
      </c>
      <c r="C79" s="20" t="s">
        <v>2744</v>
      </c>
      <c r="D79" s="20" t="s">
        <v>2745</v>
      </c>
      <c r="E79" s="20" t="s">
        <v>2746</v>
      </c>
      <c r="F79" s="2" t="s">
        <v>2747</v>
      </c>
      <c r="G79" s="20" t="s">
        <v>2748</v>
      </c>
      <c r="H79" s="36">
        <v>41244</v>
      </c>
      <c r="I79" s="20">
        <v>2012</v>
      </c>
      <c r="J79" s="20" t="s">
        <v>61</v>
      </c>
      <c r="K79" s="20" t="s">
        <v>123</v>
      </c>
      <c r="L79" s="20" t="s">
        <v>2515</v>
      </c>
      <c r="M79" s="20" t="s">
        <v>2749</v>
      </c>
      <c r="N79" s="20" t="b">
        <v>0</v>
      </c>
      <c r="O79" s="2" t="b">
        <f>IF(Table1938[[#This Row],[Title]]="",TRUE,FALSE)</f>
        <v>0</v>
      </c>
      <c r="P79" s="2" t="b">
        <f>IF(Table1938[[#This Row],[Author]]="",TRUE,FALSE)</f>
        <v>0</v>
      </c>
      <c r="Q79" s="2" t="b">
        <f>IF(Table1938[[#This Row],[DOI]]&lt;&gt;"", FALSE,TRUE)</f>
        <v>0</v>
      </c>
      <c r="R79" s="2" t="b">
        <f>IF(Table1938[[#This Row],[Abstract]]="",TRUE,FALSE)</f>
        <v>0</v>
      </c>
      <c r="S79" s="2" t="b">
        <f>IF(OR(Table1938[[#This Row],[Document Type]]="book",Table1938[[#This Row],[Document Type]]="bookSection"),TRUE,FALSE)</f>
        <v>0</v>
      </c>
      <c r="T79" s="2" t="b">
        <f>NOT(IF(OR(Table1938[[#This Row],[Language]]&lt;&gt;"en",Table1938[[#This Row],[Language]]&lt;&gt;"EN",Table1938[[#This Row],[Language]]&lt;&gt;"spa",Table1938[[#This Row],[Language]]&lt;&gt;"SPA"),TRUE,FALSE))</f>
        <v>0</v>
      </c>
      <c r="U79" s="2" t="b">
        <f>IF(AND(Table1938[[#This Row],[EC-01]]=FALSE,Table1938[[#This Row],[EC-02]]=FALSE,Table1938[[#This Row],[EC-03]]=FALSE,Table1938[[#This Row],[EC-04]]=FALSE,Table1938[[#This Row],[EC-05]]=FALSE,Table1938[[#This Row],[EC-06]]=FALSE),TRUE,FALSE)</f>
        <v>1</v>
      </c>
      <c r="V79" s="2" t="b">
        <f>IF(Table1938[[#This Row],[Date]]&lt;&gt;"",AND(YEAR(Table1938[[#This Row],[Date]])&gt;=2010, YEAR(Table1938[[#This Row],[Date]])&lt;=2024),FALSE)</f>
        <v>1</v>
      </c>
      <c r="W79" s="2" t="b">
        <f>IF(Table1938[[#This Row],[Date]]&lt;&gt;"",AND(YEAR(Table1938[[#This Row],[Date]])&gt;=2010, YEAR(Table1938[[#This Row],[Date]])&lt;=2020),FALSE)</f>
        <v>1</v>
      </c>
      <c r="X79" s="2" t="b">
        <f>IF(AND(Table1938[[#This Row],[Accesible]]=TRUE,Table1938[[#This Row],[DOI]]&lt;&gt;""),TRUE,FALSE)</f>
        <v>0</v>
      </c>
      <c r="Y79" s="2" t="b">
        <f>OR(Table1938[[#This Row],[Document Type]]="journalArticle",Table1938[[#This Row],[Document Type]]="conferencePaper",Table1938[[#This Row],[Document Type]]="review")</f>
        <v>1</v>
      </c>
      <c r="Z79" s="2" t="b" cm="1">
        <f t="array" ref="Z79">SUMPRODUCT(--ISNUMBER(SEARCH({"dimensional analysis","dimensionless coefficients","Π","Pi","theorem","software","design","tools","development","architecture","similar"}, LOWER(Table1938[[#This Row],[Title]]))))&gt;0</f>
        <v>0</v>
      </c>
      <c r="AA79" s="2" t="b" cm="1">
        <f t="array" ref="AA79">SUMPRODUCT(--ISNUMBER(SEARCH({"dimensional analysis","dimensionless coefficients","Π","Pi","theorem","software","design","tools","development","architecture","similar"}, LOWER(Table1938[[#This Row],[Abstract]]))))&gt;0</f>
        <v>1</v>
      </c>
      <c r="AB79" s="2" t="b">
        <f>AND(OR(Table1938[[#This Row],[IC-01 @2024]:[IC-01 @2020]])=TRUE,Table1938[[#This Row],[IC-02]]=TRUE,Table1938[[#This Row],[IC-03]]=TRUE,Table1938[[#This Row],[IC-04]]=TRUE,Table1938[[#This Row],[IC-05]]=TRUE)</f>
        <v>0</v>
      </c>
      <c r="AC79" s="2" t="b">
        <f>AND(Table1938[[#This Row],[Pass-IC]]=TRUE,Table1938[[#This Row],[Pass-EC]]=TRUE)</f>
        <v>0</v>
      </c>
      <c r="AD79" s="2" t="b">
        <f>COUNTIF($D$25:D79, Table1938[[#This Row],[Title]]) = 1</f>
        <v>1</v>
      </c>
      <c r="AE79" s="2" t="b">
        <f>AND(Table1938[[#This Row],[IC + EC]:[Unique]])</f>
        <v>0</v>
      </c>
      <c r="AF79" s="2" t="b">
        <v>0</v>
      </c>
      <c r="AG79" s="2" t="b">
        <v>0</v>
      </c>
      <c r="AH79" s="2" t="b">
        <v>0</v>
      </c>
      <c r="AI79" s="2" t="b">
        <f>IF(AND(Table1938[[#This Row],[Double Check]]=TRUE,Table1938[[#This Row],[Inspected]]=TRUE,Table1938[[#This Row],[Relevant]]=TRUE),TRUE,FALSE)</f>
        <v>0</v>
      </c>
    </row>
    <row r="80" spans="1:35" ht="57.35" x14ac:dyDescent="0.5">
      <c r="A80" s="2">
        <v>79</v>
      </c>
      <c r="B80" s="20" t="s">
        <v>2</v>
      </c>
      <c r="C80" s="20" t="s">
        <v>2750</v>
      </c>
      <c r="D80" s="20" t="s">
        <v>2751</v>
      </c>
      <c r="E80" s="20" t="s">
        <v>123</v>
      </c>
      <c r="F80" s="2" t="s">
        <v>123</v>
      </c>
      <c r="G80" s="20" t="s">
        <v>2535</v>
      </c>
      <c r="H80" s="36" t="s">
        <v>123</v>
      </c>
      <c r="I80" s="20" t="s">
        <v>123</v>
      </c>
      <c r="J80" s="20" t="s">
        <v>2520</v>
      </c>
      <c r="K80" s="20" t="s">
        <v>123</v>
      </c>
      <c r="L80" s="20" t="s">
        <v>642</v>
      </c>
      <c r="M80" s="20" t="s">
        <v>123</v>
      </c>
      <c r="N80" s="20" t="b">
        <v>1</v>
      </c>
      <c r="O80" s="2" t="b">
        <f>IF(Table1938[[#This Row],[Title]]="",TRUE,FALSE)</f>
        <v>0</v>
      </c>
      <c r="P80" s="2" t="b">
        <f>IF(Table1938[[#This Row],[Author]]="",TRUE,FALSE)</f>
        <v>1</v>
      </c>
      <c r="Q80" s="2" t="b">
        <f>IF(Table1938[[#This Row],[DOI]]&lt;&gt;"", FALSE,TRUE)</f>
        <v>1</v>
      </c>
      <c r="R80" s="2" t="b">
        <f>IF(Table1938[[#This Row],[Abstract]]="",TRUE,FALSE)</f>
        <v>1</v>
      </c>
      <c r="S80" s="2" t="b">
        <f>IF(OR(Table1938[[#This Row],[Document Type]]="book",Table1938[[#This Row],[Document Type]]="bookSection"),TRUE,FALSE)</f>
        <v>0</v>
      </c>
      <c r="T80" s="2" t="b">
        <f>NOT(IF(OR(Table1938[[#This Row],[Language]]&lt;&gt;"en",Table1938[[#This Row],[Language]]&lt;&gt;"EN",Table1938[[#This Row],[Language]]&lt;&gt;"spa",Table1938[[#This Row],[Language]]&lt;&gt;"SPA"),TRUE,FALSE))</f>
        <v>0</v>
      </c>
      <c r="U80" s="2" t="b">
        <f>IF(AND(Table1938[[#This Row],[EC-01]]=FALSE,Table1938[[#This Row],[EC-02]]=FALSE,Table1938[[#This Row],[EC-03]]=FALSE,Table1938[[#This Row],[EC-04]]=FALSE,Table1938[[#This Row],[EC-05]]=FALSE,Table1938[[#This Row],[EC-06]]=FALSE),TRUE,FALSE)</f>
        <v>0</v>
      </c>
      <c r="V80" s="2" t="b">
        <f>IF(Table1938[[#This Row],[Date]]&lt;&gt;"",AND(YEAR(Table1938[[#This Row],[Date]])&gt;=2010, YEAR(Table1938[[#This Row],[Date]])&lt;=2024),FALSE)</f>
        <v>0</v>
      </c>
      <c r="W80" s="2" t="b">
        <f>IF(Table1938[[#This Row],[Date]]&lt;&gt;"",AND(YEAR(Table1938[[#This Row],[Date]])&gt;=2010, YEAR(Table1938[[#This Row],[Date]])&lt;=2020),FALSE)</f>
        <v>0</v>
      </c>
      <c r="X80" s="2" t="b">
        <f>IF(AND(Table1938[[#This Row],[Accesible]]=TRUE,Table1938[[#This Row],[DOI]]&lt;&gt;""),TRUE,FALSE)</f>
        <v>0</v>
      </c>
      <c r="Y80" s="2" t="b">
        <f>OR(Table1938[[#This Row],[Document Type]]="journalArticle",Table1938[[#This Row],[Document Type]]="conferencePaper",Table1938[[#This Row],[Document Type]]="review")</f>
        <v>0</v>
      </c>
      <c r="Z80" s="2" t="b" cm="1">
        <f t="array" ref="Z80">SUMPRODUCT(--ISNUMBER(SEARCH({"dimensional analysis","dimensionless coefficients","Π","Pi","theorem","software","design","tools","development","architecture","similar"}, LOWER(Table1938[[#This Row],[Title]]))))&gt;0</f>
        <v>0</v>
      </c>
      <c r="AA80" s="2" t="b" cm="1">
        <f t="array" ref="AA80">SUMPRODUCT(--ISNUMBER(SEARCH({"dimensional analysis","dimensionless coefficients","Π","Pi","theorem","software","design","tools","development","architecture","similar"}, LOWER(Table1938[[#This Row],[Abstract]]))))&gt;0</f>
        <v>0</v>
      </c>
      <c r="AB80" s="2" t="b">
        <f>AND(OR(Table1938[[#This Row],[IC-01 @2024]:[IC-01 @2020]])=TRUE,Table1938[[#This Row],[IC-02]]=TRUE,Table1938[[#This Row],[IC-03]]=TRUE,Table1938[[#This Row],[IC-04]]=TRUE,Table1938[[#This Row],[IC-05]]=TRUE)</f>
        <v>0</v>
      </c>
      <c r="AC80" s="2" t="b">
        <f>AND(Table1938[[#This Row],[Pass-IC]]=TRUE,Table1938[[#This Row],[Pass-EC]]=TRUE)</f>
        <v>0</v>
      </c>
      <c r="AD80" s="2" t="b">
        <f>COUNTIF($D$25:D80, Table1938[[#This Row],[Title]]) = 1</f>
        <v>1</v>
      </c>
      <c r="AE80" s="2" t="b">
        <f>AND(Table1938[[#This Row],[IC + EC]:[Unique]])</f>
        <v>0</v>
      </c>
      <c r="AF80" s="2" t="b">
        <v>0</v>
      </c>
      <c r="AG80" s="2" t="b">
        <v>0</v>
      </c>
      <c r="AH80" s="2" t="b">
        <v>0</v>
      </c>
      <c r="AI80" s="2" t="b">
        <f>IF(AND(Table1938[[#This Row],[Double Check]]=TRUE,Table1938[[#This Row],[Inspected]]=TRUE,Table1938[[#This Row],[Relevant]]=TRUE),TRUE,FALSE)</f>
        <v>0</v>
      </c>
    </row>
    <row r="81" spans="1:35" ht="57.35" x14ac:dyDescent="0.5">
      <c r="A81" s="2">
        <v>80</v>
      </c>
      <c r="B81" s="20" t="s">
        <v>2</v>
      </c>
      <c r="C81" s="20" t="s">
        <v>2752</v>
      </c>
      <c r="D81" s="20" t="s">
        <v>2753</v>
      </c>
      <c r="E81" s="20" t="s">
        <v>123</v>
      </c>
      <c r="F81" s="2" t="s">
        <v>123</v>
      </c>
      <c r="G81" s="20" t="s">
        <v>2535</v>
      </c>
      <c r="H81" s="36" t="s">
        <v>123</v>
      </c>
      <c r="I81" s="20" t="s">
        <v>123</v>
      </c>
      <c r="J81" s="20" t="s">
        <v>2520</v>
      </c>
      <c r="K81" s="20" t="s">
        <v>123</v>
      </c>
      <c r="L81" s="20" t="s">
        <v>642</v>
      </c>
      <c r="M81" s="20" t="s">
        <v>123</v>
      </c>
      <c r="N81" s="20" t="b">
        <v>1</v>
      </c>
      <c r="O81" s="2" t="b">
        <f>IF(Table1938[[#This Row],[Title]]="",TRUE,FALSE)</f>
        <v>0</v>
      </c>
      <c r="P81" s="2" t="b">
        <f>IF(Table1938[[#This Row],[Author]]="",TRUE,FALSE)</f>
        <v>1</v>
      </c>
      <c r="Q81" s="2" t="b">
        <f>IF(Table1938[[#This Row],[DOI]]&lt;&gt;"", FALSE,TRUE)</f>
        <v>1</v>
      </c>
      <c r="R81" s="2" t="b">
        <f>IF(Table1938[[#This Row],[Abstract]]="",TRUE,FALSE)</f>
        <v>1</v>
      </c>
      <c r="S81" s="2" t="b">
        <f>IF(OR(Table1938[[#This Row],[Document Type]]="book",Table1938[[#This Row],[Document Type]]="bookSection"),TRUE,FALSE)</f>
        <v>0</v>
      </c>
      <c r="T81" s="2" t="b">
        <f>NOT(IF(OR(Table1938[[#This Row],[Language]]&lt;&gt;"en",Table1938[[#This Row],[Language]]&lt;&gt;"EN",Table1938[[#This Row],[Language]]&lt;&gt;"spa",Table1938[[#This Row],[Language]]&lt;&gt;"SPA"),TRUE,FALSE))</f>
        <v>0</v>
      </c>
      <c r="U81" s="2" t="b">
        <f>IF(AND(Table1938[[#This Row],[EC-01]]=FALSE,Table1938[[#This Row],[EC-02]]=FALSE,Table1938[[#This Row],[EC-03]]=FALSE,Table1938[[#This Row],[EC-04]]=FALSE,Table1938[[#This Row],[EC-05]]=FALSE,Table1938[[#This Row],[EC-06]]=FALSE),TRUE,FALSE)</f>
        <v>0</v>
      </c>
      <c r="V81" s="2" t="b">
        <f>IF(Table1938[[#This Row],[Date]]&lt;&gt;"",AND(YEAR(Table1938[[#This Row],[Date]])&gt;=2010, YEAR(Table1938[[#This Row],[Date]])&lt;=2024),FALSE)</f>
        <v>0</v>
      </c>
      <c r="W81" s="2" t="b">
        <f>IF(Table1938[[#This Row],[Date]]&lt;&gt;"",AND(YEAR(Table1938[[#This Row],[Date]])&gt;=2010, YEAR(Table1938[[#This Row],[Date]])&lt;=2020),FALSE)</f>
        <v>0</v>
      </c>
      <c r="X81" s="2" t="b">
        <f>IF(AND(Table1938[[#This Row],[Accesible]]=TRUE,Table1938[[#This Row],[DOI]]&lt;&gt;""),TRUE,FALSE)</f>
        <v>0</v>
      </c>
      <c r="Y81" s="2" t="b">
        <f>OR(Table1938[[#This Row],[Document Type]]="journalArticle",Table1938[[#This Row],[Document Type]]="conferencePaper",Table1938[[#This Row],[Document Type]]="review")</f>
        <v>0</v>
      </c>
      <c r="Z81" s="2" t="b" cm="1">
        <f t="array" ref="Z81">SUMPRODUCT(--ISNUMBER(SEARCH({"dimensional analysis","dimensionless coefficients","Π","Pi","theorem","software","design","tools","development","architecture","similar"}, LOWER(Table1938[[#This Row],[Title]]))))&gt;0</f>
        <v>1</v>
      </c>
      <c r="AA81" s="2" t="b" cm="1">
        <f t="array" ref="AA81">SUMPRODUCT(--ISNUMBER(SEARCH({"dimensional analysis","dimensionless coefficients","Π","Pi","theorem","software","design","tools","development","architecture","similar"}, LOWER(Table1938[[#This Row],[Abstract]]))))&gt;0</f>
        <v>0</v>
      </c>
      <c r="AB81" s="2" t="b">
        <f>AND(OR(Table1938[[#This Row],[IC-01 @2024]:[IC-01 @2020]])=TRUE,Table1938[[#This Row],[IC-02]]=TRUE,Table1938[[#This Row],[IC-03]]=TRUE,Table1938[[#This Row],[IC-04]]=TRUE,Table1938[[#This Row],[IC-05]]=TRUE)</f>
        <v>0</v>
      </c>
      <c r="AC81" s="2" t="b">
        <f>AND(Table1938[[#This Row],[Pass-IC]]=TRUE,Table1938[[#This Row],[Pass-EC]]=TRUE)</f>
        <v>0</v>
      </c>
      <c r="AD81" s="2" t="b">
        <f>COUNTIF($D$25:D81, Table1938[[#This Row],[Title]]) = 1</f>
        <v>1</v>
      </c>
      <c r="AE81" s="2" t="b">
        <f>AND(Table1938[[#This Row],[IC + EC]:[Unique]])</f>
        <v>0</v>
      </c>
      <c r="AF81" s="2" t="b">
        <v>0</v>
      </c>
      <c r="AG81" s="2" t="b">
        <v>0</v>
      </c>
      <c r="AH81" s="2" t="b">
        <v>0</v>
      </c>
      <c r="AI81" s="2" t="b">
        <f>IF(AND(Table1938[[#This Row],[Double Check]]=TRUE,Table1938[[#This Row],[Inspected]]=TRUE,Table1938[[#This Row],[Relevant]]=TRUE),TRUE,FALSE)</f>
        <v>0</v>
      </c>
    </row>
    <row r="82" spans="1:35" ht="43" x14ac:dyDescent="0.5">
      <c r="A82" s="2">
        <v>81</v>
      </c>
      <c r="B82" s="20" t="s">
        <v>2</v>
      </c>
      <c r="C82" s="20" t="s">
        <v>2754</v>
      </c>
      <c r="D82" s="20" t="s">
        <v>2755</v>
      </c>
      <c r="E82" s="20" t="s">
        <v>2756</v>
      </c>
      <c r="F82" s="2" t="s">
        <v>2757</v>
      </c>
      <c r="G82" s="20" t="s">
        <v>2758</v>
      </c>
      <c r="H82" s="36">
        <v>45030</v>
      </c>
      <c r="I82" s="20">
        <v>2023</v>
      </c>
      <c r="J82" s="20" t="s">
        <v>62</v>
      </c>
      <c r="K82" s="20" t="s">
        <v>123</v>
      </c>
      <c r="L82" s="20" t="s">
        <v>2515</v>
      </c>
      <c r="M82" s="20" t="s">
        <v>2759</v>
      </c>
      <c r="N82" s="20" t="b">
        <v>1</v>
      </c>
      <c r="O82" s="2" t="b">
        <f>IF(Table1938[[#This Row],[Title]]="",TRUE,FALSE)</f>
        <v>0</v>
      </c>
      <c r="P82" s="2" t="b">
        <f>IF(Table1938[[#This Row],[Author]]="",TRUE,FALSE)</f>
        <v>0</v>
      </c>
      <c r="Q82" s="2" t="b">
        <f>IF(Table1938[[#This Row],[DOI]]&lt;&gt;"", FALSE,TRUE)</f>
        <v>0</v>
      </c>
      <c r="R82" s="2" t="b">
        <f>IF(Table1938[[#This Row],[Abstract]]="",TRUE,FALSE)</f>
        <v>0</v>
      </c>
      <c r="S82" s="2" t="b">
        <f>IF(OR(Table1938[[#This Row],[Document Type]]="book",Table1938[[#This Row],[Document Type]]="bookSection"),TRUE,FALSE)</f>
        <v>0</v>
      </c>
      <c r="T82" s="2" t="b">
        <f>NOT(IF(OR(Table1938[[#This Row],[Language]]&lt;&gt;"en",Table1938[[#This Row],[Language]]&lt;&gt;"EN",Table1938[[#This Row],[Language]]&lt;&gt;"spa",Table1938[[#This Row],[Language]]&lt;&gt;"SPA"),TRUE,FALSE))</f>
        <v>0</v>
      </c>
      <c r="U82" s="2" t="b">
        <f>IF(AND(Table1938[[#This Row],[EC-01]]=FALSE,Table1938[[#This Row],[EC-02]]=FALSE,Table1938[[#This Row],[EC-03]]=FALSE,Table1938[[#This Row],[EC-04]]=FALSE,Table1938[[#This Row],[EC-05]]=FALSE,Table1938[[#This Row],[EC-06]]=FALSE),TRUE,FALSE)</f>
        <v>1</v>
      </c>
      <c r="V82" s="2" t="b">
        <f>IF(Table1938[[#This Row],[Date]]&lt;&gt;"",AND(YEAR(Table1938[[#This Row],[Date]])&gt;=2010, YEAR(Table1938[[#This Row],[Date]])&lt;=2024),FALSE)</f>
        <v>1</v>
      </c>
      <c r="W82" s="2" t="b">
        <f>IF(Table1938[[#This Row],[Date]]&lt;&gt;"",AND(YEAR(Table1938[[#This Row],[Date]])&gt;=2010, YEAR(Table1938[[#This Row],[Date]])&lt;=2020),FALSE)</f>
        <v>0</v>
      </c>
      <c r="X82" s="2" t="b">
        <f>IF(AND(Table1938[[#This Row],[Accesible]]=TRUE,Table1938[[#This Row],[DOI]]&lt;&gt;""),TRUE,FALSE)</f>
        <v>1</v>
      </c>
      <c r="Y82" s="2" t="b">
        <f>OR(Table1938[[#This Row],[Document Type]]="journalArticle",Table1938[[#This Row],[Document Type]]="conferencePaper",Table1938[[#This Row],[Document Type]]="review")</f>
        <v>1</v>
      </c>
      <c r="Z82" s="2" t="b" cm="1">
        <f t="array" ref="Z82">SUMPRODUCT(--ISNUMBER(SEARCH({"dimensional analysis","dimensionless coefficients","Π","Pi","theorem","software","design","tools","development","architecture","similar"}, LOWER(Table1938[[#This Row],[Title]]))))&gt;0</f>
        <v>0</v>
      </c>
      <c r="AA82" s="2" t="b" cm="1">
        <f t="array" ref="AA82">SUMPRODUCT(--ISNUMBER(SEARCH({"dimensional analysis","dimensionless coefficients","Π","Pi","theorem","software","design","tools","development","architecture","similar"}, LOWER(Table1938[[#This Row],[Abstract]]))))&gt;0</f>
        <v>1</v>
      </c>
      <c r="AB82" s="2" t="b">
        <f>AND(OR(Table1938[[#This Row],[IC-01 @2024]:[IC-01 @2020]])=TRUE,Table1938[[#This Row],[IC-02]]=TRUE,Table1938[[#This Row],[IC-03]]=TRUE,Table1938[[#This Row],[IC-04]]=TRUE,Table1938[[#This Row],[IC-05]]=TRUE)</f>
        <v>0</v>
      </c>
      <c r="AC82" s="2" t="b">
        <f>AND(Table1938[[#This Row],[Pass-IC]]=TRUE,Table1938[[#This Row],[Pass-EC]]=TRUE)</f>
        <v>0</v>
      </c>
      <c r="AD82" s="2" t="b">
        <f>COUNTIF($D$25:D82, Table1938[[#This Row],[Title]]) = 1</f>
        <v>1</v>
      </c>
      <c r="AE82" s="2" t="b">
        <f>AND(Table1938[[#This Row],[IC + EC]:[Unique]])</f>
        <v>0</v>
      </c>
      <c r="AF82" s="2" t="b">
        <v>0</v>
      </c>
      <c r="AG82" s="2" t="b">
        <v>0</v>
      </c>
      <c r="AH82" s="2" t="b">
        <v>0</v>
      </c>
      <c r="AI82" s="2" t="b">
        <f>IF(AND(Table1938[[#This Row],[Double Check]]=TRUE,Table1938[[#This Row],[Inspected]]=TRUE,Table1938[[#This Row],[Relevant]]=TRUE),TRUE,FALSE)</f>
        <v>0</v>
      </c>
    </row>
    <row r="83" spans="1:35" ht="129" x14ac:dyDescent="0.5">
      <c r="A83" s="2">
        <v>82</v>
      </c>
      <c r="B83" s="20" t="s">
        <v>2</v>
      </c>
      <c r="C83" s="20" t="s">
        <v>2760</v>
      </c>
      <c r="D83" s="20" t="s">
        <v>306</v>
      </c>
      <c r="E83" s="20" t="s">
        <v>330</v>
      </c>
      <c r="F83" s="2" t="s">
        <v>356</v>
      </c>
      <c r="G83" s="20" t="s">
        <v>2761</v>
      </c>
      <c r="H83" s="36">
        <v>44713</v>
      </c>
      <c r="I83" s="20">
        <v>2022</v>
      </c>
      <c r="J83" s="20" t="s">
        <v>61</v>
      </c>
      <c r="K83" s="20" t="s">
        <v>2762</v>
      </c>
      <c r="L83" s="20" t="s">
        <v>2515</v>
      </c>
      <c r="M83" s="20" t="s">
        <v>381</v>
      </c>
      <c r="N83" s="20" t="b">
        <v>1</v>
      </c>
      <c r="O83" s="2" t="b">
        <f>IF(Table1938[[#This Row],[Title]]="",TRUE,FALSE)</f>
        <v>0</v>
      </c>
      <c r="P83" s="2" t="b">
        <f>IF(Table1938[[#This Row],[Author]]="",TRUE,FALSE)</f>
        <v>0</v>
      </c>
      <c r="Q83" s="2" t="b">
        <f>IF(Table1938[[#This Row],[DOI]]&lt;&gt;"", FALSE,TRUE)</f>
        <v>0</v>
      </c>
      <c r="R83" s="2" t="b">
        <f>IF(Table1938[[#This Row],[Abstract]]="",TRUE,FALSE)</f>
        <v>0</v>
      </c>
      <c r="S83" s="2" t="b">
        <f>IF(OR(Table1938[[#This Row],[Document Type]]="book",Table1938[[#This Row],[Document Type]]="bookSection"),TRUE,FALSE)</f>
        <v>0</v>
      </c>
      <c r="T83" s="2" t="b">
        <f>NOT(IF(OR(Table1938[[#This Row],[Language]]&lt;&gt;"en",Table1938[[#This Row],[Language]]&lt;&gt;"EN",Table1938[[#This Row],[Language]]&lt;&gt;"spa",Table1938[[#This Row],[Language]]&lt;&gt;"SPA"),TRUE,FALSE))</f>
        <v>0</v>
      </c>
      <c r="U83" s="2" t="b">
        <f>IF(AND(Table1938[[#This Row],[EC-01]]=FALSE,Table1938[[#This Row],[EC-02]]=FALSE,Table1938[[#This Row],[EC-03]]=FALSE,Table1938[[#This Row],[EC-04]]=FALSE,Table1938[[#This Row],[EC-05]]=FALSE,Table1938[[#This Row],[EC-06]]=FALSE),TRUE,FALSE)</f>
        <v>1</v>
      </c>
      <c r="V83" s="2" t="b">
        <f>IF(Table1938[[#This Row],[Date]]&lt;&gt;"",AND(YEAR(Table1938[[#This Row],[Date]])&gt;=2010, YEAR(Table1938[[#This Row],[Date]])&lt;=2024),FALSE)</f>
        <v>1</v>
      </c>
      <c r="W83" s="2" t="b">
        <f>IF(Table1938[[#This Row],[Date]]&lt;&gt;"",AND(YEAR(Table1938[[#This Row],[Date]])&gt;=2010, YEAR(Table1938[[#This Row],[Date]])&lt;=2020),FALSE)</f>
        <v>0</v>
      </c>
      <c r="X83" s="2" t="b">
        <f>IF(AND(Table1938[[#This Row],[Accesible]]=TRUE,Table1938[[#This Row],[DOI]]&lt;&gt;""),TRUE,FALSE)</f>
        <v>1</v>
      </c>
      <c r="Y83" s="2" t="b">
        <f>OR(Table1938[[#This Row],[Document Type]]="journalArticle",Table1938[[#This Row],[Document Type]]="conferencePaper",Table1938[[#This Row],[Document Type]]="review")</f>
        <v>1</v>
      </c>
      <c r="Z83" s="2" t="b" cm="1">
        <f t="array" ref="Z83">SUMPRODUCT(--ISNUMBER(SEARCH({"dimensional analysis","dimensionless coefficients","Π","Pi","theorem","software","design","tools","development","architecture","similar"}, LOWER(Table1938[[#This Row],[Title]]))))&gt;0</f>
        <v>0</v>
      </c>
      <c r="AA83" s="2" t="b" cm="1">
        <f t="array" ref="AA83">SUMPRODUCT(--ISNUMBER(SEARCH({"dimensional analysis","dimensionless coefficients","Π","Pi","theorem","software","design","tools","development","architecture","similar"}, LOWER(Table1938[[#This Row],[Abstract]]))))&gt;0</f>
        <v>1</v>
      </c>
      <c r="AB83" s="2" t="b">
        <f>AND(OR(Table1938[[#This Row],[IC-01 @2024]:[IC-01 @2020]])=TRUE,Table1938[[#This Row],[IC-02]]=TRUE,Table1938[[#This Row],[IC-03]]=TRUE,Table1938[[#This Row],[IC-04]]=TRUE,Table1938[[#This Row],[IC-05]]=TRUE)</f>
        <v>0</v>
      </c>
      <c r="AC83" s="2" t="b">
        <f>AND(Table1938[[#This Row],[Pass-IC]]=TRUE,Table1938[[#This Row],[Pass-EC]]=TRUE)</f>
        <v>0</v>
      </c>
      <c r="AD83" s="2" t="b">
        <f>COUNTIF($D$25:D83, Table1938[[#This Row],[Title]]) = 1</f>
        <v>1</v>
      </c>
      <c r="AE83" s="2" t="b">
        <f>AND(Table1938[[#This Row],[IC + EC]:[Unique]])</f>
        <v>0</v>
      </c>
      <c r="AF83" s="2" t="b">
        <v>0</v>
      </c>
      <c r="AG83" s="2" t="b">
        <v>0</v>
      </c>
      <c r="AH83" s="2" t="b">
        <v>0</v>
      </c>
      <c r="AI83" s="2" t="b">
        <f>IF(AND(Table1938[[#This Row],[Double Check]]=TRUE,Table1938[[#This Row],[Inspected]]=TRUE,Table1938[[#This Row],[Relevant]]=TRUE),TRUE,FALSE)</f>
        <v>0</v>
      </c>
    </row>
    <row r="84" spans="1:35" ht="57.35" x14ac:dyDescent="0.5">
      <c r="A84" s="2">
        <v>83</v>
      </c>
      <c r="B84" s="20" t="s">
        <v>2</v>
      </c>
      <c r="C84" s="20" t="s">
        <v>2763</v>
      </c>
      <c r="D84" s="20" t="s">
        <v>2764</v>
      </c>
      <c r="E84" s="20" t="s">
        <v>123</v>
      </c>
      <c r="F84" s="2" t="s">
        <v>123</v>
      </c>
      <c r="G84" s="20" t="s">
        <v>2535</v>
      </c>
      <c r="H84" s="36" t="s">
        <v>123</v>
      </c>
      <c r="I84" s="20" t="s">
        <v>123</v>
      </c>
      <c r="J84" s="20" t="s">
        <v>2520</v>
      </c>
      <c r="K84" s="20" t="s">
        <v>123</v>
      </c>
      <c r="L84" s="20" t="s">
        <v>642</v>
      </c>
      <c r="M84" s="20" t="s">
        <v>123</v>
      </c>
      <c r="N84" s="20" t="b">
        <v>1</v>
      </c>
      <c r="O84" s="2" t="b">
        <f>IF(Table1938[[#This Row],[Title]]="",TRUE,FALSE)</f>
        <v>0</v>
      </c>
      <c r="P84" s="2" t="b">
        <f>IF(Table1938[[#This Row],[Author]]="",TRUE,FALSE)</f>
        <v>1</v>
      </c>
      <c r="Q84" s="2" t="b">
        <f>IF(Table1938[[#This Row],[DOI]]&lt;&gt;"", FALSE,TRUE)</f>
        <v>1</v>
      </c>
      <c r="R84" s="2" t="b">
        <f>IF(Table1938[[#This Row],[Abstract]]="",TRUE,FALSE)</f>
        <v>1</v>
      </c>
      <c r="S84" s="2" t="b">
        <f>IF(OR(Table1938[[#This Row],[Document Type]]="book",Table1938[[#This Row],[Document Type]]="bookSection"),TRUE,FALSE)</f>
        <v>0</v>
      </c>
      <c r="T84" s="2" t="b">
        <f>NOT(IF(OR(Table1938[[#This Row],[Language]]&lt;&gt;"en",Table1938[[#This Row],[Language]]&lt;&gt;"EN",Table1938[[#This Row],[Language]]&lt;&gt;"spa",Table1938[[#This Row],[Language]]&lt;&gt;"SPA"),TRUE,FALSE))</f>
        <v>0</v>
      </c>
      <c r="U84" s="2" t="b">
        <f>IF(AND(Table1938[[#This Row],[EC-01]]=FALSE,Table1938[[#This Row],[EC-02]]=FALSE,Table1938[[#This Row],[EC-03]]=FALSE,Table1938[[#This Row],[EC-04]]=FALSE,Table1938[[#This Row],[EC-05]]=FALSE,Table1938[[#This Row],[EC-06]]=FALSE),TRUE,FALSE)</f>
        <v>0</v>
      </c>
      <c r="V84" s="2" t="b">
        <f>IF(Table1938[[#This Row],[Date]]&lt;&gt;"",AND(YEAR(Table1938[[#This Row],[Date]])&gt;=2010, YEAR(Table1938[[#This Row],[Date]])&lt;=2024),FALSE)</f>
        <v>0</v>
      </c>
      <c r="W84" s="2" t="b">
        <f>IF(Table1938[[#This Row],[Date]]&lt;&gt;"",AND(YEAR(Table1938[[#This Row],[Date]])&gt;=2010, YEAR(Table1938[[#This Row],[Date]])&lt;=2020),FALSE)</f>
        <v>0</v>
      </c>
      <c r="X84" s="2" t="b">
        <f>IF(AND(Table1938[[#This Row],[Accesible]]=TRUE,Table1938[[#This Row],[DOI]]&lt;&gt;""),TRUE,FALSE)</f>
        <v>0</v>
      </c>
      <c r="Y84" s="2" t="b">
        <f>OR(Table1938[[#This Row],[Document Type]]="journalArticle",Table1938[[#This Row],[Document Type]]="conferencePaper",Table1938[[#This Row],[Document Type]]="review")</f>
        <v>0</v>
      </c>
      <c r="Z84" s="2" t="b" cm="1">
        <f t="array" ref="Z84">SUMPRODUCT(--ISNUMBER(SEARCH({"dimensional analysis","dimensionless coefficients","Π","Pi","theorem","software","design","tools","development","architecture","similar"}, LOWER(Table1938[[#This Row],[Title]]))))&gt;0</f>
        <v>1</v>
      </c>
      <c r="AA84" s="2" t="b" cm="1">
        <f t="array" ref="AA84">SUMPRODUCT(--ISNUMBER(SEARCH({"dimensional analysis","dimensionless coefficients","Π","Pi","theorem","software","design","tools","development","architecture","similar"}, LOWER(Table1938[[#This Row],[Abstract]]))))&gt;0</f>
        <v>0</v>
      </c>
      <c r="AB84" s="2" t="b">
        <f>AND(OR(Table1938[[#This Row],[IC-01 @2024]:[IC-01 @2020]])=TRUE,Table1938[[#This Row],[IC-02]]=TRUE,Table1938[[#This Row],[IC-03]]=TRUE,Table1938[[#This Row],[IC-04]]=TRUE,Table1938[[#This Row],[IC-05]]=TRUE)</f>
        <v>0</v>
      </c>
      <c r="AC84" s="2" t="b">
        <f>AND(Table1938[[#This Row],[Pass-IC]]=TRUE,Table1938[[#This Row],[Pass-EC]]=TRUE)</f>
        <v>0</v>
      </c>
      <c r="AD84" s="2" t="b">
        <f>COUNTIF($D$25:D84, Table1938[[#This Row],[Title]]) = 1</f>
        <v>1</v>
      </c>
      <c r="AE84" s="2" t="b">
        <f>AND(Table1938[[#This Row],[IC + EC]:[Unique]])</f>
        <v>0</v>
      </c>
      <c r="AF84" s="2" t="b">
        <v>0</v>
      </c>
      <c r="AG84" s="2" t="b">
        <v>0</v>
      </c>
      <c r="AH84" s="2" t="b">
        <v>0</v>
      </c>
      <c r="AI84" s="2" t="b">
        <f>IF(AND(Table1938[[#This Row],[Double Check]]=TRUE,Table1938[[#This Row],[Inspected]]=TRUE,Table1938[[#This Row],[Relevant]]=TRUE),TRUE,FALSE)</f>
        <v>0</v>
      </c>
    </row>
    <row r="85" spans="1:35" ht="43" x14ac:dyDescent="0.5">
      <c r="A85" s="2">
        <v>84</v>
      </c>
      <c r="B85" s="20" t="s">
        <v>2</v>
      </c>
      <c r="C85" s="20" t="s">
        <v>2765</v>
      </c>
      <c r="D85" s="20" t="s">
        <v>231</v>
      </c>
      <c r="E85" s="20" t="s">
        <v>652</v>
      </c>
      <c r="F85" s="2" t="s">
        <v>243</v>
      </c>
      <c r="G85" s="20" t="s">
        <v>233</v>
      </c>
      <c r="H85" s="36">
        <v>43435</v>
      </c>
      <c r="I85" s="20">
        <v>2018</v>
      </c>
      <c r="J85" s="20" t="s">
        <v>61</v>
      </c>
      <c r="K85" s="20" t="s">
        <v>2766</v>
      </c>
      <c r="L85" s="20" t="s">
        <v>642</v>
      </c>
      <c r="M85" s="20" t="s">
        <v>234</v>
      </c>
      <c r="N85" s="20" t="b">
        <v>1</v>
      </c>
      <c r="O85" s="2" t="b">
        <f>IF(Table1938[[#This Row],[Title]]="",TRUE,FALSE)</f>
        <v>0</v>
      </c>
      <c r="P85" s="2" t="b">
        <f>IF(Table1938[[#This Row],[Author]]="",TRUE,FALSE)</f>
        <v>0</v>
      </c>
      <c r="Q85" s="2" t="b">
        <f>IF(Table1938[[#This Row],[DOI]]&lt;&gt;"", FALSE,TRUE)</f>
        <v>0</v>
      </c>
      <c r="R85" s="2" t="b">
        <f>IF(Table1938[[#This Row],[Abstract]]="",TRUE,FALSE)</f>
        <v>0</v>
      </c>
      <c r="S85" s="2" t="b">
        <f>IF(OR(Table1938[[#This Row],[Document Type]]="book",Table1938[[#This Row],[Document Type]]="bookSection"),TRUE,FALSE)</f>
        <v>0</v>
      </c>
      <c r="T85" s="2" t="b">
        <f>NOT(IF(OR(Table1938[[#This Row],[Language]]&lt;&gt;"en",Table1938[[#This Row],[Language]]&lt;&gt;"EN",Table1938[[#This Row],[Language]]&lt;&gt;"spa",Table1938[[#This Row],[Language]]&lt;&gt;"SPA"),TRUE,FALSE))</f>
        <v>0</v>
      </c>
      <c r="U85" s="2" t="b">
        <f>IF(AND(Table1938[[#This Row],[EC-01]]=FALSE,Table1938[[#This Row],[EC-02]]=FALSE,Table1938[[#This Row],[EC-03]]=FALSE,Table1938[[#This Row],[EC-04]]=FALSE,Table1938[[#This Row],[EC-05]]=FALSE,Table1938[[#This Row],[EC-06]]=FALSE),TRUE,FALSE)</f>
        <v>1</v>
      </c>
      <c r="V85" s="2" t="b">
        <f>IF(Table1938[[#This Row],[Date]]&lt;&gt;"",AND(YEAR(Table1938[[#This Row],[Date]])&gt;=2010, YEAR(Table1938[[#This Row],[Date]])&lt;=2024),FALSE)</f>
        <v>1</v>
      </c>
      <c r="W85" s="2" t="b">
        <f>IF(Table1938[[#This Row],[Date]]&lt;&gt;"",AND(YEAR(Table1938[[#This Row],[Date]])&gt;=2010, YEAR(Table1938[[#This Row],[Date]])&lt;=2020),FALSE)</f>
        <v>1</v>
      </c>
      <c r="X85" s="2" t="b">
        <f>IF(AND(Table1938[[#This Row],[Accesible]]=TRUE,Table1938[[#This Row],[DOI]]&lt;&gt;""),TRUE,FALSE)</f>
        <v>1</v>
      </c>
      <c r="Y85" s="2" t="b">
        <f>OR(Table1938[[#This Row],[Document Type]]="journalArticle",Table1938[[#This Row],[Document Type]]="conferencePaper",Table1938[[#This Row],[Document Type]]="review")</f>
        <v>1</v>
      </c>
      <c r="Z85" s="2" t="b" cm="1">
        <f t="array" ref="Z85">SUMPRODUCT(--ISNUMBER(SEARCH({"dimensional analysis","dimensionless coefficients","Π","Pi","theorem","software","design","tools","development","architecture","similar"}, LOWER(Table1938[[#This Row],[Title]]))))&gt;0</f>
        <v>0</v>
      </c>
      <c r="AA85" s="2" t="b" cm="1">
        <f t="array" ref="AA85">SUMPRODUCT(--ISNUMBER(SEARCH({"dimensional analysis","dimensionless coefficients","Π","Pi","theorem","software","design","tools","development","architecture","similar"}, LOWER(Table1938[[#This Row],[Abstract]]))))&gt;0</f>
        <v>1</v>
      </c>
      <c r="AB85" s="2" t="b">
        <f>AND(OR(Table1938[[#This Row],[IC-01 @2024]:[IC-01 @2020]])=TRUE,Table1938[[#This Row],[IC-02]]=TRUE,Table1938[[#This Row],[IC-03]]=TRUE,Table1938[[#This Row],[IC-04]]=TRUE,Table1938[[#This Row],[IC-05]]=TRUE)</f>
        <v>0</v>
      </c>
      <c r="AC85" s="2" t="b">
        <f>AND(Table1938[[#This Row],[Pass-IC]]=TRUE,Table1938[[#This Row],[Pass-EC]]=TRUE)</f>
        <v>0</v>
      </c>
      <c r="AD85" s="2" t="b">
        <f>COUNTIF($D$25:D85, Table1938[[#This Row],[Title]]) = 1</f>
        <v>1</v>
      </c>
      <c r="AE85" s="2" t="b">
        <f>AND(Table1938[[#This Row],[IC + EC]:[Unique]])</f>
        <v>0</v>
      </c>
      <c r="AF85" s="2" t="b">
        <v>0</v>
      </c>
      <c r="AG85" s="2" t="b">
        <v>0</v>
      </c>
      <c r="AH85" s="2" t="b">
        <v>0</v>
      </c>
      <c r="AI85" s="2" t="b">
        <f>IF(AND(Table1938[[#This Row],[Double Check]]=TRUE,Table1938[[#This Row],[Inspected]]=TRUE,Table1938[[#This Row],[Relevant]]=TRUE),TRUE,FALSE)</f>
        <v>0</v>
      </c>
    </row>
    <row r="86" spans="1:35" ht="57.35" x14ac:dyDescent="0.5">
      <c r="A86" s="2">
        <v>85</v>
      </c>
      <c r="B86" s="20" t="s">
        <v>2</v>
      </c>
      <c r="C86" s="20" t="s">
        <v>2767</v>
      </c>
      <c r="D86" s="20" t="s">
        <v>2768</v>
      </c>
      <c r="E86" s="20" t="s">
        <v>2724</v>
      </c>
      <c r="F86" s="2" t="s">
        <v>2769</v>
      </c>
      <c r="G86" s="20" t="s">
        <v>123</v>
      </c>
      <c r="H86" s="36">
        <v>41275</v>
      </c>
      <c r="I86" s="20">
        <v>2013</v>
      </c>
      <c r="J86" s="20" t="s">
        <v>63</v>
      </c>
      <c r="K86" s="20" t="s">
        <v>123</v>
      </c>
      <c r="L86" s="20" t="s">
        <v>2515</v>
      </c>
      <c r="M86" s="20" t="s">
        <v>123</v>
      </c>
      <c r="N86" s="20" t="b">
        <v>0</v>
      </c>
      <c r="O86" s="2" t="b">
        <f>IF(Table1938[[#This Row],[Title]]="",TRUE,FALSE)</f>
        <v>0</v>
      </c>
      <c r="P86" s="2" t="b">
        <f>IF(Table1938[[#This Row],[Author]]="",TRUE,FALSE)</f>
        <v>0</v>
      </c>
      <c r="Q86" s="2" t="b">
        <f>IF(Table1938[[#This Row],[DOI]]&lt;&gt;"", FALSE,TRUE)</f>
        <v>1</v>
      </c>
      <c r="R86" s="2" t="b">
        <f>IF(Table1938[[#This Row],[Abstract]]="",TRUE,FALSE)</f>
        <v>0</v>
      </c>
      <c r="S86" s="2" t="b">
        <f>IF(OR(Table1938[[#This Row],[Document Type]]="book",Table1938[[#This Row],[Document Type]]="bookSection"),TRUE,FALSE)</f>
        <v>1</v>
      </c>
      <c r="T86" s="2" t="b">
        <f>NOT(IF(OR(Table1938[[#This Row],[Language]]&lt;&gt;"en",Table1938[[#This Row],[Language]]&lt;&gt;"EN",Table1938[[#This Row],[Language]]&lt;&gt;"spa",Table1938[[#This Row],[Language]]&lt;&gt;"SPA"),TRUE,FALSE))</f>
        <v>0</v>
      </c>
      <c r="U86" s="2" t="b">
        <f>IF(AND(Table1938[[#This Row],[EC-01]]=FALSE,Table1938[[#This Row],[EC-02]]=FALSE,Table1938[[#This Row],[EC-03]]=FALSE,Table1938[[#This Row],[EC-04]]=FALSE,Table1938[[#This Row],[EC-05]]=FALSE,Table1938[[#This Row],[EC-06]]=FALSE),TRUE,FALSE)</f>
        <v>0</v>
      </c>
      <c r="V86" s="2" t="b">
        <f>IF(Table1938[[#This Row],[Date]]&lt;&gt;"",AND(YEAR(Table1938[[#This Row],[Date]])&gt;=2010, YEAR(Table1938[[#This Row],[Date]])&lt;=2024),FALSE)</f>
        <v>1</v>
      </c>
      <c r="W86" s="2" t="b">
        <f>IF(Table1938[[#This Row],[Date]]&lt;&gt;"",AND(YEAR(Table1938[[#This Row],[Date]])&gt;=2010, YEAR(Table1938[[#This Row],[Date]])&lt;=2020),FALSE)</f>
        <v>1</v>
      </c>
      <c r="X86" s="2" t="b">
        <f>IF(AND(Table1938[[#This Row],[Accesible]]=TRUE,Table1938[[#This Row],[DOI]]&lt;&gt;""),TRUE,FALSE)</f>
        <v>0</v>
      </c>
      <c r="Y86" s="2" t="b">
        <f>OR(Table1938[[#This Row],[Document Type]]="journalArticle",Table1938[[#This Row],[Document Type]]="conferencePaper",Table1938[[#This Row],[Document Type]]="review")</f>
        <v>0</v>
      </c>
      <c r="Z86" s="2" t="b" cm="1">
        <f t="array" ref="Z86">SUMPRODUCT(--ISNUMBER(SEARCH({"dimensional analysis","dimensionless coefficients","Π","Pi","theorem","software","design","tools","development","architecture","similar"}, LOWER(Table1938[[#This Row],[Title]]))))&gt;0</f>
        <v>1</v>
      </c>
      <c r="AA86" s="2" t="b" cm="1">
        <f t="array" ref="AA86">SUMPRODUCT(--ISNUMBER(SEARCH({"dimensional analysis","dimensionless coefficients","Π","Pi","theorem","software","design","tools","development","architecture","similar"}, LOWER(Table1938[[#This Row],[Abstract]]))))&gt;0</f>
        <v>1</v>
      </c>
      <c r="AB86" s="2" t="b">
        <f>AND(OR(Table1938[[#This Row],[IC-01 @2024]:[IC-01 @2020]])=TRUE,Table1938[[#This Row],[IC-02]]=TRUE,Table1938[[#This Row],[IC-03]]=TRUE,Table1938[[#This Row],[IC-04]]=TRUE,Table1938[[#This Row],[IC-05]]=TRUE)</f>
        <v>0</v>
      </c>
      <c r="AC86" s="2" t="b">
        <f>AND(Table1938[[#This Row],[Pass-IC]]=TRUE,Table1938[[#This Row],[Pass-EC]]=TRUE)</f>
        <v>0</v>
      </c>
      <c r="AD86" s="2" t="b">
        <f>COUNTIF($D$25:D86, Table1938[[#This Row],[Title]]) = 1</f>
        <v>1</v>
      </c>
      <c r="AE86" s="2" t="b">
        <f>AND(Table1938[[#This Row],[IC + EC]:[Unique]])</f>
        <v>0</v>
      </c>
      <c r="AF86" s="2" t="b">
        <v>0</v>
      </c>
      <c r="AG86" s="2" t="b">
        <v>0</v>
      </c>
      <c r="AH86" s="2" t="b">
        <v>0</v>
      </c>
      <c r="AI86" s="2" t="b">
        <f>IF(AND(Table1938[[#This Row],[Double Check]]=TRUE,Table1938[[#This Row],[Inspected]]=TRUE,Table1938[[#This Row],[Relevant]]=TRUE),TRUE,FALSE)</f>
        <v>0</v>
      </c>
    </row>
    <row r="87" spans="1:35" ht="57.35" x14ac:dyDescent="0.5">
      <c r="A87" s="2">
        <v>86</v>
      </c>
      <c r="B87" s="20" t="s">
        <v>2</v>
      </c>
      <c r="C87" s="20" t="s">
        <v>2770</v>
      </c>
      <c r="D87" s="20" t="s">
        <v>2771</v>
      </c>
      <c r="E87" s="20" t="s">
        <v>2772</v>
      </c>
      <c r="F87" s="2" t="s">
        <v>2773</v>
      </c>
      <c r="G87" s="20" t="s">
        <v>2774</v>
      </c>
      <c r="H87" s="36">
        <v>44958</v>
      </c>
      <c r="I87" s="20">
        <v>2023</v>
      </c>
      <c r="J87" s="20" t="s">
        <v>61</v>
      </c>
      <c r="K87" s="20" t="s">
        <v>2775</v>
      </c>
      <c r="L87" s="20" t="s">
        <v>2515</v>
      </c>
      <c r="M87" s="20" t="s">
        <v>2776</v>
      </c>
      <c r="N87" s="20" t="b">
        <v>0</v>
      </c>
      <c r="O87" s="2" t="b">
        <f>IF(Table1938[[#This Row],[Title]]="",TRUE,FALSE)</f>
        <v>0</v>
      </c>
      <c r="P87" s="2" t="b">
        <f>IF(Table1938[[#This Row],[Author]]="",TRUE,FALSE)</f>
        <v>0</v>
      </c>
      <c r="Q87" s="2" t="b">
        <f>IF(Table1938[[#This Row],[DOI]]&lt;&gt;"", FALSE,TRUE)</f>
        <v>0</v>
      </c>
      <c r="R87" s="2" t="b">
        <f>IF(Table1938[[#This Row],[Abstract]]="",TRUE,FALSE)</f>
        <v>0</v>
      </c>
      <c r="S87" s="2" t="b">
        <f>IF(OR(Table1938[[#This Row],[Document Type]]="book",Table1938[[#This Row],[Document Type]]="bookSection"),TRUE,FALSE)</f>
        <v>0</v>
      </c>
      <c r="T87" s="2" t="b">
        <f>NOT(IF(OR(Table1938[[#This Row],[Language]]&lt;&gt;"en",Table1938[[#This Row],[Language]]&lt;&gt;"EN",Table1938[[#This Row],[Language]]&lt;&gt;"spa",Table1938[[#This Row],[Language]]&lt;&gt;"SPA"),TRUE,FALSE))</f>
        <v>0</v>
      </c>
      <c r="U87" s="2" t="b">
        <f>IF(AND(Table1938[[#This Row],[EC-01]]=FALSE,Table1938[[#This Row],[EC-02]]=FALSE,Table1938[[#This Row],[EC-03]]=FALSE,Table1938[[#This Row],[EC-04]]=FALSE,Table1938[[#This Row],[EC-05]]=FALSE,Table1938[[#This Row],[EC-06]]=FALSE),TRUE,FALSE)</f>
        <v>1</v>
      </c>
      <c r="V87" s="2" t="b">
        <f>IF(Table1938[[#This Row],[Date]]&lt;&gt;"",AND(YEAR(Table1938[[#This Row],[Date]])&gt;=2010, YEAR(Table1938[[#This Row],[Date]])&lt;=2024),FALSE)</f>
        <v>1</v>
      </c>
      <c r="W87" s="2" t="b">
        <f>IF(Table1938[[#This Row],[Date]]&lt;&gt;"",AND(YEAR(Table1938[[#This Row],[Date]])&gt;=2010, YEAR(Table1938[[#This Row],[Date]])&lt;=2020),FALSE)</f>
        <v>0</v>
      </c>
      <c r="X87" s="2" t="b">
        <f>IF(AND(Table1938[[#This Row],[Accesible]]=TRUE,Table1938[[#This Row],[DOI]]&lt;&gt;""),TRUE,FALSE)</f>
        <v>0</v>
      </c>
      <c r="Y87" s="2" t="b">
        <f>OR(Table1938[[#This Row],[Document Type]]="journalArticle",Table1938[[#This Row],[Document Type]]="conferencePaper",Table1938[[#This Row],[Document Type]]="review")</f>
        <v>1</v>
      </c>
      <c r="Z87" s="2" t="b" cm="1">
        <f t="array" ref="Z87">SUMPRODUCT(--ISNUMBER(SEARCH({"dimensional analysis","dimensionless coefficients","Π","Pi","theorem","software","design","tools","development","architecture","similar"}, LOWER(Table1938[[#This Row],[Title]]))))&gt;0</f>
        <v>1</v>
      </c>
      <c r="AA87" s="2" t="b" cm="1">
        <f t="array" ref="AA87">SUMPRODUCT(--ISNUMBER(SEARCH({"dimensional analysis","dimensionless coefficients","Π","Pi","theorem","software","design","tools","development","architecture","similar"}, LOWER(Table1938[[#This Row],[Abstract]]))))&gt;0</f>
        <v>1</v>
      </c>
      <c r="AB87" s="2" t="b">
        <f>AND(OR(Table1938[[#This Row],[IC-01 @2024]:[IC-01 @2020]])=TRUE,Table1938[[#This Row],[IC-02]]=TRUE,Table1938[[#This Row],[IC-03]]=TRUE,Table1938[[#This Row],[IC-04]]=TRUE,Table1938[[#This Row],[IC-05]]=TRUE)</f>
        <v>0</v>
      </c>
      <c r="AC87" s="2" t="b">
        <f>AND(Table1938[[#This Row],[Pass-IC]]=TRUE,Table1938[[#This Row],[Pass-EC]]=TRUE)</f>
        <v>0</v>
      </c>
      <c r="AD87" s="2" t="b">
        <f>COUNTIF($D$25:D87, Table1938[[#This Row],[Title]]) = 1</f>
        <v>1</v>
      </c>
      <c r="AE87" s="2" t="b">
        <f>AND(Table1938[[#This Row],[IC + EC]:[Unique]])</f>
        <v>0</v>
      </c>
      <c r="AF87" s="2" t="b">
        <v>0</v>
      </c>
      <c r="AG87" s="2" t="b">
        <v>0</v>
      </c>
      <c r="AH87" s="2" t="b">
        <v>0</v>
      </c>
      <c r="AI87" s="2" t="b">
        <f>IF(AND(Table1938[[#This Row],[Double Check]]=TRUE,Table1938[[#This Row],[Inspected]]=TRUE,Table1938[[#This Row],[Relevant]]=TRUE),TRUE,FALSE)</f>
        <v>0</v>
      </c>
    </row>
    <row r="88" spans="1:35" ht="57.35" x14ac:dyDescent="0.5">
      <c r="A88" s="2">
        <v>87</v>
      </c>
      <c r="B88" s="20" t="s">
        <v>2</v>
      </c>
      <c r="C88" s="20" t="s">
        <v>2777</v>
      </c>
      <c r="D88" s="20" t="s">
        <v>2778</v>
      </c>
      <c r="E88" s="20" t="s">
        <v>123</v>
      </c>
      <c r="F88" s="2" t="s">
        <v>123</v>
      </c>
      <c r="G88" s="20" t="s">
        <v>2535</v>
      </c>
      <c r="H88" s="36" t="s">
        <v>123</v>
      </c>
      <c r="I88" s="20" t="s">
        <v>123</v>
      </c>
      <c r="J88" s="20" t="s">
        <v>2520</v>
      </c>
      <c r="K88" s="20" t="s">
        <v>123</v>
      </c>
      <c r="L88" s="20" t="s">
        <v>642</v>
      </c>
      <c r="M88" s="20" t="s">
        <v>123</v>
      </c>
      <c r="N88" s="20" t="b">
        <v>1</v>
      </c>
      <c r="O88" s="2" t="b">
        <f>IF(Table1938[[#This Row],[Title]]="",TRUE,FALSE)</f>
        <v>0</v>
      </c>
      <c r="P88" s="2" t="b">
        <f>IF(Table1938[[#This Row],[Author]]="",TRUE,FALSE)</f>
        <v>1</v>
      </c>
      <c r="Q88" s="2" t="b">
        <f>IF(Table1938[[#This Row],[DOI]]&lt;&gt;"", FALSE,TRUE)</f>
        <v>1</v>
      </c>
      <c r="R88" s="2" t="b">
        <f>IF(Table1938[[#This Row],[Abstract]]="",TRUE,FALSE)</f>
        <v>1</v>
      </c>
      <c r="S88" s="2" t="b">
        <f>IF(OR(Table1938[[#This Row],[Document Type]]="book",Table1938[[#This Row],[Document Type]]="bookSection"),TRUE,FALSE)</f>
        <v>0</v>
      </c>
      <c r="T88" s="2" t="b">
        <f>NOT(IF(OR(Table1938[[#This Row],[Language]]&lt;&gt;"en",Table1938[[#This Row],[Language]]&lt;&gt;"EN",Table1938[[#This Row],[Language]]&lt;&gt;"spa",Table1938[[#This Row],[Language]]&lt;&gt;"SPA"),TRUE,FALSE))</f>
        <v>0</v>
      </c>
      <c r="U88" s="2" t="b">
        <f>IF(AND(Table1938[[#This Row],[EC-01]]=FALSE,Table1938[[#This Row],[EC-02]]=FALSE,Table1938[[#This Row],[EC-03]]=FALSE,Table1938[[#This Row],[EC-04]]=FALSE,Table1938[[#This Row],[EC-05]]=FALSE,Table1938[[#This Row],[EC-06]]=FALSE),TRUE,FALSE)</f>
        <v>0</v>
      </c>
      <c r="V88" s="2" t="b">
        <f>IF(Table1938[[#This Row],[Date]]&lt;&gt;"",AND(YEAR(Table1938[[#This Row],[Date]])&gt;=2010, YEAR(Table1938[[#This Row],[Date]])&lt;=2024),FALSE)</f>
        <v>0</v>
      </c>
      <c r="W88" s="2" t="b">
        <f>IF(Table1938[[#This Row],[Date]]&lt;&gt;"",AND(YEAR(Table1938[[#This Row],[Date]])&gt;=2010, YEAR(Table1938[[#This Row],[Date]])&lt;=2020),FALSE)</f>
        <v>0</v>
      </c>
      <c r="X88" s="2" t="b">
        <f>IF(AND(Table1938[[#This Row],[Accesible]]=TRUE,Table1938[[#This Row],[DOI]]&lt;&gt;""),TRUE,FALSE)</f>
        <v>0</v>
      </c>
      <c r="Y88" s="2" t="b">
        <f>OR(Table1938[[#This Row],[Document Type]]="journalArticle",Table1938[[#This Row],[Document Type]]="conferencePaper",Table1938[[#This Row],[Document Type]]="review")</f>
        <v>0</v>
      </c>
      <c r="Z88" s="2" t="b" cm="1">
        <f t="array" ref="Z88">SUMPRODUCT(--ISNUMBER(SEARCH({"dimensional analysis","dimensionless coefficients","Π","Pi","theorem","software","design","tools","development","architecture","similar"}, LOWER(Table1938[[#This Row],[Title]]))))&gt;0</f>
        <v>0</v>
      </c>
      <c r="AA88" s="2" t="b" cm="1">
        <f t="array" ref="AA88">SUMPRODUCT(--ISNUMBER(SEARCH({"dimensional analysis","dimensionless coefficients","Π","Pi","theorem","software","design","tools","development","architecture","similar"}, LOWER(Table1938[[#This Row],[Abstract]]))))&gt;0</f>
        <v>0</v>
      </c>
      <c r="AB88" s="2" t="b">
        <f>AND(OR(Table1938[[#This Row],[IC-01 @2024]:[IC-01 @2020]])=TRUE,Table1938[[#This Row],[IC-02]]=TRUE,Table1938[[#This Row],[IC-03]]=TRUE,Table1938[[#This Row],[IC-04]]=TRUE,Table1938[[#This Row],[IC-05]]=TRUE)</f>
        <v>0</v>
      </c>
      <c r="AC88" s="2" t="b">
        <f>AND(Table1938[[#This Row],[Pass-IC]]=TRUE,Table1938[[#This Row],[Pass-EC]]=TRUE)</f>
        <v>0</v>
      </c>
      <c r="AD88" s="2" t="b">
        <f>COUNTIF($D$25:D88, Table1938[[#This Row],[Title]]) = 1</f>
        <v>1</v>
      </c>
      <c r="AE88" s="2" t="b">
        <f>AND(Table1938[[#This Row],[IC + EC]:[Unique]])</f>
        <v>0</v>
      </c>
      <c r="AF88" s="2" t="b">
        <v>0</v>
      </c>
      <c r="AG88" s="2" t="b">
        <v>0</v>
      </c>
      <c r="AH88" s="2" t="b">
        <v>0</v>
      </c>
      <c r="AI88" s="2" t="b">
        <f>IF(AND(Table1938[[#This Row],[Double Check]]=TRUE,Table1938[[#This Row],[Inspected]]=TRUE,Table1938[[#This Row],[Relevant]]=TRUE),TRUE,FALSE)</f>
        <v>0</v>
      </c>
    </row>
    <row r="89" spans="1:35" ht="57.35" x14ac:dyDescent="0.5">
      <c r="A89" s="2">
        <v>88</v>
      </c>
      <c r="B89" s="20" t="s">
        <v>2</v>
      </c>
      <c r="C89" s="20" t="s">
        <v>2779</v>
      </c>
      <c r="D89" s="20" t="s">
        <v>323</v>
      </c>
      <c r="E89" s="20" t="s">
        <v>349</v>
      </c>
      <c r="F89" s="2" t="s">
        <v>373</v>
      </c>
      <c r="G89" s="20" t="s">
        <v>2780</v>
      </c>
      <c r="H89" s="36">
        <v>44835</v>
      </c>
      <c r="I89" s="20">
        <v>2022</v>
      </c>
      <c r="J89" s="20" t="s">
        <v>61</v>
      </c>
      <c r="K89" s="20" t="s">
        <v>2781</v>
      </c>
      <c r="L89" s="20" t="s">
        <v>2515</v>
      </c>
      <c r="M89" s="20" t="s">
        <v>398</v>
      </c>
      <c r="N89" s="20" t="b">
        <v>0</v>
      </c>
      <c r="O89" s="2" t="b">
        <f>IF(Table1938[[#This Row],[Title]]="",TRUE,FALSE)</f>
        <v>0</v>
      </c>
      <c r="P89" s="2" t="b">
        <f>IF(Table1938[[#This Row],[Author]]="",TRUE,FALSE)</f>
        <v>0</v>
      </c>
      <c r="Q89" s="2" t="b">
        <f>IF(Table1938[[#This Row],[DOI]]&lt;&gt;"", FALSE,TRUE)</f>
        <v>0</v>
      </c>
      <c r="R89" s="2" t="b">
        <f>IF(Table1938[[#This Row],[Abstract]]="",TRUE,FALSE)</f>
        <v>0</v>
      </c>
      <c r="S89" s="2" t="b">
        <f>IF(OR(Table1938[[#This Row],[Document Type]]="book",Table1938[[#This Row],[Document Type]]="bookSection"),TRUE,FALSE)</f>
        <v>0</v>
      </c>
      <c r="T89" s="2" t="b">
        <f>NOT(IF(OR(Table1938[[#This Row],[Language]]&lt;&gt;"en",Table1938[[#This Row],[Language]]&lt;&gt;"EN",Table1938[[#This Row],[Language]]&lt;&gt;"spa",Table1938[[#This Row],[Language]]&lt;&gt;"SPA"),TRUE,FALSE))</f>
        <v>0</v>
      </c>
      <c r="U89" s="2" t="b">
        <f>IF(AND(Table1938[[#This Row],[EC-01]]=FALSE,Table1938[[#This Row],[EC-02]]=FALSE,Table1938[[#This Row],[EC-03]]=FALSE,Table1938[[#This Row],[EC-04]]=FALSE,Table1938[[#This Row],[EC-05]]=FALSE,Table1938[[#This Row],[EC-06]]=FALSE),TRUE,FALSE)</f>
        <v>1</v>
      </c>
      <c r="V89" s="2" t="b">
        <f>IF(Table1938[[#This Row],[Date]]&lt;&gt;"",AND(YEAR(Table1938[[#This Row],[Date]])&gt;=2010, YEAR(Table1938[[#This Row],[Date]])&lt;=2024),FALSE)</f>
        <v>1</v>
      </c>
      <c r="W89" s="2" t="b">
        <f>IF(Table1938[[#This Row],[Date]]&lt;&gt;"",AND(YEAR(Table1938[[#This Row],[Date]])&gt;=2010, YEAR(Table1938[[#This Row],[Date]])&lt;=2020),FALSE)</f>
        <v>0</v>
      </c>
      <c r="X89" s="2" t="b">
        <f>IF(AND(Table1938[[#This Row],[Accesible]]=TRUE,Table1938[[#This Row],[DOI]]&lt;&gt;""),TRUE,FALSE)</f>
        <v>0</v>
      </c>
      <c r="Y89" s="2" t="b">
        <f>OR(Table1938[[#This Row],[Document Type]]="journalArticle",Table1938[[#This Row],[Document Type]]="conferencePaper",Table1938[[#This Row],[Document Type]]="review")</f>
        <v>1</v>
      </c>
      <c r="Z89" s="2" t="b" cm="1">
        <f t="array" ref="Z89">SUMPRODUCT(--ISNUMBER(SEARCH({"dimensional analysis","dimensionless coefficients","Π","Pi","theorem","software","design","tools","development","architecture","similar"}, LOWER(Table1938[[#This Row],[Title]]))))&gt;0</f>
        <v>0</v>
      </c>
      <c r="AA89" s="2" t="b" cm="1">
        <f t="array" ref="AA89">SUMPRODUCT(--ISNUMBER(SEARCH({"dimensional analysis","dimensionless coefficients","Π","Pi","theorem","software","design","tools","development","architecture","similar"}, LOWER(Table1938[[#This Row],[Abstract]]))))&gt;0</f>
        <v>0</v>
      </c>
      <c r="AB89" s="2" t="b">
        <f>AND(OR(Table1938[[#This Row],[IC-01 @2024]:[IC-01 @2020]])=TRUE,Table1938[[#This Row],[IC-02]]=TRUE,Table1938[[#This Row],[IC-03]]=TRUE,Table1938[[#This Row],[IC-04]]=TRUE,Table1938[[#This Row],[IC-05]]=TRUE)</f>
        <v>0</v>
      </c>
      <c r="AC89" s="2" t="b">
        <f>AND(Table1938[[#This Row],[Pass-IC]]=TRUE,Table1938[[#This Row],[Pass-EC]]=TRUE)</f>
        <v>0</v>
      </c>
      <c r="AD89" s="2" t="b">
        <f>COUNTIF($D$25:D89, Table1938[[#This Row],[Title]]) = 1</f>
        <v>1</v>
      </c>
      <c r="AE89" s="2" t="b">
        <f>AND(Table1938[[#This Row],[IC + EC]:[Unique]])</f>
        <v>0</v>
      </c>
      <c r="AF89" s="2" t="b">
        <v>0</v>
      </c>
      <c r="AG89" s="2" t="b">
        <v>0</v>
      </c>
      <c r="AH89" s="2" t="b">
        <v>0</v>
      </c>
      <c r="AI89" s="2" t="b">
        <f>IF(AND(Table1938[[#This Row],[Double Check]]=TRUE,Table1938[[#This Row],[Inspected]]=TRUE,Table1938[[#This Row],[Relevant]]=TRUE),TRUE,FALSE)</f>
        <v>0</v>
      </c>
    </row>
    <row r="90" spans="1:35" ht="57.35" x14ac:dyDescent="0.5">
      <c r="A90" s="2">
        <v>89</v>
      </c>
      <c r="B90" s="20" t="s">
        <v>2</v>
      </c>
      <c r="C90" s="20" t="s">
        <v>2782</v>
      </c>
      <c r="D90" s="20" t="s">
        <v>165</v>
      </c>
      <c r="E90" s="20" t="s">
        <v>670</v>
      </c>
      <c r="F90" s="2" t="s">
        <v>672</v>
      </c>
      <c r="G90" s="20" t="s">
        <v>671</v>
      </c>
      <c r="H90" s="36">
        <v>43586</v>
      </c>
      <c r="I90" s="20">
        <v>2019</v>
      </c>
      <c r="J90" s="20" t="s">
        <v>61</v>
      </c>
      <c r="K90" s="20" t="s">
        <v>123</v>
      </c>
      <c r="L90" s="20" t="s">
        <v>2515</v>
      </c>
      <c r="M90" s="20" t="s">
        <v>166</v>
      </c>
      <c r="N90" s="20" t="b">
        <v>0</v>
      </c>
      <c r="O90" s="2" t="b">
        <f>IF(Table1938[[#This Row],[Title]]="",TRUE,FALSE)</f>
        <v>0</v>
      </c>
      <c r="P90" s="2" t="b">
        <f>IF(Table1938[[#This Row],[Author]]="",TRUE,FALSE)</f>
        <v>0</v>
      </c>
      <c r="Q90" s="2" t="b">
        <f>IF(Table1938[[#This Row],[DOI]]&lt;&gt;"", FALSE,TRUE)</f>
        <v>0</v>
      </c>
      <c r="R90" s="2" t="b">
        <f>IF(Table1938[[#This Row],[Abstract]]="",TRUE,FALSE)</f>
        <v>0</v>
      </c>
      <c r="S90" s="2" t="b">
        <f>IF(OR(Table1938[[#This Row],[Document Type]]="book",Table1938[[#This Row],[Document Type]]="bookSection"),TRUE,FALSE)</f>
        <v>0</v>
      </c>
      <c r="T90" s="2" t="b">
        <f>NOT(IF(OR(Table1938[[#This Row],[Language]]&lt;&gt;"en",Table1938[[#This Row],[Language]]&lt;&gt;"EN",Table1938[[#This Row],[Language]]&lt;&gt;"spa",Table1938[[#This Row],[Language]]&lt;&gt;"SPA"),TRUE,FALSE))</f>
        <v>0</v>
      </c>
      <c r="U90" s="2" t="b">
        <f>IF(AND(Table1938[[#This Row],[EC-01]]=FALSE,Table1938[[#This Row],[EC-02]]=FALSE,Table1938[[#This Row],[EC-03]]=FALSE,Table1938[[#This Row],[EC-04]]=FALSE,Table1938[[#This Row],[EC-05]]=FALSE,Table1938[[#This Row],[EC-06]]=FALSE),TRUE,FALSE)</f>
        <v>1</v>
      </c>
      <c r="V90" s="2" t="b">
        <f>IF(Table1938[[#This Row],[Date]]&lt;&gt;"",AND(YEAR(Table1938[[#This Row],[Date]])&gt;=2010, YEAR(Table1938[[#This Row],[Date]])&lt;=2024),FALSE)</f>
        <v>1</v>
      </c>
      <c r="W90" s="2" t="b">
        <f>IF(Table1938[[#This Row],[Date]]&lt;&gt;"",AND(YEAR(Table1938[[#This Row],[Date]])&gt;=2010, YEAR(Table1938[[#This Row],[Date]])&lt;=2020),FALSE)</f>
        <v>1</v>
      </c>
      <c r="X90" s="2" t="b">
        <f>IF(AND(Table1938[[#This Row],[Accesible]]=TRUE,Table1938[[#This Row],[DOI]]&lt;&gt;""),TRUE,FALSE)</f>
        <v>0</v>
      </c>
      <c r="Y90" s="2" t="b">
        <f>OR(Table1938[[#This Row],[Document Type]]="journalArticle",Table1938[[#This Row],[Document Type]]="conferencePaper",Table1938[[#This Row],[Document Type]]="review")</f>
        <v>1</v>
      </c>
      <c r="Z90" s="2" t="b" cm="1">
        <f t="array" ref="Z90">SUMPRODUCT(--ISNUMBER(SEARCH({"dimensional analysis","dimensionless coefficients","Π","Pi","theorem","software","design","tools","development","architecture","similar"}, LOWER(Table1938[[#This Row],[Title]]))))&gt;0</f>
        <v>0</v>
      </c>
      <c r="AA90" s="2" t="b" cm="1">
        <f t="array" ref="AA90">SUMPRODUCT(--ISNUMBER(SEARCH({"dimensional analysis","dimensionless coefficients","Π","Pi","theorem","software","design","tools","development","architecture","similar"}, LOWER(Table1938[[#This Row],[Abstract]]))))&gt;0</f>
        <v>1</v>
      </c>
      <c r="AB90" s="2" t="b">
        <f>AND(OR(Table1938[[#This Row],[IC-01 @2024]:[IC-01 @2020]])=TRUE,Table1938[[#This Row],[IC-02]]=TRUE,Table1938[[#This Row],[IC-03]]=TRUE,Table1938[[#This Row],[IC-04]]=TRUE,Table1938[[#This Row],[IC-05]]=TRUE)</f>
        <v>0</v>
      </c>
      <c r="AC90" s="2" t="b">
        <f>AND(Table1938[[#This Row],[Pass-IC]]=TRUE,Table1938[[#This Row],[Pass-EC]]=TRUE)</f>
        <v>0</v>
      </c>
      <c r="AD90" s="2" t="b">
        <f>COUNTIF($D$25:D90, Table1938[[#This Row],[Title]]) = 1</f>
        <v>1</v>
      </c>
      <c r="AE90" s="2" t="b">
        <f>AND(Table1938[[#This Row],[IC + EC]:[Unique]])</f>
        <v>0</v>
      </c>
      <c r="AF90" s="2" t="b">
        <v>0</v>
      </c>
      <c r="AG90" s="2" t="b">
        <v>0</v>
      </c>
      <c r="AH90" s="2" t="b">
        <v>0</v>
      </c>
      <c r="AI90" s="2" t="b">
        <f>IF(AND(Table1938[[#This Row],[Double Check]]=TRUE,Table1938[[#This Row],[Inspected]]=TRUE,Table1938[[#This Row],[Relevant]]=TRUE),TRUE,FALSE)</f>
        <v>0</v>
      </c>
    </row>
    <row r="91" spans="1:35" ht="57.35" x14ac:dyDescent="0.5">
      <c r="A91" s="2">
        <v>90</v>
      </c>
      <c r="B91" s="20" t="s">
        <v>2</v>
      </c>
      <c r="C91" s="20" t="s">
        <v>2783</v>
      </c>
      <c r="D91" s="20" t="s">
        <v>2784</v>
      </c>
      <c r="E91" s="20" t="s">
        <v>2785</v>
      </c>
      <c r="F91" s="2" t="s">
        <v>2786</v>
      </c>
      <c r="G91" s="20" t="s">
        <v>2787</v>
      </c>
      <c r="H91" s="36">
        <v>44562</v>
      </c>
      <c r="I91" s="20">
        <v>2022</v>
      </c>
      <c r="J91" s="20" t="s">
        <v>61</v>
      </c>
      <c r="K91" s="20" t="s">
        <v>123</v>
      </c>
      <c r="L91" s="20" t="s">
        <v>2515</v>
      </c>
      <c r="M91" s="20" t="s">
        <v>2788</v>
      </c>
      <c r="N91" s="20" t="b">
        <v>1</v>
      </c>
      <c r="O91" s="2" t="b">
        <f>IF(Table1938[[#This Row],[Title]]="",TRUE,FALSE)</f>
        <v>0</v>
      </c>
      <c r="P91" s="2" t="b">
        <f>IF(Table1938[[#This Row],[Author]]="",TRUE,FALSE)</f>
        <v>0</v>
      </c>
      <c r="Q91" s="2" t="b">
        <f>IF(Table1938[[#This Row],[DOI]]&lt;&gt;"", FALSE,TRUE)</f>
        <v>0</v>
      </c>
      <c r="R91" s="2" t="b">
        <f>IF(Table1938[[#This Row],[Abstract]]="",TRUE,FALSE)</f>
        <v>0</v>
      </c>
      <c r="S91" s="2" t="b">
        <f>IF(OR(Table1938[[#This Row],[Document Type]]="book",Table1938[[#This Row],[Document Type]]="bookSection"),TRUE,FALSE)</f>
        <v>0</v>
      </c>
      <c r="T91" s="2" t="b">
        <f>NOT(IF(OR(Table1938[[#This Row],[Language]]&lt;&gt;"en",Table1938[[#This Row],[Language]]&lt;&gt;"EN",Table1938[[#This Row],[Language]]&lt;&gt;"spa",Table1938[[#This Row],[Language]]&lt;&gt;"SPA"),TRUE,FALSE))</f>
        <v>0</v>
      </c>
      <c r="U91" s="2" t="b">
        <f>IF(AND(Table1938[[#This Row],[EC-01]]=FALSE,Table1938[[#This Row],[EC-02]]=FALSE,Table1938[[#This Row],[EC-03]]=FALSE,Table1938[[#This Row],[EC-04]]=FALSE,Table1938[[#This Row],[EC-05]]=FALSE,Table1938[[#This Row],[EC-06]]=FALSE),TRUE,FALSE)</f>
        <v>1</v>
      </c>
      <c r="V91" s="2" t="b">
        <f>IF(Table1938[[#This Row],[Date]]&lt;&gt;"",AND(YEAR(Table1938[[#This Row],[Date]])&gt;=2010, YEAR(Table1938[[#This Row],[Date]])&lt;=2024),FALSE)</f>
        <v>1</v>
      </c>
      <c r="W91" s="2" t="b">
        <f>IF(Table1938[[#This Row],[Date]]&lt;&gt;"",AND(YEAR(Table1938[[#This Row],[Date]])&gt;=2010, YEAR(Table1938[[#This Row],[Date]])&lt;=2020),FALSE)</f>
        <v>0</v>
      </c>
      <c r="X91" s="2" t="b">
        <f>IF(AND(Table1938[[#This Row],[Accesible]]=TRUE,Table1938[[#This Row],[DOI]]&lt;&gt;""),TRUE,FALSE)</f>
        <v>1</v>
      </c>
      <c r="Y91" s="2" t="b">
        <f>OR(Table1938[[#This Row],[Document Type]]="journalArticle",Table1938[[#This Row],[Document Type]]="conferencePaper",Table1938[[#This Row],[Document Type]]="review")</f>
        <v>1</v>
      </c>
      <c r="Z91" s="2" t="b" cm="1">
        <f t="array" ref="Z91">SUMPRODUCT(--ISNUMBER(SEARCH({"dimensional analysis","dimensionless coefficients","Π","Pi","theorem","software","design","tools","development","architecture","similar"}, LOWER(Table1938[[#This Row],[Title]]))))&gt;0</f>
        <v>0</v>
      </c>
      <c r="AA91" s="2" t="b" cm="1">
        <f t="array" ref="AA91">SUMPRODUCT(--ISNUMBER(SEARCH({"dimensional analysis","dimensionless coefficients","Π","Pi","theorem","software","design","tools","development","architecture","similar"}, LOWER(Table1938[[#This Row],[Abstract]]))))&gt;0</f>
        <v>1</v>
      </c>
      <c r="AB91" s="2" t="b">
        <f>AND(OR(Table1938[[#This Row],[IC-01 @2024]:[IC-01 @2020]])=TRUE,Table1938[[#This Row],[IC-02]]=TRUE,Table1938[[#This Row],[IC-03]]=TRUE,Table1938[[#This Row],[IC-04]]=TRUE,Table1938[[#This Row],[IC-05]]=TRUE)</f>
        <v>0</v>
      </c>
      <c r="AC91" s="2" t="b">
        <f>AND(Table1938[[#This Row],[Pass-IC]]=TRUE,Table1938[[#This Row],[Pass-EC]]=TRUE)</f>
        <v>0</v>
      </c>
      <c r="AD91" s="2" t="b">
        <f>COUNTIF($D$25:D91, Table1938[[#This Row],[Title]]) = 1</f>
        <v>1</v>
      </c>
      <c r="AE91" s="2" t="b">
        <f>AND(Table1938[[#This Row],[IC + EC]:[Unique]])</f>
        <v>0</v>
      </c>
      <c r="AF91" s="2" t="b">
        <v>0</v>
      </c>
      <c r="AG91" s="2" t="b">
        <v>0</v>
      </c>
      <c r="AH91" s="2" t="b">
        <v>0</v>
      </c>
      <c r="AI91" s="2" t="b">
        <f>IF(AND(Table1938[[#This Row],[Double Check]]=TRUE,Table1938[[#This Row],[Inspected]]=TRUE,Table1938[[#This Row],[Relevant]]=TRUE),TRUE,FALSE)</f>
        <v>0</v>
      </c>
    </row>
    <row r="92" spans="1:35" ht="57.35" x14ac:dyDescent="0.5">
      <c r="A92" s="2">
        <v>91</v>
      </c>
      <c r="B92" s="20" t="s">
        <v>2</v>
      </c>
      <c r="C92" s="20" t="s">
        <v>2789</v>
      </c>
      <c r="D92" s="20" t="s">
        <v>200</v>
      </c>
      <c r="E92" s="20" t="s">
        <v>667</v>
      </c>
      <c r="F92" s="2" t="s">
        <v>669</v>
      </c>
      <c r="G92" s="20" t="s">
        <v>668</v>
      </c>
      <c r="H92" s="36">
        <v>43009</v>
      </c>
      <c r="I92" s="20">
        <v>2017</v>
      </c>
      <c r="J92" s="20" t="s">
        <v>61</v>
      </c>
      <c r="K92" s="20" t="s">
        <v>123</v>
      </c>
      <c r="L92" s="20" t="s">
        <v>2515</v>
      </c>
      <c r="M92" s="20" t="s">
        <v>202</v>
      </c>
      <c r="N92" s="20" t="b">
        <v>0</v>
      </c>
      <c r="O92" s="2" t="b">
        <f>IF(Table1938[[#This Row],[Title]]="",TRUE,FALSE)</f>
        <v>0</v>
      </c>
      <c r="P92" s="2" t="b">
        <f>IF(Table1938[[#This Row],[Author]]="",TRUE,FALSE)</f>
        <v>0</v>
      </c>
      <c r="Q92" s="2" t="b">
        <f>IF(Table1938[[#This Row],[DOI]]&lt;&gt;"", FALSE,TRUE)</f>
        <v>0</v>
      </c>
      <c r="R92" s="2" t="b">
        <f>IF(Table1938[[#This Row],[Abstract]]="",TRUE,FALSE)</f>
        <v>0</v>
      </c>
      <c r="S92" s="2" t="b">
        <f>IF(OR(Table1938[[#This Row],[Document Type]]="book",Table1938[[#This Row],[Document Type]]="bookSection"),TRUE,FALSE)</f>
        <v>0</v>
      </c>
      <c r="T92" s="2" t="b">
        <f>NOT(IF(OR(Table1938[[#This Row],[Language]]&lt;&gt;"en",Table1938[[#This Row],[Language]]&lt;&gt;"EN",Table1938[[#This Row],[Language]]&lt;&gt;"spa",Table1938[[#This Row],[Language]]&lt;&gt;"SPA"),TRUE,FALSE))</f>
        <v>0</v>
      </c>
      <c r="U92" s="2" t="b">
        <f>IF(AND(Table1938[[#This Row],[EC-01]]=FALSE,Table1938[[#This Row],[EC-02]]=FALSE,Table1938[[#This Row],[EC-03]]=FALSE,Table1938[[#This Row],[EC-04]]=FALSE,Table1938[[#This Row],[EC-05]]=FALSE,Table1938[[#This Row],[EC-06]]=FALSE),TRUE,FALSE)</f>
        <v>1</v>
      </c>
      <c r="V92" s="2" t="b">
        <f>IF(Table1938[[#This Row],[Date]]&lt;&gt;"",AND(YEAR(Table1938[[#This Row],[Date]])&gt;=2010, YEAR(Table1938[[#This Row],[Date]])&lt;=2024),FALSE)</f>
        <v>1</v>
      </c>
      <c r="W92" s="2" t="b">
        <f>IF(Table1938[[#This Row],[Date]]&lt;&gt;"",AND(YEAR(Table1938[[#This Row],[Date]])&gt;=2010, YEAR(Table1938[[#This Row],[Date]])&lt;=2020),FALSE)</f>
        <v>1</v>
      </c>
      <c r="X92" s="2" t="b">
        <f>IF(AND(Table1938[[#This Row],[Accesible]]=TRUE,Table1938[[#This Row],[DOI]]&lt;&gt;""),TRUE,FALSE)</f>
        <v>0</v>
      </c>
      <c r="Y92" s="2" t="b">
        <f>OR(Table1938[[#This Row],[Document Type]]="journalArticle",Table1938[[#This Row],[Document Type]]="conferencePaper",Table1938[[#This Row],[Document Type]]="review")</f>
        <v>1</v>
      </c>
      <c r="Z92" s="2" t="b" cm="1">
        <f t="array" ref="Z92">SUMPRODUCT(--ISNUMBER(SEARCH({"dimensional analysis","dimensionless coefficients","Π","Pi","theorem","software","design","tools","development","architecture","similar"}, LOWER(Table1938[[#This Row],[Title]]))))&gt;0</f>
        <v>0</v>
      </c>
      <c r="AA92" s="2" t="b" cm="1">
        <f t="array" ref="AA92">SUMPRODUCT(--ISNUMBER(SEARCH({"dimensional analysis","dimensionless coefficients","Π","Pi","theorem","software","design","tools","development","architecture","similar"}, LOWER(Table1938[[#This Row],[Abstract]]))))&gt;0</f>
        <v>1</v>
      </c>
      <c r="AB92" s="2" t="b">
        <f>AND(OR(Table1938[[#This Row],[IC-01 @2024]:[IC-01 @2020]])=TRUE,Table1938[[#This Row],[IC-02]]=TRUE,Table1938[[#This Row],[IC-03]]=TRUE,Table1938[[#This Row],[IC-04]]=TRUE,Table1938[[#This Row],[IC-05]]=TRUE)</f>
        <v>0</v>
      </c>
      <c r="AC92" s="2" t="b">
        <f>AND(Table1938[[#This Row],[Pass-IC]]=TRUE,Table1938[[#This Row],[Pass-EC]]=TRUE)</f>
        <v>0</v>
      </c>
      <c r="AD92" s="2" t="b">
        <f>COUNTIF($D$25:D92, Table1938[[#This Row],[Title]]) = 1</f>
        <v>1</v>
      </c>
      <c r="AE92" s="2" t="b">
        <f>AND(Table1938[[#This Row],[IC + EC]:[Unique]])</f>
        <v>0</v>
      </c>
      <c r="AF92" s="2" t="b">
        <v>0</v>
      </c>
      <c r="AG92" s="2" t="b">
        <v>0</v>
      </c>
      <c r="AH92" s="2" t="b">
        <v>0</v>
      </c>
      <c r="AI92" s="2" t="b">
        <f>IF(AND(Table1938[[#This Row],[Double Check]]=TRUE,Table1938[[#This Row],[Inspected]]=TRUE,Table1938[[#This Row],[Relevant]]=TRUE),TRUE,FALSE)</f>
        <v>0</v>
      </c>
    </row>
    <row r="93" spans="1:35" ht="57.35" x14ac:dyDescent="0.5">
      <c r="A93" s="2">
        <v>92</v>
      </c>
      <c r="B93" s="20" t="s">
        <v>2</v>
      </c>
      <c r="C93" s="20" t="s">
        <v>2790</v>
      </c>
      <c r="D93" s="20" t="s">
        <v>2791</v>
      </c>
      <c r="E93" s="20" t="s">
        <v>123</v>
      </c>
      <c r="F93" s="2" t="s">
        <v>123</v>
      </c>
      <c r="G93" s="20" t="s">
        <v>2535</v>
      </c>
      <c r="H93" s="36" t="s">
        <v>123</v>
      </c>
      <c r="I93" s="20" t="s">
        <v>123</v>
      </c>
      <c r="J93" s="20" t="s">
        <v>2520</v>
      </c>
      <c r="K93" s="20" t="s">
        <v>123</v>
      </c>
      <c r="L93" s="20" t="s">
        <v>642</v>
      </c>
      <c r="M93" s="20" t="s">
        <v>123</v>
      </c>
      <c r="N93" s="20" t="b">
        <v>1</v>
      </c>
      <c r="O93" s="2" t="b">
        <f>IF(Table1938[[#This Row],[Title]]="",TRUE,FALSE)</f>
        <v>0</v>
      </c>
      <c r="P93" s="2" t="b">
        <f>IF(Table1938[[#This Row],[Author]]="",TRUE,FALSE)</f>
        <v>1</v>
      </c>
      <c r="Q93" s="2" t="b">
        <f>IF(Table1938[[#This Row],[DOI]]&lt;&gt;"", FALSE,TRUE)</f>
        <v>1</v>
      </c>
      <c r="R93" s="2" t="b">
        <f>IF(Table1938[[#This Row],[Abstract]]="",TRUE,FALSE)</f>
        <v>1</v>
      </c>
      <c r="S93" s="2" t="b">
        <f>IF(OR(Table1938[[#This Row],[Document Type]]="book",Table1938[[#This Row],[Document Type]]="bookSection"),TRUE,FALSE)</f>
        <v>0</v>
      </c>
      <c r="T93" s="2" t="b">
        <f>NOT(IF(OR(Table1938[[#This Row],[Language]]&lt;&gt;"en",Table1938[[#This Row],[Language]]&lt;&gt;"EN",Table1938[[#This Row],[Language]]&lt;&gt;"spa",Table1938[[#This Row],[Language]]&lt;&gt;"SPA"),TRUE,FALSE))</f>
        <v>0</v>
      </c>
      <c r="U93" s="2" t="b">
        <f>IF(AND(Table1938[[#This Row],[EC-01]]=FALSE,Table1938[[#This Row],[EC-02]]=FALSE,Table1938[[#This Row],[EC-03]]=FALSE,Table1938[[#This Row],[EC-04]]=FALSE,Table1938[[#This Row],[EC-05]]=FALSE,Table1938[[#This Row],[EC-06]]=FALSE),TRUE,FALSE)</f>
        <v>0</v>
      </c>
      <c r="V93" s="2" t="b">
        <f>IF(Table1938[[#This Row],[Date]]&lt;&gt;"",AND(YEAR(Table1938[[#This Row],[Date]])&gt;=2010, YEAR(Table1938[[#This Row],[Date]])&lt;=2024),FALSE)</f>
        <v>0</v>
      </c>
      <c r="W93" s="2" t="b">
        <f>IF(Table1938[[#This Row],[Date]]&lt;&gt;"",AND(YEAR(Table1938[[#This Row],[Date]])&gt;=2010, YEAR(Table1938[[#This Row],[Date]])&lt;=2020),FALSE)</f>
        <v>0</v>
      </c>
      <c r="X93" s="2" t="b">
        <f>IF(AND(Table1938[[#This Row],[Accesible]]=TRUE,Table1938[[#This Row],[DOI]]&lt;&gt;""),TRUE,FALSE)</f>
        <v>0</v>
      </c>
      <c r="Y93" s="2" t="b">
        <f>OR(Table1938[[#This Row],[Document Type]]="journalArticle",Table1938[[#This Row],[Document Type]]="conferencePaper",Table1938[[#This Row],[Document Type]]="review")</f>
        <v>0</v>
      </c>
      <c r="Z93" s="2" t="b" cm="1">
        <f t="array" ref="Z93">SUMPRODUCT(--ISNUMBER(SEARCH({"dimensional analysis","dimensionless coefficients","Π","Pi","theorem","software","design","tools","development","architecture","similar"}, LOWER(Table1938[[#This Row],[Title]]))))&gt;0</f>
        <v>0</v>
      </c>
      <c r="AA93" s="2" t="b" cm="1">
        <f t="array" ref="AA93">SUMPRODUCT(--ISNUMBER(SEARCH({"dimensional analysis","dimensionless coefficients","Π","Pi","theorem","software","design","tools","development","architecture","similar"}, LOWER(Table1938[[#This Row],[Abstract]]))))&gt;0</f>
        <v>0</v>
      </c>
      <c r="AB93" s="2" t="b">
        <f>AND(OR(Table1938[[#This Row],[IC-01 @2024]:[IC-01 @2020]])=TRUE,Table1938[[#This Row],[IC-02]]=TRUE,Table1938[[#This Row],[IC-03]]=TRUE,Table1938[[#This Row],[IC-04]]=TRUE,Table1938[[#This Row],[IC-05]]=TRUE)</f>
        <v>0</v>
      </c>
      <c r="AC93" s="2" t="b">
        <f>AND(Table1938[[#This Row],[Pass-IC]]=TRUE,Table1938[[#This Row],[Pass-EC]]=TRUE)</f>
        <v>0</v>
      </c>
      <c r="AD93" s="2" t="b">
        <f>COUNTIF($D$25:D93, Table1938[[#This Row],[Title]]) = 1</f>
        <v>1</v>
      </c>
      <c r="AE93" s="2" t="b">
        <f>AND(Table1938[[#This Row],[IC + EC]:[Unique]])</f>
        <v>0</v>
      </c>
      <c r="AF93" s="2" t="b">
        <v>0</v>
      </c>
      <c r="AG93" s="2" t="b">
        <v>0</v>
      </c>
      <c r="AH93" s="2" t="b">
        <v>0</v>
      </c>
      <c r="AI93" s="2" t="b">
        <f>IF(AND(Table1938[[#This Row],[Double Check]]=TRUE,Table1938[[#This Row],[Inspected]]=TRUE,Table1938[[#This Row],[Relevant]]=TRUE),TRUE,FALSE)</f>
        <v>0</v>
      </c>
    </row>
    <row r="94" spans="1:35" ht="57.35" x14ac:dyDescent="0.5">
      <c r="A94" s="2">
        <v>93</v>
      </c>
      <c r="B94" s="20" t="s">
        <v>2</v>
      </c>
      <c r="C94" s="20" t="s">
        <v>2792</v>
      </c>
      <c r="D94" s="20" t="s">
        <v>2793</v>
      </c>
      <c r="E94" s="20" t="s">
        <v>123</v>
      </c>
      <c r="F94" s="2" t="s">
        <v>123</v>
      </c>
      <c r="G94" s="20" t="s">
        <v>2535</v>
      </c>
      <c r="H94" s="36" t="s">
        <v>123</v>
      </c>
      <c r="I94" s="20" t="s">
        <v>123</v>
      </c>
      <c r="J94" s="20" t="s">
        <v>2520</v>
      </c>
      <c r="K94" s="20" t="s">
        <v>123</v>
      </c>
      <c r="L94" s="20" t="s">
        <v>642</v>
      </c>
      <c r="M94" s="20" t="s">
        <v>123</v>
      </c>
      <c r="N94" s="20" t="b">
        <v>1</v>
      </c>
      <c r="O94" s="2" t="b">
        <f>IF(Table1938[[#This Row],[Title]]="",TRUE,FALSE)</f>
        <v>0</v>
      </c>
      <c r="P94" s="2" t="b">
        <f>IF(Table1938[[#This Row],[Author]]="",TRUE,FALSE)</f>
        <v>1</v>
      </c>
      <c r="Q94" s="2" t="b">
        <f>IF(Table1938[[#This Row],[DOI]]&lt;&gt;"", FALSE,TRUE)</f>
        <v>1</v>
      </c>
      <c r="R94" s="2" t="b">
        <f>IF(Table1938[[#This Row],[Abstract]]="",TRUE,FALSE)</f>
        <v>1</v>
      </c>
      <c r="S94" s="2" t="b">
        <f>IF(OR(Table1938[[#This Row],[Document Type]]="book",Table1938[[#This Row],[Document Type]]="bookSection"),TRUE,FALSE)</f>
        <v>0</v>
      </c>
      <c r="T94" s="2" t="b">
        <f>NOT(IF(OR(Table1938[[#This Row],[Language]]&lt;&gt;"en",Table1938[[#This Row],[Language]]&lt;&gt;"EN",Table1938[[#This Row],[Language]]&lt;&gt;"spa",Table1938[[#This Row],[Language]]&lt;&gt;"SPA"),TRUE,FALSE))</f>
        <v>0</v>
      </c>
      <c r="U94" s="2" t="b">
        <f>IF(AND(Table1938[[#This Row],[EC-01]]=FALSE,Table1938[[#This Row],[EC-02]]=FALSE,Table1938[[#This Row],[EC-03]]=FALSE,Table1938[[#This Row],[EC-04]]=FALSE,Table1938[[#This Row],[EC-05]]=FALSE,Table1938[[#This Row],[EC-06]]=FALSE),TRUE,FALSE)</f>
        <v>0</v>
      </c>
      <c r="V94" s="2" t="b">
        <f>IF(Table1938[[#This Row],[Date]]&lt;&gt;"",AND(YEAR(Table1938[[#This Row],[Date]])&gt;=2010, YEAR(Table1938[[#This Row],[Date]])&lt;=2024),FALSE)</f>
        <v>0</v>
      </c>
      <c r="W94" s="2" t="b">
        <f>IF(Table1938[[#This Row],[Date]]&lt;&gt;"",AND(YEAR(Table1938[[#This Row],[Date]])&gt;=2010, YEAR(Table1938[[#This Row],[Date]])&lt;=2020),FALSE)</f>
        <v>0</v>
      </c>
      <c r="X94" s="2" t="b">
        <f>IF(AND(Table1938[[#This Row],[Accesible]]=TRUE,Table1938[[#This Row],[DOI]]&lt;&gt;""),TRUE,FALSE)</f>
        <v>0</v>
      </c>
      <c r="Y94" s="2" t="b">
        <f>OR(Table1938[[#This Row],[Document Type]]="journalArticle",Table1938[[#This Row],[Document Type]]="conferencePaper",Table1938[[#This Row],[Document Type]]="review")</f>
        <v>0</v>
      </c>
      <c r="Z94" s="2" t="b" cm="1">
        <f t="array" ref="Z94">SUMPRODUCT(--ISNUMBER(SEARCH({"dimensional analysis","dimensionless coefficients","Π","Pi","theorem","software","design","tools","development","architecture","similar"}, LOWER(Table1938[[#This Row],[Title]]))))&gt;0</f>
        <v>0</v>
      </c>
      <c r="AA94" s="2" t="b" cm="1">
        <f t="array" ref="AA94">SUMPRODUCT(--ISNUMBER(SEARCH({"dimensional analysis","dimensionless coefficients","Π","Pi","theorem","software","design","tools","development","architecture","similar"}, LOWER(Table1938[[#This Row],[Abstract]]))))&gt;0</f>
        <v>0</v>
      </c>
      <c r="AB94" s="2" t="b">
        <f>AND(OR(Table1938[[#This Row],[IC-01 @2024]:[IC-01 @2020]])=TRUE,Table1938[[#This Row],[IC-02]]=TRUE,Table1938[[#This Row],[IC-03]]=TRUE,Table1938[[#This Row],[IC-04]]=TRUE,Table1938[[#This Row],[IC-05]]=TRUE)</f>
        <v>0</v>
      </c>
      <c r="AC94" s="2" t="b">
        <f>AND(Table1938[[#This Row],[Pass-IC]]=TRUE,Table1938[[#This Row],[Pass-EC]]=TRUE)</f>
        <v>0</v>
      </c>
      <c r="AD94" s="2" t="b">
        <f>COUNTIF($D$25:D94, Table1938[[#This Row],[Title]]) = 1</f>
        <v>1</v>
      </c>
      <c r="AE94" s="2" t="b">
        <f>AND(Table1938[[#This Row],[IC + EC]:[Unique]])</f>
        <v>0</v>
      </c>
      <c r="AF94" s="2" t="b">
        <v>0</v>
      </c>
      <c r="AG94" s="2" t="b">
        <v>0</v>
      </c>
      <c r="AH94" s="2" t="b">
        <v>0</v>
      </c>
      <c r="AI94" s="2" t="b">
        <f>IF(AND(Table1938[[#This Row],[Double Check]]=TRUE,Table1938[[#This Row],[Inspected]]=TRUE,Table1938[[#This Row],[Relevant]]=TRUE),TRUE,FALSE)</f>
        <v>0</v>
      </c>
    </row>
    <row r="95" spans="1:35" ht="43" x14ac:dyDescent="0.5">
      <c r="A95" s="2">
        <v>94</v>
      </c>
      <c r="B95" s="20" t="s">
        <v>2</v>
      </c>
      <c r="C95" s="20" t="s">
        <v>2794</v>
      </c>
      <c r="D95" s="20" t="s">
        <v>2795</v>
      </c>
      <c r="E95" s="20" t="s">
        <v>123</v>
      </c>
      <c r="F95" s="2" t="s">
        <v>123</v>
      </c>
      <c r="G95" s="20" t="s">
        <v>2519</v>
      </c>
      <c r="H95" s="36" t="s">
        <v>123</v>
      </c>
      <c r="I95" s="20" t="s">
        <v>123</v>
      </c>
      <c r="J95" s="20" t="s">
        <v>2520</v>
      </c>
      <c r="K95" s="20" t="s">
        <v>123</v>
      </c>
      <c r="L95" s="20" t="s">
        <v>642</v>
      </c>
      <c r="M95" s="20" t="s">
        <v>123</v>
      </c>
      <c r="N95" s="20" t="b">
        <v>1</v>
      </c>
      <c r="O95" s="2" t="b">
        <f>IF(Table1938[[#This Row],[Title]]="",TRUE,FALSE)</f>
        <v>0</v>
      </c>
      <c r="P95" s="2" t="b">
        <f>IF(Table1938[[#This Row],[Author]]="",TRUE,FALSE)</f>
        <v>1</v>
      </c>
      <c r="Q95" s="2" t="b">
        <f>IF(Table1938[[#This Row],[DOI]]&lt;&gt;"", FALSE,TRUE)</f>
        <v>1</v>
      </c>
      <c r="R95" s="2" t="b">
        <f>IF(Table1938[[#This Row],[Abstract]]="",TRUE,FALSE)</f>
        <v>1</v>
      </c>
      <c r="S95" s="2" t="b">
        <f>IF(OR(Table1938[[#This Row],[Document Type]]="book",Table1938[[#This Row],[Document Type]]="bookSection"),TRUE,FALSE)</f>
        <v>0</v>
      </c>
      <c r="T95" s="2" t="b">
        <f>NOT(IF(OR(Table1938[[#This Row],[Language]]&lt;&gt;"en",Table1938[[#This Row],[Language]]&lt;&gt;"EN",Table1938[[#This Row],[Language]]&lt;&gt;"spa",Table1938[[#This Row],[Language]]&lt;&gt;"SPA"),TRUE,FALSE))</f>
        <v>0</v>
      </c>
      <c r="U95" s="2" t="b">
        <f>IF(AND(Table1938[[#This Row],[EC-01]]=FALSE,Table1938[[#This Row],[EC-02]]=FALSE,Table1938[[#This Row],[EC-03]]=FALSE,Table1938[[#This Row],[EC-04]]=FALSE,Table1938[[#This Row],[EC-05]]=FALSE,Table1938[[#This Row],[EC-06]]=FALSE),TRUE,FALSE)</f>
        <v>0</v>
      </c>
      <c r="V95" s="2" t="b">
        <f>IF(Table1938[[#This Row],[Date]]&lt;&gt;"",AND(YEAR(Table1938[[#This Row],[Date]])&gt;=2010, YEAR(Table1938[[#This Row],[Date]])&lt;=2024),FALSE)</f>
        <v>0</v>
      </c>
      <c r="W95" s="2" t="b">
        <f>IF(Table1938[[#This Row],[Date]]&lt;&gt;"",AND(YEAR(Table1938[[#This Row],[Date]])&gt;=2010, YEAR(Table1938[[#This Row],[Date]])&lt;=2020),FALSE)</f>
        <v>0</v>
      </c>
      <c r="X95" s="2" t="b">
        <f>IF(AND(Table1938[[#This Row],[Accesible]]=TRUE,Table1938[[#This Row],[DOI]]&lt;&gt;""),TRUE,FALSE)</f>
        <v>0</v>
      </c>
      <c r="Y95" s="2" t="b">
        <f>OR(Table1938[[#This Row],[Document Type]]="journalArticle",Table1938[[#This Row],[Document Type]]="conferencePaper",Table1938[[#This Row],[Document Type]]="review")</f>
        <v>0</v>
      </c>
      <c r="Z95" s="2" t="b" cm="1">
        <f t="array" ref="Z95">SUMPRODUCT(--ISNUMBER(SEARCH({"dimensional analysis","dimensionless coefficients","Π","Pi","theorem","software","design","tools","development","architecture","similar"}, LOWER(Table1938[[#This Row],[Title]]))))&gt;0</f>
        <v>0</v>
      </c>
      <c r="AA95" s="2" t="b" cm="1">
        <f t="array" ref="AA95">SUMPRODUCT(--ISNUMBER(SEARCH({"dimensional analysis","dimensionless coefficients","Π","Pi","theorem","software","design","tools","development","architecture","similar"}, LOWER(Table1938[[#This Row],[Abstract]]))))&gt;0</f>
        <v>0</v>
      </c>
      <c r="AB95" s="2" t="b">
        <f>AND(OR(Table1938[[#This Row],[IC-01 @2024]:[IC-01 @2020]])=TRUE,Table1938[[#This Row],[IC-02]]=TRUE,Table1938[[#This Row],[IC-03]]=TRUE,Table1938[[#This Row],[IC-04]]=TRUE,Table1938[[#This Row],[IC-05]]=TRUE)</f>
        <v>0</v>
      </c>
      <c r="AC95" s="2" t="b">
        <f>AND(Table1938[[#This Row],[Pass-IC]]=TRUE,Table1938[[#This Row],[Pass-EC]]=TRUE)</f>
        <v>0</v>
      </c>
      <c r="AD95" s="2" t="b">
        <f>COUNTIF($D$25:D95, Table1938[[#This Row],[Title]]) = 1</f>
        <v>1</v>
      </c>
      <c r="AE95" s="2" t="b">
        <f>AND(Table1938[[#This Row],[IC + EC]:[Unique]])</f>
        <v>0</v>
      </c>
      <c r="AF95" s="2" t="b">
        <v>0</v>
      </c>
      <c r="AG95" s="2" t="b">
        <v>0</v>
      </c>
      <c r="AH95" s="2" t="b">
        <v>0</v>
      </c>
      <c r="AI95" s="2" t="b">
        <f>IF(AND(Table1938[[#This Row],[Double Check]]=TRUE,Table1938[[#This Row],[Inspected]]=TRUE,Table1938[[#This Row],[Relevant]]=TRUE),TRUE,FALSE)</f>
        <v>0</v>
      </c>
    </row>
    <row r="96" spans="1:35" ht="28.7" x14ac:dyDescent="0.5">
      <c r="A96" s="2">
        <v>95</v>
      </c>
      <c r="B96" s="20" t="s">
        <v>2</v>
      </c>
      <c r="C96" s="20" t="s">
        <v>2796</v>
      </c>
      <c r="D96" s="20" t="s">
        <v>2797</v>
      </c>
      <c r="E96" s="20" t="s">
        <v>123</v>
      </c>
      <c r="F96" s="2" t="s">
        <v>123</v>
      </c>
      <c r="G96" s="20" t="s">
        <v>2535</v>
      </c>
      <c r="H96" s="36" t="s">
        <v>123</v>
      </c>
      <c r="I96" s="20" t="s">
        <v>123</v>
      </c>
      <c r="J96" s="20" t="s">
        <v>2520</v>
      </c>
      <c r="K96" s="20" t="s">
        <v>123</v>
      </c>
      <c r="L96" s="20" t="s">
        <v>642</v>
      </c>
      <c r="M96" s="20" t="s">
        <v>123</v>
      </c>
      <c r="N96" s="20" t="b">
        <v>1</v>
      </c>
      <c r="O96" s="2" t="b">
        <f>IF(Table1938[[#This Row],[Title]]="",TRUE,FALSE)</f>
        <v>0</v>
      </c>
      <c r="P96" s="2" t="b">
        <f>IF(Table1938[[#This Row],[Author]]="",TRUE,FALSE)</f>
        <v>1</v>
      </c>
      <c r="Q96" s="2" t="b">
        <f>IF(Table1938[[#This Row],[DOI]]&lt;&gt;"", FALSE,TRUE)</f>
        <v>1</v>
      </c>
      <c r="R96" s="2" t="b">
        <f>IF(Table1938[[#This Row],[Abstract]]="",TRUE,FALSE)</f>
        <v>1</v>
      </c>
      <c r="S96" s="2" t="b">
        <f>IF(OR(Table1938[[#This Row],[Document Type]]="book",Table1938[[#This Row],[Document Type]]="bookSection"),TRUE,FALSE)</f>
        <v>0</v>
      </c>
      <c r="T96" s="2" t="b">
        <f>NOT(IF(OR(Table1938[[#This Row],[Language]]&lt;&gt;"en",Table1938[[#This Row],[Language]]&lt;&gt;"EN",Table1938[[#This Row],[Language]]&lt;&gt;"spa",Table1938[[#This Row],[Language]]&lt;&gt;"SPA"),TRUE,FALSE))</f>
        <v>0</v>
      </c>
      <c r="U96" s="2" t="b">
        <f>IF(AND(Table1938[[#This Row],[EC-01]]=FALSE,Table1938[[#This Row],[EC-02]]=FALSE,Table1938[[#This Row],[EC-03]]=FALSE,Table1938[[#This Row],[EC-04]]=FALSE,Table1938[[#This Row],[EC-05]]=FALSE,Table1938[[#This Row],[EC-06]]=FALSE),TRUE,FALSE)</f>
        <v>0</v>
      </c>
      <c r="V96" s="2" t="b">
        <f>IF(Table1938[[#This Row],[Date]]&lt;&gt;"",AND(YEAR(Table1938[[#This Row],[Date]])&gt;=2010, YEAR(Table1938[[#This Row],[Date]])&lt;=2024),FALSE)</f>
        <v>0</v>
      </c>
      <c r="W96" s="2" t="b">
        <f>IF(Table1938[[#This Row],[Date]]&lt;&gt;"",AND(YEAR(Table1938[[#This Row],[Date]])&gt;=2010, YEAR(Table1938[[#This Row],[Date]])&lt;=2020),FALSE)</f>
        <v>0</v>
      </c>
      <c r="X96" s="2" t="b">
        <f>IF(AND(Table1938[[#This Row],[Accesible]]=TRUE,Table1938[[#This Row],[DOI]]&lt;&gt;""),TRUE,FALSE)</f>
        <v>0</v>
      </c>
      <c r="Y96" s="2" t="b">
        <f>OR(Table1938[[#This Row],[Document Type]]="journalArticle",Table1938[[#This Row],[Document Type]]="conferencePaper",Table1938[[#This Row],[Document Type]]="review")</f>
        <v>0</v>
      </c>
      <c r="Z96" s="2" t="b" cm="1">
        <f t="array" ref="Z96">SUMPRODUCT(--ISNUMBER(SEARCH({"dimensional analysis","dimensionless coefficients","Π","Pi","theorem","software","design","tools","development","architecture","similar"}, LOWER(Table1938[[#This Row],[Title]]))))&gt;0</f>
        <v>0</v>
      </c>
      <c r="AA96" s="2" t="b" cm="1">
        <f t="array" ref="AA96">SUMPRODUCT(--ISNUMBER(SEARCH({"dimensional analysis","dimensionless coefficients","Π","Pi","theorem","software","design","tools","development","architecture","similar"}, LOWER(Table1938[[#This Row],[Abstract]]))))&gt;0</f>
        <v>0</v>
      </c>
      <c r="AB96" s="2" t="b">
        <f>AND(OR(Table1938[[#This Row],[IC-01 @2024]:[IC-01 @2020]])=TRUE,Table1938[[#This Row],[IC-02]]=TRUE,Table1938[[#This Row],[IC-03]]=TRUE,Table1938[[#This Row],[IC-04]]=TRUE,Table1938[[#This Row],[IC-05]]=TRUE)</f>
        <v>0</v>
      </c>
      <c r="AC96" s="2" t="b">
        <f>AND(Table1938[[#This Row],[Pass-IC]]=TRUE,Table1938[[#This Row],[Pass-EC]]=TRUE)</f>
        <v>0</v>
      </c>
      <c r="AD96" s="2" t="b">
        <f>COUNTIF($D$25:D96, Table1938[[#This Row],[Title]]) = 1</f>
        <v>1</v>
      </c>
      <c r="AE96" s="2" t="b">
        <f>AND(Table1938[[#This Row],[IC + EC]:[Unique]])</f>
        <v>0</v>
      </c>
      <c r="AF96" s="2" t="b">
        <v>0</v>
      </c>
      <c r="AG96" s="2" t="b">
        <v>0</v>
      </c>
      <c r="AH96" s="2" t="b">
        <v>0</v>
      </c>
      <c r="AI96" s="2" t="b">
        <f>IF(AND(Table1938[[#This Row],[Double Check]]=TRUE,Table1938[[#This Row],[Inspected]]=TRUE,Table1938[[#This Row],[Relevant]]=TRUE),TRUE,FALSE)</f>
        <v>0</v>
      </c>
    </row>
    <row r="97" spans="1:35" ht="57.35" x14ac:dyDescent="0.5">
      <c r="A97" s="2">
        <v>96</v>
      </c>
      <c r="B97" s="20" t="s">
        <v>2</v>
      </c>
      <c r="C97" s="20" t="s">
        <v>2798</v>
      </c>
      <c r="D97" s="20" t="s">
        <v>2799</v>
      </c>
      <c r="E97" s="20" t="s">
        <v>2800</v>
      </c>
      <c r="F97" s="2" t="s">
        <v>2801</v>
      </c>
      <c r="G97" s="20" t="s">
        <v>123</v>
      </c>
      <c r="H97" s="36">
        <v>40544</v>
      </c>
      <c r="I97" s="20">
        <v>2011</v>
      </c>
      <c r="J97" s="20" t="s">
        <v>61</v>
      </c>
      <c r="K97" s="20" t="s">
        <v>2802</v>
      </c>
      <c r="L97" s="20" t="s">
        <v>2515</v>
      </c>
      <c r="M97" s="20" t="s">
        <v>2803</v>
      </c>
      <c r="N97" s="20" t="b">
        <v>0</v>
      </c>
      <c r="O97" s="2" t="b">
        <f>IF(Table1938[[#This Row],[Title]]="",TRUE,FALSE)</f>
        <v>0</v>
      </c>
      <c r="P97" s="2" t="b">
        <f>IF(Table1938[[#This Row],[Author]]="",TRUE,FALSE)</f>
        <v>0</v>
      </c>
      <c r="Q97" s="2" t="b">
        <f>IF(Table1938[[#This Row],[DOI]]&lt;&gt;"", FALSE,TRUE)</f>
        <v>0</v>
      </c>
      <c r="R97" s="2" t="b">
        <f>IF(Table1938[[#This Row],[Abstract]]="",TRUE,FALSE)</f>
        <v>0</v>
      </c>
      <c r="S97" s="2" t="b">
        <f>IF(OR(Table1938[[#This Row],[Document Type]]="book",Table1938[[#This Row],[Document Type]]="bookSection"),TRUE,FALSE)</f>
        <v>0</v>
      </c>
      <c r="T97" s="2" t="b">
        <f>NOT(IF(OR(Table1938[[#This Row],[Language]]&lt;&gt;"en",Table1938[[#This Row],[Language]]&lt;&gt;"EN",Table1938[[#This Row],[Language]]&lt;&gt;"spa",Table1938[[#This Row],[Language]]&lt;&gt;"SPA"),TRUE,FALSE))</f>
        <v>0</v>
      </c>
      <c r="U97" s="2" t="b">
        <f>IF(AND(Table1938[[#This Row],[EC-01]]=FALSE,Table1938[[#This Row],[EC-02]]=FALSE,Table1938[[#This Row],[EC-03]]=FALSE,Table1938[[#This Row],[EC-04]]=FALSE,Table1938[[#This Row],[EC-05]]=FALSE,Table1938[[#This Row],[EC-06]]=FALSE),TRUE,FALSE)</f>
        <v>1</v>
      </c>
      <c r="V97" s="2" t="b">
        <f>IF(Table1938[[#This Row],[Date]]&lt;&gt;"",AND(YEAR(Table1938[[#This Row],[Date]])&gt;=2010, YEAR(Table1938[[#This Row],[Date]])&lt;=2024),FALSE)</f>
        <v>1</v>
      </c>
      <c r="W97" s="2" t="b">
        <f>IF(Table1938[[#This Row],[Date]]&lt;&gt;"",AND(YEAR(Table1938[[#This Row],[Date]])&gt;=2010, YEAR(Table1938[[#This Row],[Date]])&lt;=2020),FALSE)</f>
        <v>1</v>
      </c>
      <c r="X97" s="2" t="b">
        <f>IF(AND(Table1938[[#This Row],[Accesible]]=TRUE,Table1938[[#This Row],[DOI]]&lt;&gt;""),TRUE,FALSE)</f>
        <v>0</v>
      </c>
      <c r="Y97" s="2" t="b">
        <f>OR(Table1938[[#This Row],[Document Type]]="journalArticle",Table1938[[#This Row],[Document Type]]="conferencePaper",Table1938[[#This Row],[Document Type]]="review")</f>
        <v>1</v>
      </c>
      <c r="Z97" s="2" t="b" cm="1">
        <f t="array" ref="Z97">SUMPRODUCT(--ISNUMBER(SEARCH({"dimensional analysis","dimensionless coefficients","Π","Pi","theorem","software","design","tools","development","architecture","similar"}, LOWER(Table1938[[#This Row],[Title]]))))&gt;0</f>
        <v>0</v>
      </c>
      <c r="AA97" s="2" t="b" cm="1">
        <f t="array" ref="AA97">SUMPRODUCT(--ISNUMBER(SEARCH({"dimensional analysis","dimensionless coefficients","Π","Pi","theorem","software","design","tools","development","architecture","similar"}, LOWER(Table1938[[#This Row],[Abstract]]))))&gt;0</f>
        <v>1</v>
      </c>
      <c r="AB97" s="2" t="b">
        <f>AND(OR(Table1938[[#This Row],[IC-01 @2024]:[IC-01 @2020]])=TRUE,Table1938[[#This Row],[IC-02]]=TRUE,Table1938[[#This Row],[IC-03]]=TRUE,Table1938[[#This Row],[IC-04]]=TRUE,Table1938[[#This Row],[IC-05]]=TRUE)</f>
        <v>0</v>
      </c>
      <c r="AC97" s="2" t="b">
        <f>AND(Table1938[[#This Row],[Pass-IC]]=TRUE,Table1938[[#This Row],[Pass-EC]]=TRUE)</f>
        <v>0</v>
      </c>
      <c r="AD97" s="2" t="b">
        <f>COUNTIF($D$25:D97, Table1938[[#This Row],[Title]]) = 1</f>
        <v>1</v>
      </c>
      <c r="AE97" s="2" t="b">
        <f>AND(Table1938[[#This Row],[IC + EC]:[Unique]])</f>
        <v>0</v>
      </c>
      <c r="AF97" s="2" t="b">
        <v>0</v>
      </c>
      <c r="AG97" s="2" t="b">
        <v>0</v>
      </c>
      <c r="AH97" s="2" t="b">
        <v>0</v>
      </c>
      <c r="AI97" s="2" t="b">
        <f>IF(AND(Table1938[[#This Row],[Double Check]]=TRUE,Table1938[[#This Row],[Inspected]]=TRUE,Table1938[[#This Row],[Relevant]]=TRUE),TRUE,FALSE)</f>
        <v>0</v>
      </c>
    </row>
    <row r="98" spans="1:35" ht="43" x14ac:dyDescent="0.5">
      <c r="A98" s="2">
        <v>97</v>
      </c>
      <c r="B98" s="20" t="s">
        <v>2</v>
      </c>
      <c r="C98" s="20" t="s">
        <v>2804</v>
      </c>
      <c r="D98" s="20" t="s">
        <v>2805</v>
      </c>
      <c r="E98" s="20" t="s">
        <v>2806</v>
      </c>
      <c r="F98" s="2" t="s">
        <v>2807</v>
      </c>
      <c r="G98" s="20" t="s">
        <v>2808</v>
      </c>
      <c r="H98" s="36">
        <v>45442</v>
      </c>
      <c r="I98" s="20">
        <v>2024</v>
      </c>
      <c r="J98" s="20" t="s">
        <v>62</v>
      </c>
      <c r="K98" s="20" t="s">
        <v>123</v>
      </c>
      <c r="L98" s="20" t="s">
        <v>2515</v>
      </c>
      <c r="M98" s="20" t="s">
        <v>2809</v>
      </c>
      <c r="N98" s="20" t="b">
        <v>1</v>
      </c>
      <c r="O98" s="2" t="b">
        <f>IF(Table1938[[#This Row],[Title]]="",TRUE,FALSE)</f>
        <v>0</v>
      </c>
      <c r="P98" s="2" t="b">
        <f>IF(Table1938[[#This Row],[Author]]="",TRUE,FALSE)</f>
        <v>0</v>
      </c>
      <c r="Q98" s="2" t="b">
        <f>IF(Table1938[[#This Row],[DOI]]&lt;&gt;"", FALSE,TRUE)</f>
        <v>0</v>
      </c>
      <c r="R98" s="2" t="b">
        <f>IF(Table1938[[#This Row],[Abstract]]="",TRUE,FALSE)</f>
        <v>0</v>
      </c>
      <c r="S98" s="2" t="b">
        <f>IF(OR(Table1938[[#This Row],[Document Type]]="book",Table1938[[#This Row],[Document Type]]="bookSection"),TRUE,FALSE)</f>
        <v>0</v>
      </c>
      <c r="T98" s="2" t="b">
        <f>NOT(IF(OR(Table1938[[#This Row],[Language]]&lt;&gt;"en",Table1938[[#This Row],[Language]]&lt;&gt;"EN",Table1938[[#This Row],[Language]]&lt;&gt;"spa",Table1938[[#This Row],[Language]]&lt;&gt;"SPA"),TRUE,FALSE))</f>
        <v>0</v>
      </c>
      <c r="U98" s="2" t="b">
        <f>IF(AND(Table1938[[#This Row],[EC-01]]=FALSE,Table1938[[#This Row],[EC-02]]=FALSE,Table1938[[#This Row],[EC-03]]=FALSE,Table1938[[#This Row],[EC-04]]=FALSE,Table1938[[#This Row],[EC-05]]=FALSE,Table1938[[#This Row],[EC-06]]=FALSE),TRUE,FALSE)</f>
        <v>1</v>
      </c>
      <c r="V98" s="2" t="b">
        <f>IF(Table1938[[#This Row],[Date]]&lt;&gt;"",AND(YEAR(Table1938[[#This Row],[Date]])&gt;=2010, YEAR(Table1938[[#This Row],[Date]])&lt;=2024),FALSE)</f>
        <v>1</v>
      </c>
      <c r="W98" s="2" t="b">
        <f>IF(Table1938[[#This Row],[Date]]&lt;&gt;"",AND(YEAR(Table1938[[#This Row],[Date]])&gt;=2010, YEAR(Table1938[[#This Row],[Date]])&lt;=2020),FALSE)</f>
        <v>0</v>
      </c>
      <c r="X98" s="2" t="b">
        <f>IF(AND(Table1938[[#This Row],[Accesible]]=TRUE,Table1938[[#This Row],[DOI]]&lt;&gt;""),TRUE,FALSE)</f>
        <v>1</v>
      </c>
      <c r="Y98" s="2" t="b">
        <f>OR(Table1938[[#This Row],[Document Type]]="journalArticle",Table1938[[#This Row],[Document Type]]="conferencePaper",Table1938[[#This Row],[Document Type]]="review")</f>
        <v>1</v>
      </c>
      <c r="Z98" s="2" t="b" cm="1">
        <f t="array" ref="Z98">SUMPRODUCT(--ISNUMBER(SEARCH({"dimensional analysis","dimensionless coefficients","Π","Pi","theorem","software","design","tools","development","architecture","similar"}, LOWER(Table1938[[#This Row],[Title]]))))&gt;0</f>
        <v>0</v>
      </c>
      <c r="AA98" s="2" t="b" cm="1">
        <f t="array" ref="AA98">SUMPRODUCT(--ISNUMBER(SEARCH({"dimensional analysis","dimensionless coefficients","Π","Pi","theorem","software","design","tools","development","architecture","similar"}, LOWER(Table1938[[#This Row],[Abstract]]))))&gt;0</f>
        <v>1</v>
      </c>
      <c r="AB98" s="2" t="b">
        <f>AND(OR(Table1938[[#This Row],[IC-01 @2024]:[IC-01 @2020]])=TRUE,Table1938[[#This Row],[IC-02]]=TRUE,Table1938[[#This Row],[IC-03]]=TRUE,Table1938[[#This Row],[IC-04]]=TRUE,Table1938[[#This Row],[IC-05]]=TRUE)</f>
        <v>0</v>
      </c>
      <c r="AC98" s="2" t="b">
        <f>AND(Table1938[[#This Row],[Pass-IC]]=TRUE,Table1938[[#This Row],[Pass-EC]]=TRUE)</f>
        <v>0</v>
      </c>
      <c r="AD98" s="2" t="b">
        <f>COUNTIF($D$25:D98, Table1938[[#This Row],[Title]]) = 1</f>
        <v>1</v>
      </c>
      <c r="AE98" s="2" t="b">
        <f>AND(Table1938[[#This Row],[IC + EC]:[Unique]])</f>
        <v>0</v>
      </c>
      <c r="AF98" s="2" t="b">
        <v>0</v>
      </c>
      <c r="AG98" s="2" t="b">
        <v>0</v>
      </c>
      <c r="AH98" s="2" t="b">
        <v>0</v>
      </c>
      <c r="AI98" s="2" t="b">
        <f>IF(AND(Table1938[[#This Row],[Double Check]]=TRUE,Table1938[[#This Row],[Inspected]]=TRUE,Table1938[[#This Row],[Relevant]]=TRUE),TRUE,FALSE)</f>
        <v>0</v>
      </c>
    </row>
    <row r="99" spans="1:35" ht="57.35" x14ac:dyDescent="0.5">
      <c r="A99" s="2">
        <v>98</v>
      </c>
      <c r="B99" s="20" t="s">
        <v>2</v>
      </c>
      <c r="C99" s="20" t="s">
        <v>2810</v>
      </c>
      <c r="D99" s="20" t="s">
        <v>2811</v>
      </c>
      <c r="E99" s="20" t="s">
        <v>123</v>
      </c>
      <c r="F99" s="2" t="s">
        <v>123</v>
      </c>
      <c r="G99" s="20" t="s">
        <v>2535</v>
      </c>
      <c r="H99" s="36" t="s">
        <v>123</v>
      </c>
      <c r="I99" s="20" t="s">
        <v>123</v>
      </c>
      <c r="J99" s="20" t="s">
        <v>2520</v>
      </c>
      <c r="K99" s="20" t="s">
        <v>123</v>
      </c>
      <c r="L99" s="20" t="s">
        <v>642</v>
      </c>
      <c r="M99" s="20" t="s">
        <v>123</v>
      </c>
      <c r="N99" s="20" t="b">
        <v>1</v>
      </c>
      <c r="O99" s="2" t="b">
        <f>IF(Table1938[[#This Row],[Title]]="",TRUE,FALSE)</f>
        <v>0</v>
      </c>
      <c r="P99" s="2" t="b">
        <f>IF(Table1938[[#This Row],[Author]]="",TRUE,FALSE)</f>
        <v>1</v>
      </c>
      <c r="Q99" s="2" t="b">
        <f>IF(Table1938[[#This Row],[DOI]]&lt;&gt;"", FALSE,TRUE)</f>
        <v>1</v>
      </c>
      <c r="R99" s="2" t="b">
        <f>IF(Table1938[[#This Row],[Abstract]]="",TRUE,FALSE)</f>
        <v>1</v>
      </c>
      <c r="S99" s="2" t="b">
        <f>IF(OR(Table1938[[#This Row],[Document Type]]="book",Table1938[[#This Row],[Document Type]]="bookSection"),TRUE,FALSE)</f>
        <v>0</v>
      </c>
      <c r="T99" s="2" t="b">
        <f>NOT(IF(OR(Table1938[[#This Row],[Language]]&lt;&gt;"en",Table1938[[#This Row],[Language]]&lt;&gt;"EN",Table1938[[#This Row],[Language]]&lt;&gt;"spa",Table1938[[#This Row],[Language]]&lt;&gt;"SPA"),TRUE,FALSE))</f>
        <v>0</v>
      </c>
      <c r="U99" s="2" t="b">
        <f>IF(AND(Table1938[[#This Row],[EC-01]]=FALSE,Table1938[[#This Row],[EC-02]]=FALSE,Table1938[[#This Row],[EC-03]]=FALSE,Table1938[[#This Row],[EC-04]]=FALSE,Table1938[[#This Row],[EC-05]]=FALSE,Table1938[[#This Row],[EC-06]]=FALSE),TRUE,FALSE)</f>
        <v>0</v>
      </c>
      <c r="V99" s="2" t="b">
        <f>IF(Table1938[[#This Row],[Date]]&lt;&gt;"",AND(YEAR(Table1938[[#This Row],[Date]])&gt;=2010, YEAR(Table1938[[#This Row],[Date]])&lt;=2024),FALSE)</f>
        <v>0</v>
      </c>
      <c r="W99" s="2" t="b">
        <f>IF(Table1938[[#This Row],[Date]]&lt;&gt;"",AND(YEAR(Table1938[[#This Row],[Date]])&gt;=2010, YEAR(Table1938[[#This Row],[Date]])&lt;=2020),FALSE)</f>
        <v>0</v>
      </c>
      <c r="X99" s="2" t="b">
        <f>IF(AND(Table1938[[#This Row],[Accesible]]=TRUE,Table1938[[#This Row],[DOI]]&lt;&gt;""),TRUE,FALSE)</f>
        <v>0</v>
      </c>
      <c r="Y99" s="2" t="b">
        <f>OR(Table1938[[#This Row],[Document Type]]="journalArticle",Table1938[[#This Row],[Document Type]]="conferencePaper",Table1938[[#This Row],[Document Type]]="review")</f>
        <v>0</v>
      </c>
      <c r="Z99" s="2" t="b" cm="1">
        <f t="array" ref="Z99">SUMPRODUCT(--ISNUMBER(SEARCH({"dimensional analysis","dimensionless coefficients","Π","Pi","theorem","software","design","tools","development","architecture","similar"}, LOWER(Table1938[[#This Row],[Title]]))))&gt;0</f>
        <v>0</v>
      </c>
      <c r="AA99" s="2" t="b" cm="1">
        <f t="array" ref="AA99">SUMPRODUCT(--ISNUMBER(SEARCH({"dimensional analysis","dimensionless coefficients","Π","Pi","theorem","software","design","tools","development","architecture","similar"}, LOWER(Table1938[[#This Row],[Abstract]]))))&gt;0</f>
        <v>0</v>
      </c>
      <c r="AB99" s="2" t="b">
        <f>AND(OR(Table1938[[#This Row],[IC-01 @2024]:[IC-01 @2020]])=TRUE,Table1938[[#This Row],[IC-02]]=TRUE,Table1938[[#This Row],[IC-03]]=TRUE,Table1938[[#This Row],[IC-04]]=TRUE,Table1938[[#This Row],[IC-05]]=TRUE)</f>
        <v>0</v>
      </c>
      <c r="AC99" s="2" t="b">
        <f>AND(Table1938[[#This Row],[Pass-IC]]=TRUE,Table1938[[#This Row],[Pass-EC]]=TRUE)</f>
        <v>0</v>
      </c>
      <c r="AD99" s="2" t="b">
        <f>COUNTIF($D$25:D99, Table1938[[#This Row],[Title]]) = 1</f>
        <v>1</v>
      </c>
      <c r="AE99" s="2" t="b">
        <f>AND(Table1938[[#This Row],[IC + EC]:[Unique]])</f>
        <v>0</v>
      </c>
      <c r="AF99" s="2" t="b">
        <v>0</v>
      </c>
      <c r="AG99" s="2" t="b">
        <v>0</v>
      </c>
      <c r="AH99" s="2" t="b">
        <v>0</v>
      </c>
      <c r="AI99" s="2" t="b">
        <f>IF(AND(Table1938[[#This Row],[Double Check]]=TRUE,Table1938[[#This Row],[Inspected]]=TRUE,Table1938[[#This Row],[Relevant]]=TRUE),TRUE,FALSE)</f>
        <v>0</v>
      </c>
    </row>
    <row r="100" spans="1:35" ht="57.35" x14ac:dyDescent="0.5">
      <c r="A100" s="2">
        <v>99</v>
      </c>
      <c r="B100" s="20" t="s">
        <v>2</v>
      </c>
      <c r="C100" s="20" t="s">
        <v>2812</v>
      </c>
      <c r="D100" s="20" t="s">
        <v>453</v>
      </c>
      <c r="E100" s="20" t="s">
        <v>447</v>
      </c>
      <c r="F100" s="2" t="s">
        <v>458</v>
      </c>
      <c r="G100" s="20" t="s">
        <v>464</v>
      </c>
      <c r="H100" s="36">
        <v>42005</v>
      </c>
      <c r="I100" s="20">
        <v>2015</v>
      </c>
      <c r="J100" s="20" t="s">
        <v>62</v>
      </c>
      <c r="K100" s="20" t="s">
        <v>2813</v>
      </c>
      <c r="L100" s="20" t="s">
        <v>2515</v>
      </c>
      <c r="M100" s="20" t="s">
        <v>441</v>
      </c>
      <c r="N100" s="20" t="b">
        <v>1</v>
      </c>
      <c r="O100" s="2" t="b">
        <f>IF(Table1938[[#This Row],[Title]]="",TRUE,FALSE)</f>
        <v>0</v>
      </c>
      <c r="P100" s="2" t="b">
        <f>IF(Table1938[[#This Row],[Author]]="",TRUE,FALSE)</f>
        <v>0</v>
      </c>
      <c r="Q100" s="2" t="b">
        <f>IF(Table1938[[#This Row],[DOI]]&lt;&gt;"", FALSE,TRUE)</f>
        <v>0</v>
      </c>
      <c r="R100" s="2" t="b">
        <f>IF(Table1938[[#This Row],[Abstract]]="",TRUE,FALSE)</f>
        <v>0</v>
      </c>
      <c r="S100" s="2" t="b">
        <f>IF(OR(Table1938[[#This Row],[Document Type]]="book",Table1938[[#This Row],[Document Type]]="bookSection"),TRUE,FALSE)</f>
        <v>0</v>
      </c>
      <c r="T100" s="2" t="b">
        <f>NOT(IF(OR(Table1938[[#This Row],[Language]]&lt;&gt;"en",Table1938[[#This Row],[Language]]&lt;&gt;"EN",Table1938[[#This Row],[Language]]&lt;&gt;"spa",Table1938[[#This Row],[Language]]&lt;&gt;"SPA"),TRUE,FALSE))</f>
        <v>0</v>
      </c>
      <c r="U100" s="2" t="b">
        <f>IF(AND(Table1938[[#This Row],[EC-01]]=FALSE,Table1938[[#This Row],[EC-02]]=FALSE,Table1938[[#This Row],[EC-03]]=FALSE,Table1938[[#This Row],[EC-04]]=FALSE,Table1938[[#This Row],[EC-05]]=FALSE,Table1938[[#This Row],[EC-06]]=FALSE),TRUE,FALSE)</f>
        <v>1</v>
      </c>
      <c r="V100" s="2" t="b">
        <f>IF(Table1938[[#This Row],[Date]]&lt;&gt;"",AND(YEAR(Table1938[[#This Row],[Date]])&gt;=2010, YEAR(Table1938[[#This Row],[Date]])&lt;=2024),FALSE)</f>
        <v>1</v>
      </c>
      <c r="W100" s="2" t="b">
        <f>IF(Table1938[[#This Row],[Date]]&lt;&gt;"",AND(YEAR(Table1938[[#This Row],[Date]])&gt;=2010, YEAR(Table1938[[#This Row],[Date]])&lt;=2020),FALSE)</f>
        <v>1</v>
      </c>
      <c r="X100" s="2" t="b">
        <f>IF(AND(Table1938[[#This Row],[Accesible]]=TRUE,Table1938[[#This Row],[DOI]]&lt;&gt;""),TRUE,FALSE)</f>
        <v>1</v>
      </c>
      <c r="Y100" s="2" t="b">
        <f>OR(Table1938[[#This Row],[Document Type]]="journalArticle",Table1938[[#This Row],[Document Type]]="conferencePaper",Table1938[[#This Row],[Document Type]]="review")</f>
        <v>1</v>
      </c>
      <c r="Z100" s="2" t="b" cm="1">
        <f t="array" ref="Z100">SUMPRODUCT(--ISNUMBER(SEARCH({"dimensional analysis","dimensionless coefficients","Π","Pi","theorem","software","design","tools","development","architecture","similar"}, LOWER(Table1938[[#This Row],[Title]]))))&gt;0</f>
        <v>0</v>
      </c>
      <c r="AA100" s="2" t="b" cm="1">
        <f t="array" ref="AA100">SUMPRODUCT(--ISNUMBER(SEARCH({"dimensional analysis","dimensionless coefficients","Π","Pi","theorem","software","design","tools","development","architecture","similar"}, LOWER(Table1938[[#This Row],[Abstract]]))))&gt;0</f>
        <v>0</v>
      </c>
      <c r="AB100" s="2" t="b">
        <f>AND(OR(Table1938[[#This Row],[IC-01 @2024]:[IC-01 @2020]])=TRUE,Table1938[[#This Row],[IC-02]]=TRUE,Table1938[[#This Row],[IC-03]]=TRUE,Table1938[[#This Row],[IC-04]]=TRUE,Table1938[[#This Row],[IC-05]]=TRUE)</f>
        <v>0</v>
      </c>
      <c r="AC100" s="2" t="b">
        <f>AND(Table1938[[#This Row],[Pass-IC]]=TRUE,Table1938[[#This Row],[Pass-EC]]=TRUE)</f>
        <v>0</v>
      </c>
      <c r="AD100" s="2" t="b">
        <f>COUNTIF($D$25:D100, Table1938[[#This Row],[Title]]) = 1</f>
        <v>1</v>
      </c>
      <c r="AE100" s="2" t="b">
        <f>AND(Table1938[[#This Row],[IC + EC]:[Unique]])</f>
        <v>0</v>
      </c>
      <c r="AF100" s="2" t="b">
        <v>0</v>
      </c>
      <c r="AG100" s="2" t="b">
        <v>0</v>
      </c>
      <c r="AH100" s="2" t="b">
        <v>0</v>
      </c>
      <c r="AI100" s="2" t="b">
        <f>IF(AND(Table1938[[#This Row],[Double Check]]=TRUE,Table1938[[#This Row],[Inspected]]=TRUE,Table1938[[#This Row],[Relevant]]=TRUE),TRUE,FALSE)</f>
        <v>0</v>
      </c>
    </row>
    <row r="101" spans="1:35" ht="57.35" x14ac:dyDescent="0.5">
      <c r="A101" s="2">
        <v>100</v>
      </c>
      <c r="B101" s="20" t="s">
        <v>2</v>
      </c>
      <c r="C101" s="20" t="s">
        <v>2814</v>
      </c>
      <c r="D101" s="20" t="s">
        <v>2815</v>
      </c>
      <c r="E101" s="20" t="s">
        <v>123</v>
      </c>
      <c r="F101" s="2" t="s">
        <v>123</v>
      </c>
      <c r="G101" s="20" t="s">
        <v>2519</v>
      </c>
      <c r="H101" s="36" t="s">
        <v>123</v>
      </c>
      <c r="I101" s="20" t="s">
        <v>123</v>
      </c>
      <c r="J101" s="20" t="s">
        <v>2520</v>
      </c>
      <c r="K101" s="20" t="s">
        <v>123</v>
      </c>
      <c r="L101" s="20" t="s">
        <v>642</v>
      </c>
      <c r="M101" s="20" t="s">
        <v>123</v>
      </c>
      <c r="N101" s="20" t="b">
        <v>1</v>
      </c>
      <c r="O101" s="2" t="b">
        <f>IF(Table1938[[#This Row],[Title]]="",TRUE,FALSE)</f>
        <v>0</v>
      </c>
      <c r="P101" s="2" t="b">
        <f>IF(Table1938[[#This Row],[Author]]="",TRUE,FALSE)</f>
        <v>1</v>
      </c>
      <c r="Q101" s="2" t="b">
        <f>IF(Table1938[[#This Row],[DOI]]&lt;&gt;"", FALSE,TRUE)</f>
        <v>1</v>
      </c>
      <c r="R101" s="2" t="b">
        <f>IF(Table1938[[#This Row],[Abstract]]="",TRUE,FALSE)</f>
        <v>1</v>
      </c>
      <c r="S101" s="2" t="b">
        <f>IF(OR(Table1938[[#This Row],[Document Type]]="book",Table1938[[#This Row],[Document Type]]="bookSection"),TRUE,FALSE)</f>
        <v>0</v>
      </c>
      <c r="T101" s="2" t="b">
        <f>NOT(IF(OR(Table1938[[#This Row],[Language]]&lt;&gt;"en",Table1938[[#This Row],[Language]]&lt;&gt;"EN",Table1938[[#This Row],[Language]]&lt;&gt;"spa",Table1938[[#This Row],[Language]]&lt;&gt;"SPA"),TRUE,FALSE))</f>
        <v>0</v>
      </c>
      <c r="U101" s="2" t="b">
        <f>IF(AND(Table1938[[#This Row],[EC-01]]=FALSE,Table1938[[#This Row],[EC-02]]=FALSE,Table1938[[#This Row],[EC-03]]=FALSE,Table1938[[#This Row],[EC-04]]=FALSE,Table1938[[#This Row],[EC-05]]=FALSE,Table1938[[#This Row],[EC-06]]=FALSE),TRUE,FALSE)</f>
        <v>0</v>
      </c>
      <c r="V101" s="2" t="b">
        <f>IF(Table1938[[#This Row],[Date]]&lt;&gt;"",AND(YEAR(Table1938[[#This Row],[Date]])&gt;=2010, YEAR(Table1938[[#This Row],[Date]])&lt;=2024),FALSE)</f>
        <v>0</v>
      </c>
      <c r="W101" s="2" t="b">
        <f>IF(Table1938[[#This Row],[Date]]&lt;&gt;"",AND(YEAR(Table1938[[#This Row],[Date]])&gt;=2010, YEAR(Table1938[[#This Row],[Date]])&lt;=2020),FALSE)</f>
        <v>0</v>
      </c>
      <c r="X101" s="2" t="b">
        <f>IF(AND(Table1938[[#This Row],[Accesible]]=TRUE,Table1938[[#This Row],[DOI]]&lt;&gt;""),TRUE,FALSE)</f>
        <v>0</v>
      </c>
      <c r="Y101" s="2" t="b">
        <f>OR(Table1938[[#This Row],[Document Type]]="journalArticle",Table1938[[#This Row],[Document Type]]="conferencePaper",Table1938[[#This Row],[Document Type]]="review")</f>
        <v>0</v>
      </c>
      <c r="Z101" s="2" t="b" cm="1">
        <f t="array" ref="Z101">SUMPRODUCT(--ISNUMBER(SEARCH({"dimensional analysis","dimensionless coefficients","Π","Pi","theorem","software","design","tools","development","architecture","similar"}, LOWER(Table1938[[#This Row],[Title]]))))&gt;0</f>
        <v>1</v>
      </c>
      <c r="AA101" s="2" t="b" cm="1">
        <f t="array" ref="AA101">SUMPRODUCT(--ISNUMBER(SEARCH({"dimensional analysis","dimensionless coefficients","Π","Pi","theorem","software","design","tools","development","architecture","similar"}, LOWER(Table1938[[#This Row],[Abstract]]))))&gt;0</f>
        <v>0</v>
      </c>
      <c r="AB101" s="2" t="b">
        <f>AND(OR(Table1938[[#This Row],[IC-01 @2024]:[IC-01 @2020]])=TRUE,Table1938[[#This Row],[IC-02]]=TRUE,Table1938[[#This Row],[IC-03]]=TRUE,Table1938[[#This Row],[IC-04]]=TRUE,Table1938[[#This Row],[IC-05]]=TRUE)</f>
        <v>0</v>
      </c>
      <c r="AC101" s="2" t="b">
        <f>AND(Table1938[[#This Row],[Pass-IC]]=TRUE,Table1938[[#This Row],[Pass-EC]]=TRUE)</f>
        <v>0</v>
      </c>
      <c r="AD101" s="2" t="b">
        <f>COUNTIF($D$25:D101, Table1938[[#This Row],[Title]]) = 1</f>
        <v>1</v>
      </c>
      <c r="AE101" s="2" t="b">
        <f>AND(Table1938[[#This Row],[IC + EC]:[Unique]])</f>
        <v>0</v>
      </c>
      <c r="AF101" s="2" t="b">
        <v>0</v>
      </c>
      <c r="AG101" s="2" t="b">
        <v>0</v>
      </c>
      <c r="AH101" s="2" t="b">
        <v>0</v>
      </c>
      <c r="AI101" s="2" t="b">
        <f>IF(AND(Table1938[[#This Row],[Double Check]]=TRUE,Table1938[[#This Row],[Inspected]]=TRUE,Table1938[[#This Row],[Relevant]]=TRUE),TRUE,FALSE)</f>
        <v>0</v>
      </c>
    </row>
    <row r="102" spans="1:35" ht="57.35" x14ac:dyDescent="0.5">
      <c r="A102" s="2">
        <v>101</v>
      </c>
      <c r="B102" s="20" t="s">
        <v>2</v>
      </c>
      <c r="C102" s="20" t="s">
        <v>2816</v>
      </c>
      <c r="D102" s="20" t="s">
        <v>316</v>
      </c>
      <c r="E102" s="20" t="s">
        <v>341</v>
      </c>
      <c r="F102" s="2" t="s">
        <v>366</v>
      </c>
      <c r="G102" s="20" t="s">
        <v>2817</v>
      </c>
      <c r="H102" s="36">
        <v>40513</v>
      </c>
      <c r="I102" s="20">
        <v>2010</v>
      </c>
      <c r="J102" s="20" t="s">
        <v>61</v>
      </c>
      <c r="K102" s="20" t="s">
        <v>2818</v>
      </c>
      <c r="L102" s="20" t="s">
        <v>2515</v>
      </c>
      <c r="M102" s="20" t="s">
        <v>391</v>
      </c>
      <c r="N102" s="20" t="b">
        <v>1</v>
      </c>
      <c r="O102" s="2" t="b">
        <f>IF(Table1938[[#This Row],[Title]]="",TRUE,FALSE)</f>
        <v>0</v>
      </c>
      <c r="P102" s="2" t="b">
        <f>IF(Table1938[[#This Row],[Author]]="",TRUE,FALSE)</f>
        <v>0</v>
      </c>
      <c r="Q102" s="2" t="b">
        <f>IF(Table1938[[#This Row],[DOI]]&lt;&gt;"", FALSE,TRUE)</f>
        <v>0</v>
      </c>
      <c r="R102" s="2" t="b">
        <f>IF(Table1938[[#This Row],[Abstract]]="",TRUE,FALSE)</f>
        <v>0</v>
      </c>
      <c r="S102" s="2" t="b">
        <f>IF(OR(Table1938[[#This Row],[Document Type]]="book",Table1938[[#This Row],[Document Type]]="bookSection"),TRUE,FALSE)</f>
        <v>0</v>
      </c>
      <c r="T102" s="2" t="b">
        <f>NOT(IF(OR(Table1938[[#This Row],[Language]]&lt;&gt;"en",Table1938[[#This Row],[Language]]&lt;&gt;"EN",Table1938[[#This Row],[Language]]&lt;&gt;"spa",Table1938[[#This Row],[Language]]&lt;&gt;"SPA"),TRUE,FALSE))</f>
        <v>0</v>
      </c>
      <c r="U102" s="2" t="b">
        <f>IF(AND(Table1938[[#This Row],[EC-01]]=FALSE,Table1938[[#This Row],[EC-02]]=FALSE,Table1938[[#This Row],[EC-03]]=FALSE,Table1938[[#This Row],[EC-04]]=FALSE,Table1938[[#This Row],[EC-05]]=FALSE,Table1938[[#This Row],[EC-06]]=FALSE),TRUE,FALSE)</f>
        <v>1</v>
      </c>
      <c r="V102" s="2" t="b">
        <f>IF(Table1938[[#This Row],[Date]]&lt;&gt;"",AND(YEAR(Table1938[[#This Row],[Date]])&gt;=2010, YEAR(Table1938[[#This Row],[Date]])&lt;=2024),FALSE)</f>
        <v>1</v>
      </c>
      <c r="W102" s="2" t="b">
        <f>IF(Table1938[[#This Row],[Date]]&lt;&gt;"",AND(YEAR(Table1938[[#This Row],[Date]])&gt;=2010, YEAR(Table1938[[#This Row],[Date]])&lt;=2020),FALSE)</f>
        <v>1</v>
      </c>
      <c r="X102" s="2" t="b">
        <f>IF(AND(Table1938[[#This Row],[Accesible]]=TRUE,Table1938[[#This Row],[DOI]]&lt;&gt;""),TRUE,FALSE)</f>
        <v>1</v>
      </c>
      <c r="Y102" s="2" t="b">
        <f>OR(Table1938[[#This Row],[Document Type]]="journalArticle",Table1938[[#This Row],[Document Type]]="conferencePaper",Table1938[[#This Row],[Document Type]]="review")</f>
        <v>1</v>
      </c>
      <c r="Z102" s="2" t="b" cm="1">
        <f t="array" ref="Z102">SUMPRODUCT(--ISNUMBER(SEARCH({"dimensional analysis","dimensionless coefficients","Π","Pi","theorem","software","design","tools","development","architecture","similar"}, LOWER(Table1938[[#This Row],[Title]]))))&gt;0</f>
        <v>1</v>
      </c>
      <c r="AA102" s="2" t="b" cm="1">
        <f t="array" ref="AA102">SUMPRODUCT(--ISNUMBER(SEARCH({"dimensional analysis","dimensionless coefficients","Π","Pi","theorem","software","design","tools","development","architecture","similar"}, LOWER(Table1938[[#This Row],[Abstract]]))))&gt;0</f>
        <v>1</v>
      </c>
      <c r="AB102" s="2" t="b">
        <f>AND(OR(Table1938[[#This Row],[IC-01 @2024]:[IC-01 @2020]])=TRUE,Table1938[[#This Row],[IC-02]]=TRUE,Table1938[[#This Row],[IC-03]]=TRUE,Table1938[[#This Row],[IC-04]]=TRUE,Table1938[[#This Row],[IC-05]]=TRUE)</f>
        <v>1</v>
      </c>
      <c r="AC102" s="2" t="b">
        <f>AND(Table1938[[#This Row],[Pass-IC]]=TRUE,Table1938[[#This Row],[Pass-EC]]=TRUE)</f>
        <v>1</v>
      </c>
      <c r="AD102" s="2" t="b">
        <f>COUNTIF($D$25:D102, Table1938[[#This Row],[Title]]) = 1</f>
        <v>1</v>
      </c>
      <c r="AE102" s="2" t="b">
        <f>AND(Table1938[[#This Row],[IC + EC]:[Unique]])</f>
        <v>1</v>
      </c>
      <c r="AF102" s="2" t="b">
        <v>1</v>
      </c>
      <c r="AG102" s="2" t="b">
        <v>0</v>
      </c>
      <c r="AH102" s="2" t="b">
        <v>0</v>
      </c>
      <c r="AI102" s="2" t="b">
        <f>IF(AND(Table1938[[#This Row],[Double Check]]=TRUE,Table1938[[#This Row],[Inspected]]=TRUE,Table1938[[#This Row],[Relevant]]=TRUE),TRUE,FALSE)</f>
        <v>0</v>
      </c>
    </row>
    <row r="103" spans="1:35" ht="71.7" x14ac:dyDescent="0.5">
      <c r="A103" s="2">
        <v>102</v>
      </c>
      <c r="B103" s="20" t="s">
        <v>2</v>
      </c>
      <c r="C103" s="20" t="s">
        <v>2819</v>
      </c>
      <c r="D103" s="20" t="s">
        <v>319</v>
      </c>
      <c r="E103" s="20" t="s">
        <v>344</v>
      </c>
      <c r="F103" s="2" t="s">
        <v>369</v>
      </c>
      <c r="G103" s="20" t="s">
        <v>924</v>
      </c>
      <c r="H103" s="36">
        <v>42125</v>
      </c>
      <c r="I103" s="20">
        <v>2015</v>
      </c>
      <c r="J103" s="20" t="s">
        <v>61</v>
      </c>
      <c r="K103" s="20" t="s">
        <v>2820</v>
      </c>
      <c r="L103" s="20" t="s">
        <v>2515</v>
      </c>
      <c r="M103" s="20" t="s">
        <v>394</v>
      </c>
      <c r="N103" s="20" t="b">
        <v>0</v>
      </c>
      <c r="O103" s="2" t="b">
        <f>IF(Table1938[[#This Row],[Title]]="",TRUE,FALSE)</f>
        <v>0</v>
      </c>
      <c r="P103" s="2" t="b">
        <f>IF(Table1938[[#This Row],[Author]]="",TRUE,FALSE)</f>
        <v>0</v>
      </c>
      <c r="Q103" s="2" t="b">
        <f>IF(Table1938[[#This Row],[DOI]]&lt;&gt;"", FALSE,TRUE)</f>
        <v>0</v>
      </c>
      <c r="R103" s="2" t="b">
        <f>IF(Table1938[[#This Row],[Abstract]]="",TRUE,FALSE)</f>
        <v>0</v>
      </c>
      <c r="S103" s="2" t="b">
        <f>IF(OR(Table1938[[#This Row],[Document Type]]="book",Table1938[[#This Row],[Document Type]]="bookSection"),TRUE,FALSE)</f>
        <v>0</v>
      </c>
      <c r="T103" s="2" t="b">
        <f>NOT(IF(OR(Table1938[[#This Row],[Language]]&lt;&gt;"en",Table1938[[#This Row],[Language]]&lt;&gt;"EN",Table1938[[#This Row],[Language]]&lt;&gt;"spa",Table1938[[#This Row],[Language]]&lt;&gt;"SPA"),TRUE,FALSE))</f>
        <v>0</v>
      </c>
      <c r="U103" s="2" t="b">
        <f>IF(AND(Table1938[[#This Row],[EC-01]]=FALSE,Table1938[[#This Row],[EC-02]]=FALSE,Table1938[[#This Row],[EC-03]]=FALSE,Table1938[[#This Row],[EC-04]]=FALSE,Table1938[[#This Row],[EC-05]]=FALSE,Table1938[[#This Row],[EC-06]]=FALSE),TRUE,FALSE)</f>
        <v>1</v>
      </c>
      <c r="V103" s="2" t="b">
        <f>IF(Table1938[[#This Row],[Date]]&lt;&gt;"",AND(YEAR(Table1938[[#This Row],[Date]])&gt;=2010, YEAR(Table1938[[#This Row],[Date]])&lt;=2024),FALSE)</f>
        <v>1</v>
      </c>
      <c r="W103" s="2" t="b">
        <f>IF(Table1938[[#This Row],[Date]]&lt;&gt;"",AND(YEAR(Table1938[[#This Row],[Date]])&gt;=2010, YEAR(Table1938[[#This Row],[Date]])&lt;=2020),FALSE)</f>
        <v>1</v>
      </c>
      <c r="X103" s="2" t="b">
        <f>IF(AND(Table1938[[#This Row],[Accesible]]=TRUE,Table1938[[#This Row],[DOI]]&lt;&gt;""),TRUE,FALSE)</f>
        <v>0</v>
      </c>
      <c r="Y103" s="2" t="b">
        <f>OR(Table1938[[#This Row],[Document Type]]="journalArticle",Table1938[[#This Row],[Document Type]]="conferencePaper",Table1938[[#This Row],[Document Type]]="review")</f>
        <v>1</v>
      </c>
      <c r="Z103" s="2" t="b" cm="1">
        <f t="array" ref="Z103">SUMPRODUCT(--ISNUMBER(SEARCH({"dimensional analysis","dimensionless coefficients","Π","Pi","theorem","software","design","tools","development","architecture","similar"}, LOWER(Table1938[[#This Row],[Title]]))))&gt;0</f>
        <v>0</v>
      </c>
      <c r="AA103" s="2" t="b" cm="1">
        <f t="array" ref="AA103">SUMPRODUCT(--ISNUMBER(SEARCH({"dimensional analysis","dimensionless coefficients","Π","Pi","theorem","software","design","tools","development","architecture","similar"}, LOWER(Table1938[[#This Row],[Abstract]]))))&gt;0</f>
        <v>0</v>
      </c>
      <c r="AB103" s="2" t="b">
        <f>AND(OR(Table1938[[#This Row],[IC-01 @2024]:[IC-01 @2020]])=TRUE,Table1938[[#This Row],[IC-02]]=TRUE,Table1938[[#This Row],[IC-03]]=TRUE,Table1938[[#This Row],[IC-04]]=TRUE,Table1938[[#This Row],[IC-05]]=TRUE)</f>
        <v>0</v>
      </c>
      <c r="AC103" s="2" t="b">
        <f>AND(Table1938[[#This Row],[Pass-IC]]=TRUE,Table1938[[#This Row],[Pass-EC]]=TRUE)</f>
        <v>0</v>
      </c>
      <c r="AD103" s="2" t="b">
        <f>COUNTIF($D$25:D103, Table1938[[#This Row],[Title]]) = 1</f>
        <v>1</v>
      </c>
      <c r="AE103" s="2" t="b">
        <f>AND(Table1938[[#This Row],[IC + EC]:[Unique]])</f>
        <v>0</v>
      </c>
      <c r="AF103" s="2" t="b">
        <v>0</v>
      </c>
      <c r="AG103" s="2" t="b">
        <v>0</v>
      </c>
      <c r="AH103" s="2" t="b">
        <v>0</v>
      </c>
      <c r="AI103" s="2" t="b">
        <f>IF(AND(Table1938[[#This Row],[Double Check]]=TRUE,Table1938[[#This Row],[Inspected]]=TRUE,Table1938[[#This Row],[Relevant]]=TRUE),TRUE,FALSE)</f>
        <v>0</v>
      </c>
    </row>
    <row r="104" spans="1:35" ht="43" x14ac:dyDescent="0.5">
      <c r="A104" s="2">
        <v>103</v>
      </c>
      <c r="B104" s="20" t="s">
        <v>2</v>
      </c>
      <c r="C104" s="20" t="s">
        <v>2821</v>
      </c>
      <c r="D104" s="20" t="s">
        <v>457</v>
      </c>
      <c r="E104" s="20" t="s">
        <v>452</v>
      </c>
      <c r="F104" s="2" t="s">
        <v>463</v>
      </c>
      <c r="G104" s="20" t="s">
        <v>2822</v>
      </c>
      <c r="H104" s="36">
        <v>42740</v>
      </c>
      <c r="I104" s="20">
        <v>2017</v>
      </c>
      <c r="J104" s="20" t="s">
        <v>62</v>
      </c>
      <c r="K104" s="20" t="s">
        <v>123</v>
      </c>
      <c r="L104" s="20" t="s">
        <v>2515</v>
      </c>
      <c r="M104" s="20" t="s">
        <v>446</v>
      </c>
      <c r="N104" s="20" t="b">
        <v>1</v>
      </c>
      <c r="O104" s="2" t="b">
        <f>IF(Table1938[[#This Row],[Title]]="",TRUE,FALSE)</f>
        <v>0</v>
      </c>
      <c r="P104" s="2" t="b">
        <f>IF(Table1938[[#This Row],[Author]]="",TRUE,FALSE)</f>
        <v>0</v>
      </c>
      <c r="Q104" s="2" t="b">
        <f>IF(Table1938[[#This Row],[DOI]]&lt;&gt;"", FALSE,TRUE)</f>
        <v>0</v>
      </c>
      <c r="R104" s="2" t="b">
        <f>IF(Table1938[[#This Row],[Abstract]]="",TRUE,FALSE)</f>
        <v>0</v>
      </c>
      <c r="S104" s="2" t="b">
        <f>IF(OR(Table1938[[#This Row],[Document Type]]="book",Table1938[[#This Row],[Document Type]]="bookSection"),TRUE,FALSE)</f>
        <v>0</v>
      </c>
      <c r="T104" s="2" t="b">
        <f>NOT(IF(OR(Table1938[[#This Row],[Language]]&lt;&gt;"en",Table1938[[#This Row],[Language]]&lt;&gt;"EN",Table1938[[#This Row],[Language]]&lt;&gt;"spa",Table1938[[#This Row],[Language]]&lt;&gt;"SPA"),TRUE,FALSE))</f>
        <v>0</v>
      </c>
      <c r="U104" s="2" t="b">
        <f>IF(AND(Table1938[[#This Row],[EC-01]]=FALSE,Table1938[[#This Row],[EC-02]]=FALSE,Table1938[[#This Row],[EC-03]]=FALSE,Table1938[[#This Row],[EC-04]]=FALSE,Table1938[[#This Row],[EC-05]]=FALSE,Table1938[[#This Row],[EC-06]]=FALSE),TRUE,FALSE)</f>
        <v>1</v>
      </c>
      <c r="V104" s="2" t="b">
        <f>IF(Table1938[[#This Row],[Date]]&lt;&gt;"",AND(YEAR(Table1938[[#This Row],[Date]])&gt;=2010, YEAR(Table1938[[#This Row],[Date]])&lt;=2024),FALSE)</f>
        <v>1</v>
      </c>
      <c r="W104" s="2" t="b">
        <f>IF(Table1938[[#This Row],[Date]]&lt;&gt;"",AND(YEAR(Table1938[[#This Row],[Date]])&gt;=2010, YEAR(Table1938[[#This Row],[Date]])&lt;=2020),FALSE)</f>
        <v>1</v>
      </c>
      <c r="X104" s="2" t="b">
        <f>IF(AND(Table1938[[#This Row],[Accesible]]=TRUE,Table1938[[#This Row],[DOI]]&lt;&gt;""),TRUE,FALSE)</f>
        <v>1</v>
      </c>
      <c r="Y104" s="2" t="b">
        <f>OR(Table1938[[#This Row],[Document Type]]="journalArticle",Table1938[[#This Row],[Document Type]]="conferencePaper",Table1938[[#This Row],[Document Type]]="review")</f>
        <v>1</v>
      </c>
      <c r="Z104" s="2" t="b" cm="1">
        <f t="array" ref="Z104">SUMPRODUCT(--ISNUMBER(SEARCH({"dimensional analysis","dimensionless coefficients","Π","Pi","theorem","software","design","tools","development","architecture","similar"}, LOWER(Table1938[[#This Row],[Title]]))))&gt;0</f>
        <v>0</v>
      </c>
      <c r="AA104" s="2" t="b" cm="1">
        <f t="array" ref="AA104">SUMPRODUCT(--ISNUMBER(SEARCH({"dimensional analysis","dimensionless coefficients","Π","Pi","theorem","software","design","tools","development","architecture","similar"}, LOWER(Table1938[[#This Row],[Abstract]]))))&gt;0</f>
        <v>0</v>
      </c>
      <c r="AB104" s="2" t="b">
        <f>AND(OR(Table1938[[#This Row],[IC-01 @2024]:[IC-01 @2020]])=TRUE,Table1938[[#This Row],[IC-02]]=TRUE,Table1938[[#This Row],[IC-03]]=TRUE,Table1938[[#This Row],[IC-04]]=TRUE,Table1938[[#This Row],[IC-05]]=TRUE)</f>
        <v>0</v>
      </c>
      <c r="AC104" s="2" t="b">
        <f>AND(Table1938[[#This Row],[Pass-IC]]=TRUE,Table1938[[#This Row],[Pass-EC]]=TRUE)</f>
        <v>0</v>
      </c>
      <c r="AD104" s="2" t="b">
        <f>COUNTIF($D$25:D104, Table1938[[#This Row],[Title]]) = 1</f>
        <v>1</v>
      </c>
      <c r="AE104" s="2" t="b">
        <f>AND(Table1938[[#This Row],[IC + EC]:[Unique]])</f>
        <v>0</v>
      </c>
      <c r="AF104" s="2" t="b">
        <v>0</v>
      </c>
      <c r="AG104" s="2" t="b">
        <v>0</v>
      </c>
      <c r="AH104" s="2" t="b">
        <v>0</v>
      </c>
      <c r="AI104" s="2" t="b">
        <f>IF(AND(Table1938[[#This Row],[Double Check]]=TRUE,Table1938[[#This Row],[Inspected]]=TRUE,Table1938[[#This Row],[Relevant]]=TRUE),TRUE,FALSE)</f>
        <v>0</v>
      </c>
    </row>
    <row r="105" spans="1:35" ht="57.35" x14ac:dyDescent="0.5">
      <c r="A105" s="2">
        <v>104</v>
      </c>
      <c r="B105" s="20" t="s">
        <v>2</v>
      </c>
      <c r="C105" s="20" t="s">
        <v>2823</v>
      </c>
      <c r="D105" s="20" t="s">
        <v>2758</v>
      </c>
      <c r="E105" s="20" t="s">
        <v>123</v>
      </c>
      <c r="F105" s="2" t="s">
        <v>123</v>
      </c>
      <c r="G105" s="20" t="s">
        <v>2535</v>
      </c>
      <c r="H105" s="36" t="s">
        <v>123</v>
      </c>
      <c r="I105" s="20" t="s">
        <v>123</v>
      </c>
      <c r="J105" s="20" t="s">
        <v>2520</v>
      </c>
      <c r="K105" s="20" t="s">
        <v>123</v>
      </c>
      <c r="L105" s="20" t="s">
        <v>642</v>
      </c>
      <c r="M105" s="20" t="s">
        <v>123</v>
      </c>
      <c r="N105" s="20" t="b">
        <v>1</v>
      </c>
      <c r="O105" s="2" t="b">
        <f>IF(Table1938[[#This Row],[Title]]="",TRUE,FALSE)</f>
        <v>0</v>
      </c>
      <c r="P105" s="2" t="b">
        <f>IF(Table1938[[#This Row],[Author]]="",TRUE,FALSE)</f>
        <v>1</v>
      </c>
      <c r="Q105" s="2" t="b">
        <f>IF(Table1938[[#This Row],[DOI]]&lt;&gt;"", FALSE,TRUE)</f>
        <v>1</v>
      </c>
      <c r="R105" s="2" t="b">
        <f>IF(Table1938[[#This Row],[Abstract]]="",TRUE,FALSE)</f>
        <v>1</v>
      </c>
      <c r="S105" s="2" t="b">
        <f>IF(OR(Table1938[[#This Row],[Document Type]]="book",Table1938[[#This Row],[Document Type]]="bookSection"),TRUE,FALSE)</f>
        <v>0</v>
      </c>
      <c r="T105" s="2" t="b">
        <f>NOT(IF(OR(Table1938[[#This Row],[Language]]&lt;&gt;"en",Table1938[[#This Row],[Language]]&lt;&gt;"EN",Table1938[[#This Row],[Language]]&lt;&gt;"spa",Table1938[[#This Row],[Language]]&lt;&gt;"SPA"),TRUE,FALSE))</f>
        <v>0</v>
      </c>
      <c r="U105" s="2" t="b">
        <f>IF(AND(Table1938[[#This Row],[EC-01]]=FALSE,Table1938[[#This Row],[EC-02]]=FALSE,Table1938[[#This Row],[EC-03]]=FALSE,Table1938[[#This Row],[EC-04]]=FALSE,Table1938[[#This Row],[EC-05]]=FALSE,Table1938[[#This Row],[EC-06]]=FALSE),TRUE,FALSE)</f>
        <v>0</v>
      </c>
      <c r="V105" s="2" t="b">
        <f>IF(Table1938[[#This Row],[Date]]&lt;&gt;"",AND(YEAR(Table1938[[#This Row],[Date]])&gt;=2010, YEAR(Table1938[[#This Row],[Date]])&lt;=2024),FALSE)</f>
        <v>0</v>
      </c>
      <c r="W105" s="2" t="b">
        <f>IF(Table1938[[#This Row],[Date]]&lt;&gt;"",AND(YEAR(Table1938[[#This Row],[Date]])&gt;=2010, YEAR(Table1938[[#This Row],[Date]])&lt;=2020),FALSE)</f>
        <v>0</v>
      </c>
      <c r="X105" s="2" t="b">
        <f>IF(AND(Table1938[[#This Row],[Accesible]]=TRUE,Table1938[[#This Row],[DOI]]&lt;&gt;""),TRUE,FALSE)</f>
        <v>0</v>
      </c>
      <c r="Y105" s="2" t="b">
        <f>OR(Table1938[[#This Row],[Document Type]]="journalArticle",Table1938[[#This Row],[Document Type]]="conferencePaper",Table1938[[#This Row],[Document Type]]="review")</f>
        <v>0</v>
      </c>
      <c r="Z105" s="2" t="b" cm="1">
        <f t="array" ref="Z105">SUMPRODUCT(--ISNUMBER(SEARCH({"dimensional analysis","dimensionless coefficients","Π","Pi","theorem","software","design","tools","development","architecture","similar"}, LOWER(Table1938[[#This Row],[Title]]))))&gt;0</f>
        <v>1</v>
      </c>
      <c r="AA105" s="2" t="b" cm="1">
        <f t="array" ref="AA105">SUMPRODUCT(--ISNUMBER(SEARCH({"dimensional analysis","dimensionless coefficients","Π","Pi","theorem","software","design","tools","development","architecture","similar"}, LOWER(Table1938[[#This Row],[Abstract]]))))&gt;0</f>
        <v>0</v>
      </c>
      <c r="AB105" s="2" t="b">
        <f>AND(OR(Table1938[[#This Row],[IC-01 @2024]:[IC-01 @2020]])=TRUE,Table1938[[#This Row],[IC-02]]=TRUE,Table1938[[#This Row],[IC-03]]=TRUE,Table1938[[#This Row],[IC-04]]=TRUE,Table1938[[#This Row],[IC-05]]=TRUE)</f>
        <v>0</v>
      </c>
      <c r="AC105" s="2" t="b">
        <f>AND(Table1938[[#This Row],[Pass-IC]]=TRUE,Table1938[[#This Row],[Pass-EC]]=TRUE)</f>
        <v>0</v>
      </c>
      <c r="AD105" s="2" t="b">
        <f>COUNTIF($D$25:D105, Table1938[[#This Row],[Title]]) = 1</f>
        <v>1</v>
      </c>
      <c r="AE105" s="2" t="b">
        <f>AND(Table1938[[#This Row],[IC + EC]:[Unique]])</f>
        <v>0</v>
      </c>
      <c r="AF105" s="2" t="b">
        <v>0</v>
      </c>
      <c r="AG105" s="2" t="b">
        <v>0</v>
      </c>
      <c r="AH105" s="2" t="b">
        <v>0</v>
      </c>
      <c r="AI105" s="2" t="b">
        <f>IF(AND(Table1938[[#This Row],[Double Check]]=TRUE,Table1938[[#This Row],[Inspected]]=TRUE,Table1938[[#This Row],[Relevant]]=TRUE),TRUE,FALSE)</f>
        <v>0</v>
      </c>
    </row>
    <row r="106" spans="1:35" ht="57.35" x14ac:dyDescent="0.5">
      <c r="A106" s="2">
        <v>105</v>
      </c>
      <c r="B106" s="20" t="s">
        <v>2</v>
      </c>
      <c r="C106" s="20" t="s">
        <v>2824</v>
      </c>
      <c r="D106" s="20" t="s">
        <v>2825</v>
      </c>
      <c r="E106" s="20" t="s">
        <v>2826</v>
      </c>
      <c r="F106" s="2" t="s">
        <v>2827</v>
      </c>
      <c r="G106" s="20" t="s">
        <v>2828</v>
      </c>
      <c r="H106" s="36">
        <v>44562</v>
      </c>
      <c r="I106" s="20">
        <v>2022</v>
      </c>
      <c r="J106" s="20" t="s">
        <v>62</v>
      </c>
      <c r="K106" s="20" t="s">
        <v>123</v>
      </c>
      <c r="L106" s="20" t="s">
        <v>2515</v>
      </c>
      <c r="M106" s="20" t="s">
        <v>2829</v>
      </c>
      <c r="N106" s="20" t="b">
        <v>0</v>
      </c>
      <c r="O106" s="2" t="b">
        <f>IF(Table1938[[#This Row],[Title]]="",TRUE,FALSE)</f>
        <v>0</v>
      </c>
      <c r="P106" s="2" t="b">
        <f>IF(Table1938[[#This Row],[Author]]="",TRUE,FALSE)</f>
        <v>0</v>
      </c>
      <c r="Q106" s="2" t="b">
        <f>IF(Table1938[[#This Row],[DOI]]&lt;&gt;"", FALSE,TRUE)</f>
        <v>0</v>
      </c>
      <c r="R106" s="2" t="b">
        <f>IF(Table1938[[#This Row],[Abstract]]="",TRUE,FALSE)</f>
        <v>0</v>
      </c>
      <c r="S106" s="2" t="b">
        <f>IF(OR(Table1938[[#This Row],[Document Type]]="book",Table1938[[#This Row],[Document Type]]="bookSection"),TRUE,FALSE)</f>
        <v>0</v>
      </c>
      <c r="T106" s="2" t="b">
        <f>NOT(IF(OR(Table1938[[#This Row],[Language]]&lt;&gt;"en",Table1938[[#This Row],[Language]]&lt;&gt;"EN",Table1938[[#This Row],[Language]]&lt;&gt;"spa",Table1938[[#This Row],[Language]]&lt;&gt;"SPA"),TRUE,FALSE))</f>
        <v>0</v>
      </c>
      <c r="U106" s="2" t="b">
        <f>IF(AND(Table1938[[#This Row],[EC-01]]=FALSE,Table1938[[#This Row],[EC-02]]=FALSE,Table1938[[#This Row],[EC-03]]=FALSE,Table1938[[#This Row],[EC-04]]=FALSE,Table1938[[#This Row],[EC-05]]=FALSE,Table1938[[#This Row],[EC-06]]=FALSE),TRUE,FALSE)</f>
        <v>1</v>
      </c>
      <c r="V106" s="2" t="b">
        <f>IF(Table1938[[#This Row],[Date]]&lt;&gt;"",AND(YEAR(Table1938[[#This Row],[Date]])&gt;=2010, YEAR(Table1938[[#This Row],[Date]])&lt;=2024),FALSE)</f>
        <v>1</v>
      </c>
      <c r="W106" s="2" t="b">
        <f>IF(Table1938[[#This Row],[Date]]&lt;&gt;"",AND(YEAR(Table1938[[#This Row],[Date]])&gt;=2010, YEAR(Table1938[[#This Row],[Date]])&lt;=2020),FALSE)</f>
        <v>0</v>
      </c>
      <c r="X106" s="2" t="b">
        <f>IF(AND(Table1938[[#This Row],[Accesible]]=TRUE,Table1938[[#This Row],[DOI]]&lt;&gt;""),TRUE,FALSE)</f>
        <v>0</v>
      </c>
      <c r="Y106" s="2" t="b">
        <f>OR(Table1938[[#This Row],[Document Type]]="journalArticle",Table1938[[#This Row],[Document Type]]="conferencePaper",Table1938[[#This Row],[Document Type]]="review")</f>
        <v>1</v>
      </c>
      <c r="Z106" s="2" t="b" cm="1">
        <f t="array" ref="Z106">SUMPRODUCT(--ISNUMBER(SEARCH({"dimensional analysis","dimensionless coefficients","Π","Pi","theorem","software","design","tools","development","architecture","similar"}, LOWER(Table1938[[#This Row],[Title]]))))&gt;0</f>
        <v>1</v>
      </c>
      <c r="AA106" s="2" t="b" cm="1">
        <f t="array" ref="AA106">SUMPRODUCT(--ISNUMBER(SEARCH({"dimensional analysis","dimensionless coefficients","Π","Pi","theorem","software","design","tools","development","architecture","similar"}, LOWER(Table1938[[#This Row],[Abstract]]))))&gt;0</f>
        <v>1</v>
      </c>
      <c r="AB106" s="2" t="b">
        <f>AND(OR(Table1938[[#This Row],[IC-01 @2024]:[IC-01 @2020]])=TRUE,Table1938[[#This Row],[IC-02]]=TRUE,Table1938[[#This Row],[IC-03]]=TRUE,Table1938[[#This Row],[IC-04]]=TRUE,Table1938[[#This Row],[IC-05]]=TRUE)</f>
        <v>0</v>
      </c>
      <c r="AC106" s="2" t="b">
        <f>AND(Table1938[[#This Row],[Pass-IC]]=TRUE,Table1938[[#This Row],[Pass-EC]]=TRUE)</f>
        <v>0</v>
      </c>
      <c r="AD106" s="2" t="b">
        <f>COUNTIF($D$25:D106, Table1938[[#This Row],[Title]]) = 1</f>
        <v>1</v>
      </c>
      <c r="AE106" s="2" t="b">
        <f>AND(Table1938[[#This Row],[IC + EC]:[Unique]])</f>
        <v>0</v>
      </c>
      <c r="AF106" s="2" t="b">
        <v>0</v>
      </c>
      <c r="AG106" s="2" t="b">
        <v>0</v>
      </c>
      <c r="AH106" s="2" t="b">
        <v>0</v>
      </c>
      <c r="AI106" s="2" t="b">
        <f>IF(AND(Table1938[[#This Row],[Double Check]]=TRUE,Table1938[[#This Row],[Inspected]]=TRUE,Table1938[[#This Row],[Relevant]]=TRUE),TRUE,FALSE)</f>
        <v>0</v>
      </c>
    </row>
    <row r="107" spans="1:35" ht="43" x14ac:dyDescent="0.5">
      <c r="A107" s="2">
        <v>106</v>
      </c>
      <c r="B107" s="20" t="s">
        <v>2</v>
      </c>
      <c r="C107" s="20" t="s">
        <v>2830</v>
      </c>
      <c r="D107" s="20" t="s">
        <v>2831</v>
      </c>
      <c r="E107" s="20" t="s">
        <v>2832</v>
      </c>
      <c r="F107" s="2" t="s">
        <v>2833</v>
      </c>
      <c r="G107" s="20" t="s">
        <v>2834</v>
      </c>
      <c r="H107" s="36">
        <v>45122</v>
      </c>
      <c r="I107" s="20">
        <v>2023</v>
      </c>
      <c r="J107" s="20" t="s">
        <v>61</v>
      </c>
      <c r="K107" s="20" t="s">
        <v>123</v>
      </c>
      <c r="L107" s="20" t="s">
        <v>2515</v>
      </c>
      <c r="M107" s="20" t="s">
        <v>2835</v>
      </c>
      <c r="N107" s="20" t="b">
        <v>0</v>
      </c>
      <c r="O107" s="2" t="b">
        <f>IF(Table1938[[#This Row],[Title]]="",TRUE,FALSE)</f>
        <v>0</v>
      </c>
      <c r="P107" s="2" t="b">
        <f>IF(Table1938[[#This Row],[Author]]="",TRUE,FALSE)</f>
        <v>0</v>
      </c>
      <c r="Q107" s="2" t="b">
        <f>IF(Table1938[[#This Row],[DOI]]&lt;&gt;"", FALSE,TRUE)</f>
        <v>0</v>
      </c>
      <c r="R107" s="2" t="b">
        <f>IF(Table1938[[#This Row],[Abstract]]="",TRUE,FALSE)</f>
        <v>0</v>
      </c>
      <c r="S107" s="2" t="b">
        <f>IF(OR(Table1938[[#This Row],[Document Type]]="book",Table1938[[#This Row],[Document Type]]="bookSection"),TRUE,FALSE)</f>
        <v>0</v>
      </c>
      <c r="T107" s="2" t="b">
        <f>NOT(IF(OR(Table1938[[#This Row],[Language]]&lt;&gt;"en",Table1938[[#This Row],[Language]]&lt;&gt;"EN",Table1938[[#This Row],[Language]]&lt;&gt;"spa",Table1938[[#This Row],[Language]]&lt;&gt;"SPA"),TRUE,FALSE))</f>
        <v>0</v>
      </c>
      <c r="U107" s="2" t="b">
        <f>IF(AND(Table1938[[#This Row],[EC-01]]=FALSE,Table1938[[#This Row],[EC-02]]=FALSE,Table1938[[#This Row],[EC-03]]=FALSE,Table1938[[#This Row],[EC-04]]=FALSE,Table1938[[#This Row],[EC-05]]=FALSE,Table1938[[#This Row],[EC-06]]=FALSE),TRUE,FALSE)</f>
        <v>1</v>
      </c>
      <c r="V107" s="2" t="b">
        <f>IF(Table1938[[#This Row],[Date]]&lt;&gt;"",AND(YEAR(Table1938[[#This Row],[Date]])&gt;=2010, YEAR(Table1938[[#This Row],[Date]])&lt;=2024),FALSE)</f>
        <v>1</v>
      </c>
      <c r="W107" s="2" t="b">
        <f>IF(Table1938[[#This Row],[Date]]&lt;&gt;"",AND(YEAR(Table1938[[#This Row],[Date]])&gt;=2010, YEAR(Table1938[[#This Row],[Date]])&lt;=2020),FALSE)</f>
        <v>0</v>
      </c>
      <c r="X107" s="2" t="b">
        <f>IF(AND(Table1938[[#This Row],[Accesible]]=TRUE,Table1938[[#This Row],[DOI]]&lt;&gt;""),TRUE,FALSE)</f>
        <v>0</v>
      </c>
      <c r="Y107" s="2" t="b">
        <f>OR(Table1938[[#This Row],[Document Type]]="journalArticle",Table1938[[#This Row],[Document Type]]="conferencePaper",Table1938[[#This Row],[Document Type]]="review")</f>
        <v>1</v>
      </c>
      <c r="Z107" s="2" t="b" cm="1">
        <f t="array" ref="Z107">SUMPRODUCT(--ISNUMBER(SEARCH({"dimensional analysis","dimensionless coefficients","Π","Pi","theorem","software","design","tools","development","architecture","similar"}, LOWER(Table1938[[#This Row],[Title]]))))&gt;0</f>
        <v>1</v>
      </c>
      <c r="AA107" s="2" t="b" cm="1">
        <f t="array" ref="AA107">SUMPRODUCT(--ISNUMBER(SEARCH({"dimensional analysis","dimensionless coefficients","Π","Pi","theorem","software","design","tools","development","architecture","similar"}, LOWER(Table1938[[#This Row],[Abstract]]))))&gt;0</f>
        <v>1</v>
      </c>
      <c r="AB107" s="2" t="b">
        <f>AND(OR(Table1938[[#This Row],[IC-01 @2024]:[IC-01 @2020]])=TRUE,Table1938[[#This Row],[IC-02]]=TRUE,Table1938[[#This Row],[IC-03]]=TRUE,Table1938[[#This Row],[IC-04]]=TRUE,Table1938[[#This Row],[IC-05]]=TRUE)</f>
        <v>0</v>
      </c>
      <c r="AC107" s="2" t="b">
        <f>AND(Table1938[[#This Row],[Pass-IC]]=TRUE,Table1938[[#This Row],[Pass-EC]]=TRUE)</f>
        <v>0</v>
      </c>
      <c r="AD107" s="2" t="b">
        <f>COUNTIF($D$25:D107, Table1938[[#This Row],[Title]]) = 1</f>
        <v>1</v>
      </c>
      <c r="AE107" s="2" t="b">
        <f>AND(Table1938[[#This Row],[IC + EC]:[Unique]])</f>
        <v>0</v>
      </c>
      <c r="AF107" s="2" t="b">
        <v>0</v>
      </c>
      <c r="AG107" s="2" t="b">
        <v>0</v>
      </c>
      <c r="AH107" s="2" t="b">
        <v>0</v>
      </c>
      <c r="AI107" s="2" t="b">
        <f>IF(AND(Table1938[[#This Row],[Double Check]]=TRUE,Table1938[[#This Row],[Inspected]]=TRUE,Table1938[[#This Row],[Relevant]]=TRUE),TRUE,FALSE)</f>
        <v>0</v>
      </c>
    </row>
    <row r="108" spans="1:35" ht="71.7" x14ac:dyDescent="0.5">
      <c r="A108" s="2">
        <v>107</v>
      </c>
      <c r="B108" s="20" t="s">
        <v>2</v>
      </c>
      <c r="C108" s="20" t="s">
        <v>2836</v>
      </c>
      <c r="D108" s="20" t="s">
        <v>2837</v>
      </c>
      <c r="E108" s="20" t="s">
        <v>123</v>
      </c>
      <c r="F108" s="2" t="s">
        <v>123</v>
      </c>
      <c r="G108" s="20" t="s">
        <v>2535</v>
      </c>
      <c r="H108" s="36" t="s">
        <v>123</v>
      </c>
      <c r="I108" s="20" t="s">
        <v>123</v>
      </c>
      <c r="J108" s="20" t="s">
        <v>2520</v>
      </c>
      <c r="K108" s="20" t="s">
        <v>123</v>
      </c>
      <c r="L108" s="20" t="s">
        <v>642</v>
      </c>
      <c r="M108" s="20" t="s">
        <v>123</v>
      </c>
      <c r="N108" s="20" t="b">
        <v>1</v>
      </c>
      <c r="O108" s="2" t="b">
        <f>IF(Table1938[[#This Row],[Title]]="",TRUE,FALSE)</f>
        <v>0</v>
      </c>
      <c r="P108" s="2" t="b">
        <f>IF(Table1938[[#This Row],[Author]]="",TRUE,FALSE)</f>
        <v>1</v>
      </c>
      <c r="Q108" s="2" t="b">
        <f>IF(Table1938[[#This Row],[DOI]]&lt;&gt;"", FALSE,TRUE)</f>
        <v>1</v>
      </c>
      <c r="R108" s="2" t="b">
        <f>IF(Table1938[[#This Row],[Abstract]]="",TRUE,FALSE)</f>
        <v>1</v>
      </c>
      <c r="S108" s="2" t="b">
        <f>IF(OR(Table1938[[#This Row],[Document Type]]="book",Table1938[[#This Row],[Document Type]]="bookSection"),TRUE,FALSE)</f>
        <v>0</v>
      </c>
      <c r="T108" s="2" t="b">
        <f>NOT(IF(OR(Table1938[[#This Row],[Language]]&lt;&gt;"en",Table1938[[#This Row],[Language]]&lt;&gt;"EN",Table1938[[#This Row],[Language]]&lt;&gt;"spa",Table1938[[#This Row],[Language]]&lt;&gt;"SPA"),TRUE,FALSE))</f>
        <v>0</v>
      </c>
      <c r="U108" s="2" t="b">
        <f>IF(AND(Table1938[[#This Row],[EC-01]]=FALSE,Table1938[[#This Row],[EC-02]]=FALSE,Table1938[[#This Row],[EC-03]]=FALSE,Table1938[[#This Row],[EC-04]]=FALSE,Table1938[[#This Row],[EC-05]]=FALSE,Table1938[[#This Row],[EC-06]]=FALSE),TRUE,FALSE)</f>
        <v>0</v>
      </c>
      <c r="V108" s="2" t="b">
        <f>IF(Table1938[[#This Row],[Date]]&lt;&gt;"",AND(YEAR(Table1938[[#This Row],[Date]])&gt;=2010, YEAR(Table1938[[#This Row],[Date]])&lt;=2024),FALSE)</f>
        <v>0</v>
      </c>
      <c r="W108" s="2" t="b">
        <f>IF(Table1938[[#This Row],[Date]]&lt;&gt;"",AND(YEAR(Table1938[[#This Row],[Date]])&gt;=2010, YEAR(Table1938[[#This Row],[Date]])&lt;=2020),FALSE)</f>
        <v>0</v>
      </c>
      <c r="X108" s="2" t="b">
        <f>IF(AND(Table1938[[#This Row],[Accesible]]=TRUE,Table1938[[#This Row],[DOI]]&lt;&gt;""),TRUE,FALSE)</f>
        <v>0</v>
      </c>
      <c r="Y108" s="2" t="b">
        <f>OR(Table1938[[#This Row],[Document Type]]="journalArticle",Table1938[[#This Row],[Document Type]]="conferencePaper",Table1938[[#This Row],[Document Type]]="review")</f>
        <v>0</v>
      </c>
      <c r="Z108" s="2" t="b" cm="1">
        <f t="array" ref="Z108">SUMPRODUCT(--ISNUMBER(SEARCH({"dimensional analysis","dimensionless coefficients","Π","Pi","theorem","software","design","tools","development","architecture","similar"}, LOWER(Table1938[[#This Row],[Title]]))))&gt;0</f>
        <v>0</v>
      </c>
      <c r="AA108" s="2" t="b" cm="1">
        <f t="array" ref="AA108">SUMPRODUCT(--ISNUMBER(SEARCH({"dimensional analysis","dimensionless coefficients","Π","Pi","theorem","software","design","tools","development","architecture","similar"}, LOWER(Table1938[[#This Row],[Abstract]]))))&gt;0</f>
        <v>0</v>
      </c>
      <c r="AB108" s="2" t="b">
        <f>AND(OR(Table1938[[#This Row],[IC-01 @2024]:[IC-01 @2020]])=TRUE,Table1938[[#This Row],[IC-02]]=TRUE,Table1938[[#This Row],[IC-03]]=TRUE,Table1938[[#This Row],[IC-04]]=TRUE,Table1938[[#This Row],[IC-05]]=TRUE)</f>
        <v>0</v>
      </c>
      <c r="AC108" s="2" t="b">
        <f>AND(Table1938[[#This Row],[Pass-IC]]=TRUE,Table1938[[#This Row],[Pass-EC]]=TRUE)</f>
        <v>0</v>
      </c>
      <c r="AD108" s="2" t="b">
        <f>COUNTIF($D$25:D108, Table1938[[#This Row],[Title]]) = 1</f>
        <v>1</v>
      </c>
      <c r="AE108" s="2" t="b">
        <f>AND(Table1938[[#This Row],[IC + EC]:[Unique]])</f>
        <v>0</v>
      </c>
      <c r="AF108" s="2" t="b">
        <v>0</v>
      </c>
      <c r="AG108" s="2" t="b">
        <v>0</v>
      </c>
      <c r="AH108" s="2" t="b">
        <v>0</v>
      </c>
      <c r="AI108" s="2" t="b">
        <f>IF(AND(Table1938[[#This Row],[Double Check]]=TRUE,Table1938[[#This Row],[Inspected]]=TRUE,Table1938[[#This Row],[Relevant]]=TRUE),TRUE,FALSE)</f>
        <v>0</v>
      </c>
    </row>
    <row r="109" spans="1:35" ht="43" x14ac:dyDescent="0.5">
      <c r="A109" s="2">
        <v>108</v>
      </c>
      <c r="B109" s="20" t="s">
        <v>2</v>
      </c>
      <c r="C109" s="20" t="s">
        <v>2838</v>
      </c>
      <c r="D109" s="20" t="s">
        <v>2839</v>
      </c>
      <c r="E109" s="20" t="s">
        <v>2840</v>
      </c>
      <c r="F109" s="2" t="s">
        <v>2841</v>
      </c>
      <c r="G109" s="20" t="s">
        <v>2842</v>
      </c>
      <c r="H109" s="36">
        <v>44958</v>
      </c>
      <c r="I109" s="20">
        <v>2023</v>
      </c>
      <c r="J109" s="20" t="s">
        <v>61</v>
      </c>
      <c r="K109" s="20" t="s">
        <v>2843</v>
      </c>
      <c r="L109" s="20" t="s">
        <v>2515</v>
      </c>
      <c r="M109" s="20" t="s">
        <v>2844</v>
      </c>
      <c r="N109" s="20" t="b">
        <v>0</v>
      </c>
      <c r="O109" s="2" t="b">
        <f>IF(Table1938[[#This Row],[Title]]="",TRUE,FALSE)</f>
        <v>0</v>
      </c>
      <c r="P109" s="2" t="b">
        <f>IF(Table1938[[#This Row],[Author]]="",TRUE,FALSE)</f>
        <v>0</v>
      </c>
      <c r="Q109" s="2" t="b">
        <f>IF(Table1938[[#This Row],[DOI]]&lt;&gt;"", FALSE,TRUE)</f>
        <v>0</v>
      </c>
      <c r="R109" s="2" t="b">
        <f>IF(Table1938[[#This Row],[Abstract]]="",TRUE,FALSE)</f>
        <v>0</v>
      </c>
      <c r="S109" s="2" t="b">
        <f>IF(OR(Table1938[[#This Row],[Document Type]]="book",Table1938[[#This Row],[Document Type]]="bookSection"),TRUE,FALSE)</f>
        <v>0</v>
      </c>
      <c r="T109" s="2" t="b">
        <f>NOT(IF(OR(Table1938[[#This Row],[Language]]&lt;&gt;"en",Table1938[[#This Row],[Language]]&lt;&gt;"EN",Table1938[[#This Row],[Language]]&lt;&gt;"spa",Table1938[[#This Row],[Language]]&lt;&gt;"SPA"),TRUE,FALSE))</f>
        <v>0</v>
      </c>
      <c r="U109" s="2" t="b">
        <f>IF(AND(Table1938[[#This Row],[EC-01]]=FALSE,Table1938[[#This Row],[EC-02]]=FALSE,Table1938[[#This Row],[EC-03]]=FALSE,Table1938[[#This Row],[EC-04]]=FALSE,Table1938[[#This Row],[EC-05]]=FALSE,Table1938[[#This Row],[EC-06]]=FALSE),TRUE,FALSE)</f>
        <v>1</v>
      </c>
      <c r="V109" s="2" t="b">
        <f>IF(Table1938[[#This Row],[Date]]&lt;&gt;"",AND(YEAR(Table1938[[#This Row],[Date]])&gt;=2010, YEAR(Table1938[[#This Row],[Date]])&lt;=2024),FALSE)</f>
        <v>1</v>
      </c>
      <c r="W109" s="2" t="b">
        <f>IF(Table1938[[#This Row],[Date]]&lt;&gt;"",AND(YEAR(Table1938[[#This Row],[Date]])&gt;=2010, YEAR(Table1938[[#This Row],[Date]])&lt;=2020),FALSE)</f>
        <v>0</v>
      </c>
      <c r="X109" s="2" t="b">
        <f>IF(AND(Table1938[[#This Row],[Accesible]]=TRUE,Table1938[[#This Row],[DOI]]&lt;&gt;""),TRUE,FALSE)</f>
        <v>0</v>
      </c>
      <c r="Y109" s="2" t="b">
        <f>OR(Table1938[[#This Row],[Document Type]]="journalArticle",Table1938[[#This Row],[Document Type]]="conferencePaper",Table1938[[#This Row],[Document Type]]="review")</f>
        <v>1</v>
      </c>
      <c r="Z109" s="2" t="b" cm="1">
        <f t="array" ref="Z109">SUMPRODUCT(--ISNUMBER(SEARCH({"dimensional analysis","dimensionless coefficients","Π","Pi","theorem","software","design","tools","development","architecture","similar"}, LOWER(Table1938[[#This Row],[Title]]))))&gt;0</f>
        <v>1</v>
      </c>
      <c r="AA109" s="2" t="b" cm="1">
        <f t="array" ref="AA109">SUMPRODUCT(--ISNUMBER(SEARCH({"dimensional analysis","dimensionless coefficients","Π","Pi","theorem","software","design","tools","development","architecture","similar"}, LOWER(Table1938[[#This Row],[Abstract]]))))&gt;0</f>
        <v>1</v>
      </c>
      <c r="AB109" s="2" t="b">
        <f>AND(OR(Table1938[[#This Row],[IC-01 @2024]:[IC-01 @2020]])=TRUE,Table1938[[#This Row],[IC-02]]=TRUE,Table1938[[#This Row],[IC-03]]=TRUE,Table1938[[#This Row],[IC-04]]=TRUE,Table1938[[#This Row],[IC-05]]=TRUE)</f>
        <v>0</v>
      </c>
      <c r="AC109" s="2" t="b">
        <f>AND(Table1938[[#This Row],[Pass-IC]]=TRUE,Table1938[[#This Row],[Pass-EC]]=TRUE)</f>
        <v>0</v>
      </c>
      <c r="AD109" s="2" t="b">
        <f>COUNTIF($D$25:D109, Table1938[[#This Row],[Title]]) = 1</f>
        <v>1</v>
      </c>
      <c r="AE109" s="2" t="b">
        <f>AND(Table1938[[#This Row],[IC + EC]:[Unique]])</f>
        <v>0</v>
      </c>
      <c r="AF109" s="2" t="b">
        <v>0</v>
      </c>
      <c r="AG109" s="2" t="b">
        <v>0</v>
      </c>
      <c r="AH109" s="2" t="b">
        <v>0</v>
      </c>
      <c r="AI109" s="2" t="b">
        <f>IF(AND(Table1938[[#This Row],[Double Check]]=TRUE,Table1938[[#This Row],[Inspected]]=TRUE,Table1938[[#This Row],[Relevant]]=TRUE),TRUE,FALSE)</f>
        <v>0</v>
      </c>
    </row>
    <row r="110" spans="1:35" ht="57.35" x14ac:dyDescent="0.5">
      <c r="A110" s="2">
        <v>109</v>
      </c>
      <c r="B110" s="20" t="s">
        <v>2</v>
      </c>
      <c r="C110" s="20" t="s">
        <v>2845</v>
      </c>
      <c r="D110" s="20" t="s">
        <v>2808</v>
      </c>
      <c r="E110" s="20" t="s">
        <v>123</v>
      </c>
      <c r="F110" s="2" t="s">
        <v>123</v>
      </c>
      <c r="G110" s="20" t="s">
        <v>2535</v>
      </c>
      <c r="H110" s="36" t="s">
        <v>123</v>
      </c>
      <c r="I110" s="20" t="s">
        <v>123</v>
      </c>
      <c r="J110" s="20" t="s">
        <v>2520</v>
      </c>
      <c r="K110" s="20" t="s">
        <v>123</v>
      </c>
      <c r="L110" s="20" t="s">
        <v>642</v>
      </c>
      <c r="M110" s="20" t="s">
        <v>123</v>
      </c>
      <c r="N110" s="20" t="b">
        <v>1</v>
      </c>
      <c r="O110" s="2" t="b">
        <f>IF(Table1938[[#This Row],[Title]]="",TRUE,FALSE)</f>
        <v>0</v>
      </c>
      <c r="P110" s="2" t="b">
        <f>IF(Table1938[[#This Row],[Author]]="",TRUE,FALSE)</f>
        <v>1</v>
      </c>
      <c r="Q110" s="2" t="b">
        <f>IF(Table1938[[#This Row],[DOI]]&lt;&gt;"", FALSE,TRUE)</f>
        <v>1</v>
      </c>
      <c r="R110" s="2" t="b">
        <f>IF(Table1938[[#This Row],[Abstract]]="",TRUE,FALSE)</f>
        <v>1</v>
      </c>
      <c r="S110" s="2" t="b">
        <f>IF(OR(Table1938[[#This Row],[Document Type]]="book",Table1938[[#This Row],[Document Type]]="bookSection"),TRUE,FALSE)</f>
        <v>0</v>
      </c>
      <c r="T110" s="2" t="b">
        <f>NOT(IF(OR(Table1938[[#This Row],[Language]]&lt;&gt;"en",Table1938[[#This Row],[Language]]&lt;&gt;"EN",Table1938[[#This Row],[Language]]&lt;&gt;"spa",Table1938[[#This Row],[Language]]&lt;&gt;"SPA"),TRUE,FALSE))</f>
        <v>0</v>
      </c>
      <c r="U110" s="2" t="b">
        <f>IF(AND(Table1938[[#This Row],[EC-01]]=FALSE,Table1938[[#This Row],[EC-02]]=FALSE,Table1938[[#This Row],[EC-03]]=FALSE,Table1938[[#This Row],[EC-04]]=FALSE,Table1938[[#This Row],[EC-05]]=FALSE,Table1938[[#This Row],[EC-06]]=FALSE),TRUE,FALSE)</f>
        <v>0</v>
      </c>
      <c r="V110" s="2" t="b">
        <f>IF(Table1938[[#This Row],[Date]]&lt;&gt;"",AND(YEAR(Table1938[[#This Row],[Date]])&gt;=2010, YEAR(Table1938[[#This Row],[Date]])&lt;=2024),FALSE)</f>
        <v>0</v>
      </c>
      <c r="W110" s="2" t="b">
        <f>IF(Table1938[[#This Row],[Date]]&lt;&gt;"",AND(YEAR(Table1938[[#This Row],[Date]])&gt;=2010, YEAR(Table1938[[#This Row],[Date]])&lt;=2020),FALSE)</f>
        <v>0</v>
      </c>
      <c r="X110" s="2" t="b">
        <f>IF(AND(Table1938[[#This Row],[Accesible]]=TRUE,Table1938[[#This Row],[DOI]]&lt;&gt;""),TRUE,FALSE)</f>
        <v>0</v>
      </c>
      <c r="Y110" s="2" t="b">
        <f>OR(Table1938[[#This Row],[Document Type]]="journalArticle",Table1938[[#This Row],[Document Type]]="conferencePaper",Table1938[[#This Row],[Document Type]]="review")</f>
        <v>0</v>
      </c>
      <c r="Z110" s="2" t="b" cm="1">
        <f t="array" ref="Z110">SUMPRODUCT(--ISNUMBER(SEARCH({"dimensional analysis","dimensionless coefficients","Π","Pi","theorem","software","design","tools","development","architecture","similar"}, LOWER(Table1938[[#This Row],[Title]]))))&gt;0</f>
        <v>0</v>
      </c>
      <c r="AA110" s="2" t="b" cm="1">
        <f t="array" ref="AA110">SUMPRODUCT(--ISNUMBER(SEARCH({"dimensional analysis","dimensionless coefficients","Π","Pi","theorem","software","design","tools","development","architecture","similar"}, LOWER(Table1938[[#This Row],[Abstract]]))))&gt;0</f>
        <v>0</v>
      </c>
      <c r="AB110" s="2" t="b">
        <f>AND(OR(Table1938[[#This Row],[IC-01 @2024]:[IC-01 @2020]])=TRUE,Table1938[[#This Row],[IC-02]]=TRUE,Table1938[[#This Row],[IC-03]]=TRUE,Table1938[[#This Row],[IC-04]]=TRUE,Table1938[[#This Row],[IC-05]]=TRUE)</f>
        <v>0</v>
      </c>
      <c r="AC110" s="2" t="b">
        <f>AND(Table1938[[#This Row],[Pass-IC]]=TRUE,Table1938[[#This Row],[Pass-EC]]=TRUE)</f>
        <v>0</v>
      </c>
      <c r="AD110" s="2" t="b">
        <f>COUNTIF($D$25:D110, Table1938[[#This Row],[Title]]) = 1</f>
        <v>1</v>
      </c>
      <c r="AE110" s="2" t="b">
        <f>AND(Table1938[[#This Row],[IC + EC]:[Unique]])</f>
        <v>0</v>
      </c>
      <c r="AF110" s="2" t="b">
        <v>0</v>
      </c>
      <c r="AG110" s="2" t="b">
        <v>0</v>
      </c>
      <c r="AH110" s="2" t="b">
        <v>0</v>
      </c>
      <c r="AI110" s="2" t="b">
        <f>IF(AND(Table1938[[#This Row],[Double Check]]=TRUE,Table1938[[#This Row],[Inspected]]=TRUE,Table1938[[#This Row],[Relevant]]=TRUE),TRUE,FALSE)</f>
        <v>0</v>
      </c>
    </row>
    <row r="111" spans="1:35" ht="43" x14ac:dyDescent="0.5">
      <c r="A111" s="2">
        <v>110</v>
      </c>
      <c r="B111" s="20" t="s">
        <v>2</v>
      </c>
      <c r="C111" s="20" t="s">
        <v>2846</v>
      </c>
      <c r="D111" s="20" t="s">
        <v>2847</v>
      </c>
      <c r="E111" s="20" t="s">
        <v>2848</v>
      </c>
      <c r="F111" s="2" t="s">
        <v>2849</v>
      </c>
      <c r="G111" s="20" t="s">
        <v>2551</v>
      </c>
      <c r="H111" s="36">
        <v>45457</v>
      </c>
      <c r="I111" s="20">
        <v>2024</v>
      </c>
      <c r="J111" s="20" t="s">
        <v>62</v>
      </c>
      <c r="K111" s="20" t="s">
        <v>123</v>
      </c>
      <c r="L111" s="20" t="s">
        <v>2515</v>
      </c>
      <c r="M111" s="20" t="s">
        <v>2850</v>
      </c>
      <c r="N111" s="20" t="b">
        <v>1</v>
      </c>
      <c r="O111" s="2" t="b">
        <f>IF(Table1938[[#This Row],[Title]]="",TRUE,FALSE)</f>
        <v>0</v>
      </c>
      <c r="P111" s="2" t="b">
        <f>IF(Table1938[[#This Row],[Author]]="",TRUE,FALSE)</f>
        <v>0</v>
      </c>
      <c r="Q111" s="2" t="b">
        <f>IF(Table1938[[#This Row],[DOI]]&lt;&gt;"", FALSE,TRUE)</f>
        <v>0</v>
      </c>
      <c r="R111" s="2" t="b">
        <f>IF(Table1938[[#This Row],[Abstract]]="",TRUE,FALSE)</f>
        <v>0</v>
      </c>
      <c r="S111" s="2" t="b">
        <f>IF(OR(Table1938[[#This Row],[Document Type]]="book",Table1938[[#This Row],[Document Type]]="bookSection"),TRUE,FALSE)</f>
        <v>0</v>
      </c>
      <c r="T111" s="2" t="b">
        <f>NOT(IF(OR(Table1938[[#This Row],[Language]]&lt;&gt;"en",Table1938[[#This Row],[Language]]&lt;&gt;"EN",Table1938[[#This Row],[Language]]&lt;&gt;"spa",Table1938[[#This Row],[Language]]&lt;&gt;"SPA"),TRUE,FALSE))</f>
        <v>0</v>
      </c>
      <c r="U111" s="2" t="b">
        <f>IF(AND(Table1938[[#This Row],[EC-01]]=FALSE,Table1938[[#This Row],[EC-02]]=FALSE,Table1938[[#This Row],[EC-03]]=FALSE,Table1938[[#This Row],[EC-04]]=FALSE,Table1938[[#This Row],[EC-05]]=FALSE,Table1938[[#This Row],[EC-06]]=FALSE),TRUE,FALSE)</f>
        <v>1</v>
      </c>
      <c r="V111" s="2" t="b">
        <f>IF(Table1938[[#This Row],[Date]]&lt;&gt;"",AND(YEAR(Table1938[[#This Row],[Date]])&gt;=2010, YEAR(Table1938[[#This Row],[Date]])&lt;=2024),FALSE)</f>
        <v>1</v>
      </c>
      <c r="W111" s="2" t="b">
        <f>IF(Table1938[[#This Row],[Date]]&lt;&gt;"",AND(YEAR(Table1938[[#This Row],[Date]])&gt;=2010, YEAR(Table1938[[#This Row],[Date]])&lt;=2020),FALSE)</f>
        <v>0</v>
      </c>
      <c r="X111" s="2" t="b">
        <f>IF(AND(Table1938[[#This Row],[Accesible]]=TRUE,Table1938[[#This Row],[DOI]]&lt;&gt;""),TRUE,FALSE)</f>
        <v>1</v>
      </c>
      <c r="Y111" s="2" t="b">
        <f>OR(Table1938[[#This Row],[Document Type]]="journalArticle",Table1938[[#This Row],[Document Type]]="conferencePaper",Table1938[[#This Row],[Document Type]]="review")</f>
        <v>1</v>
      </c>
      <c r="Z111" s="2" t="b" cm="1">
        <f t="array" ref="Z111">SUMPRODUCT(--ISNUMBER(SEARCH({"dimensional analysis","dimensionless coefficients","Π","Pi","theorem","software","design","tools","development","architecture","similar"}, LOWER(Table1938[[#This Row],[Title]]))))&gt;0</f>
        <v>0</v>
      </c>
      <c r="AA111" s="2" t="b" cm="1">
        <f t="array" ref="AA111">SUMPRODUCT(--ISNUMBER(SEARCH({"dimensional analysis","dimensionless coefficients","Π","Pi","theorem","software","design","tools","development","architecture","similar"}, LOWER(Table1938[[#This Row],[Abstract]]))))&gt;0</f>
        <v>1</v>
      </c>
      <c r="AB111" s="2" t="b">
        <f>AND(OR(Table1938[[#This Row],[IC-01 @2024]:[IC-01 @2020]])=TRUE,Table1938[[#This Row],[IC-02]]=TRUE,Table1938[[#This Row],[IC-03]]=TRUE,Table1938[[#This Row],[IC-04]]=TRUE,Table1938[[#This Row],[IC-05]]=TRUE)</f>
        <v>0</v>
      </c>
      <c r="AC111" s="2" t="b">
        <f>AND(Table1938[[#This Row],[Pass-IC]]=TRUE,Table1938[[#This Row],[Pass-EC]]=TRUE)</f>
        <v>0</v>
      </c>
      <c r="AD111" s="2" t="b">
        <f>COUNTIF($D$25:D111, Table1938[[#This Row],[Title]]) = 1</f>
        <v>1</v>
      </c>
      <c r="AE111" s="2" t="b">
        <f>AND(Table1938[[#This Row],[IC + EC]:[Unique]])</f>
        <v>0</v>
      </c>
      <c r="AF111" s="2" t="b">
        <v>0</v>
      </c>
      <c r="AG111" s="2" t="b">
        <v>0</v>
      </c>
      <c r="AH111" s="2" t="b">
        <v>0</v>
      </c>
      <c r="AI111" s="2" t="b">
        <f>IF(AND(Table1938[[#This Row],[Double Check]]=TRUE,Table1938[[#This Row],[Inspected]]=TRUE,Table1938[[#This Row],[Relevant]]=TRUE),TRUE,FALSE)</f>
        <v>0</v>
      </c>
    </row>
    <row r="112" spans="1:35" ht="43" x14ac:dyDescent="0.5">
      <c r="A112" s="2">
        <v>111</v>
      </c>
      <c r="B112" s="20" t="s">
        <v>2</v>
      </c>
      <c r="C112" s="20" t="s">
        <v>2851</v>
      </c>
      <c r="D112" s="20" t="s">
        <v>2852</v>
      </c>
      <c r="E112" s="20" t="s">
        <v>2853</v>
      </c>
      <c r="F112" s="2" t="s">
        <v>2854</v>
      </c>
      <c r="G112" s="20" t="s">
        <v>2855</v>
      </c>
      <c r="H112" s="36">
        <v>44562</v>
      </c>
      <c r="I112" s="20">
        <v>2022</v>
      </c>
      <c r="J112" s="20" t="s">
        <v>61</v>
      </c>
      <c r="K112" s="20" t="s">
        <v>123</v>
      </c>
      <c r="L112" s="20" t="s">
        <v>2515</v>
      </c>
      <c r="M112" s="20" t="s">
        <v>2856</v>
      </c>
      <c r="N112" s="20" t="b">
        <v>1</v>
      </c>
      <c r="O112" s="2" t="b">
        <f>IF(Table1938[[#This Row],[Title]]="",TRUE,FALSE)</f>
        <v>0</v>
      </c>
      <c r="P112" s="2" t="b">
        <f>IF(Table1938[[#This Row],[Author]]="",TRUE,FALSE)</f>
        <v>0</v>
      </c>
      <c r="Q112" s="2" t="b">
        <f>IF(Table1938[[#This Row],[DOI]]&lt;&gt;"", FALSE,TRUE)</f>
        <v>0</v>
      </c>
      <c r="R112" s="2" t="b">
        <f>IF(Table1938[[#This Row],[Abstract]]="",TRUE,FALSE)</f>
        <v>0</v>
      </c>
      <c r="S112" s="2" t="b">
        <f>IF(OR(Table1938[[#This Row],[Document Type]]="book",Table1938[[#This Row],[Document Type]]="bookSection"),TRUE,FALSE)</f>
        <v>0</v>
      </c>
      <c r="T112" s="2" t="b">
        <f>NOT(IF(OR(Table1938[[#This Row],[Language]]&lt;&gt;"en",Table1938[[#This Row],[Language]]&lt;&gt;"EN",Table1938[[#This Row],[Language]]&lt;&gt;"spa",Table1938[[#This Row],[Language]]&lt;&gt;"SPA"),TRUE,FALSE))</f>
        <v>0</v>
      </c>
      <c r="U112" s="2" t="b">
        <f>IF(AND(Table1938[[#This Row],[EC-01]]=FALSE,Table1938[[#This Row],[EC-02]]=FALSE,Table1938[[#This Row],[EC-03]]=FALSE,Table1938[[#This Row],[EC-04]]=FALSE,Table1938[[#This Row],[EC-05]]=FALSE,Table1938[[#This Row],[EC-06]]=FALSE),TRUE,FALSE)</f>
        <v>1</v>
      </c>
      <c r="V112" s="2" t="b">
        <f>IF(Table1938[[#This Row],[Date]]&lt;&gt;"",AND(YEAR(Table1938[[#This Row],[Date]])&gt;=2010, YEAR(Table1938[[#This Row],[Date]])&lt;=2024),FALSE)</f>
        <v>1</v>
      </c>
      <c r="W112" s="2" t="b">
        <f>IF(Table1938[[#This Row],[Date]]&lt;&gt;"",AND(YEAR(Table1938[[#This Row],[Date]])&gt;=2010, YEAR(Table1938[[#This Row],[Date]])&lt;=2020),FALSE)</f>
        <v>0</v>
      </c>
      <c r="X112" s="2" t="b">
        <f>IF(AND(Table1938[[#This Row],[Accesible]]=TRUE,Table1938[[#This Row],[DOI]]&lt;&gt;""),TRUE,FALSE)</f>
        <v>1</v>
      </c>
      <c r="Y112" s="2" t="b">
        <f>OR(Table1938[[#This Row],[Document Type]]="journalArticle",Table1938[[#This Row],[Document Type]]="conferencePaper",Table1938[[#This Row],[Document Type]]="review")</f>
        <v>1</v>
      </c>
      <c r="Z112" s="2" t="b" cm="1">
        <f t="array" ref="Z112">SUMPRODUCT(--ISNUMBER(SEARCH({"dimensional analysis","dimensionless coefficients","Π","Pi","theorem","software","design","tools","development","architecture","similar"}, LOWER(Table1938[[#This Row],[Title]]))))&gt;0</f>
        <v>0</v>
      </c>
      <c r="AA112" s="2" t="b" cm="1">
        <f t="array" ref="AA112">SUMPRODUCT(--ISNUMBER(SEARCH({"dimensional analysis","dimensionless coefficients","Π","Pi","theorem","software","design","tools","development","architecture","similar"}, LOWER(Table1938[[#This Row],[Abstract]]))))&gt;0</f>
        <v>1</v>
      </c>
      <c r="AB112" s="2" t="b">
        <f>AND(OR(Table1938[[#This Row],[IC-01 @2024]:[IC-01 @2020]])=TRUE,Table1938[[#This Row],[IC-02]]=TRUE,Table1938[[#This Row],[IC-03]]=TRUE,Table1938[[#This Row],[IC-04]]=TRUE,Table1938[[#This Row],[IC-05]]=TRUE)</f>
        <v>0</v>
      </c>
      <c r="AC112" s="2" t="b">
        <f>AND(Table1938[[#This Row],[Pass-IC]]=TRUE,Table1938[[#This Row],[Pass-EC]]=TRUE)</f>
        <v>0</v>
      </c>
      <c r="AD112" s="2" t="b">
        <f>COUNTIF($D$25:D112, Table1938[[#This Row],[Title]]) = 1</f>
        <v>1</v>
      </c>
      <c r="AE112" s="2" t="b">
        <f>AND(Table1938[[#This Row],[IC + EC]:[Unique]])</f>
        <v>0</v>
      </c>
      <c r="AF112" s="2" t="b">
        <v>0</v>
      </c>
      <c r="AG112" s="2" t="b">
        <v>0</v>
      </c>
      <c r="AH112" s="2" t="b">
        <v>0</v>
      </c>
      <c r="AI112" s="2" t="b">
        <f>IF(AND(Table1938[[#This Row],[Double Check]]=TRUE,Table1938[[#This Row],[Inspected]]=TRUE,Table1938[[#This Row],[Relevant]]=TRUE),TRUE,FALSE)</f>
        <v>0</v>
      </c>
    </row>
    <row r="113" spans="1:35" ht="43" x14ac:dyDescent="0.5">
      <c r="A113" s="2">
        <v>112</v>
      </c>
      <c r="B113" s="20" t="s">
        <v>2</v>
      </c>
      <c r="C113" s="20" t="s">
        <v>2857</v>
      </c>
      <c r="D113" s="20" t="s">
        <v>2858</v>
      </c>
      <c r="E113" s="20" t="s">
        <v>2859</v>
      </c>
      <c r="F113" s="2" t="s">
        <v>123</v>
      </c>
      <c r="G113" s="20" t="s">
        <v>2860</v>
      </c>
      <c r="H113" s="36">
        <v>45413</v>
      </c>
      <c r="I113" s="20">
        <v>2024</v>
      </c>
      <c r="J113" s="20" t="s">
        <v>61</v>
      </c>
      <c r="K113" s="20" t="s">
        <v>2861</v>
      </c>
      <c r="L113" s="20" t="s">
        <v>2515</v>
      </c>
      <c r="M113" s="20" t="s">
        <v>2862</v>
      </c>
      <c r="N113" s="20" t="b">
        <v>0</v>
      </c>
      <c r="O113" s="2" t="b">
        <f>IF(Table1938[[#This Row],[Title]]="",TRUE,FALSE)</f>
        <v>0</v>
      </c>
      <c r="P113" s="2" t="b">
        <f>IF(Table1938[[#This Row],[Author]]="",TRUE,FALSE)</f>
        <v>0</v>
      </c>
      <c r="Q113" s="2" t="b">
        <f>IF(Table1938[[#This Row],[DOI]]&lt;&gt;"", FALSE,TRUE)</f>
        <v>0</v>
      </c>
      <c r="R113" s="2" t="b">
        <f>IF(Table1938[[#This Row],[Abstract]]="",TRUE,FALSE)</f>
        <v>1</v>
      </c>
      <c r="S113" s="2" t="b">
        <f>IF(OR(Table1938[[#This Row],[Document Type]]="book",Table1938[[#This Row],[Document Type]]="bookSection"),TRUE,FALSE)</f>
        <v>0</v>
      </c>
      <c r="T113" s="2" t="b">
        <f>NOT(IF(OR(Table1938[[#This Row],[Language]]&lt;&gt;"en",Table1938[[#This Row],[Language]]&lt;&gt;"EN",Table1938[[#This Row],[Language]]&lt;&gt;"spa",Table1938[[#This Row],[Language]]&lt;&gt;"SPA"),TRUE,FALSE))</f>
        <v>0</v>
      </c>
      <c r="U113" s="2" t="b">
        <f>IF(AND(Table1938[[#This Row],[EC-01]]=FALSE,Table1938[[#This Row],[EC-02]]=FALSE,Table1938[[#This Row],[EC-03]]=FALSE,Table1938[[#This Row],[EC-04]]=FALSE,Table1938[[#This Row],[EC-05]]=FALSE,Table1938[[#This Row],[EC-06]]=FALSE),TRUE,FALSE)</f>
        <v>0</v>
      </c>
      <c r="V113" s="2" t="b">
        <f>IF(Table1938[[#This Row],[Date]]&lt;&gt;"",AND(YEAR(Table1938[[#This Row],[Date]])&gt;=2010, YEAR(Table1938[[#This Row],[Date]])&lt;=2024),FALSE)</f>
        <v>1</v>
      </c>
      <c r="W113" s="2" t="b">
        <f>IF(Table1938[[#This Row],[Date]]&lt;&gt;"",AND(YEAR(Table1938[[#This Row],[Date]])&gt;=2010, YEAR(Table1938[[#This Row],[Date]])&lt;=2020),FALSE)</f>
        <v>0</v>
      </c>
      <c r="X113" s="2" t="b">
        <f>IF(AND(Table1938[[#This Row],[Accesible]]=TRUE,Table1938[[#This Row],[DOI]]&lt;&gt;""),TRUE,FALSE)</f>
        <v>0</v>
      </c>
      <c r="Y113" s="2" t="b">
        <f>OR(Table1938[[#This Row],[Document Type]]="journalArticle",Table1938[[#This Row],[Document Type]]="conferencePaper",Table1938[[#This Row],[Document Type]]="review")</f>
        <v>1</v>
      </c>
      <c r="Z113" s="2" t="b" cm="1">
        <f t="array" ref="Z113">SUMPRODUCT(--ISNUMBER(SEARCH({"dimensional analysis","dimensionless coefficients","Π","Pi","theorem","software","design","tools","development","architecture","similar"}, LOWER(Table1938[[#This Row],[Title]]))))&gt;0</f>
        <v>0</v>
      </c>
      <c r="AA113" s="2" t="b" cm="1">
        <f t="array" ref="AA113">SUMPRODUCT(--ISNUMBER(SEARCH({"dimensional analysis","dimensionless coefficients","Π","Pi","theorem","software","design","tools","development","architecture","similar"}, LOWER(Table1938[[#This Row],[Abstract]]))))&gt;0</f>
        <v>0</v>
      </c>
      <c r="AB113" s="2" t="b">
        <f>AND(OR(Table1938[[#This Row],[IC-01 @2024]:[IC-01 @2020]])=TRUE,Table1938[[#This Row],[IC-02]]=TRUE,Table1938[[#This Row],[IC-03]]=TRUE,Table1938[[#This Row],[IC-04]]=TRUE,Table1938[[#This Row],[IC-05]]=TRUE)</f>
        <v>0</v>
      </c>
      <c r="AC113" s="2" t="b">
        <f>AND(Table1938[[#This Row],[Pass-IC]]=TRUE,Table1938[[#This Row],[Pass-EC]]=TRUE)</f>
        <v>0</v>
      </c>
      <c r="AD113" s="2" t="b">
        <f>COUNTIF($D$25:D113, Table1938[[#This Row],[Title]]) = 1</f>
        <v>1</v>
      </c>
      <c r="AE113" s="2" t="b">
        <f>AND(Table1938[[#This Row],[IC + EC]:[Unique]])</f>
        <v>0</v>
      </c>
      <c r="AF113" s="2" t="b">
        <v>0</v>
      </c>
      <c r="AG113" s="2" t="b">
        <v>0</v>
      </c>
      <c r="AH113" s="2" t="b">
        <v>0</v>
      </c>
      <c r="AI113" s="2" t="b">
        <f>IF(AND(Table1938[[#This Row],[Double Check]]=TRUE,Table1938[[#This Row],[Inspected]]=TRUE,Table1938[[#This Row],[Relevant]]=TRUE),TRUE,FALSE)</f>
        <v>0</v>
      </c>
    </row>
    <row r="114" spans="1:35" ht="43" x14ac:dyDescent="0.5">
      <c r="A114" s="2">
        <v>113</v>
      </c>
      <c r="B114" s="20" t="s">
        <v>2</v>
      </c>
      <c r="C114" s="20" t="s">
        <v>2863</v>
      </c>
      <c r="D114" s="20" t="s">
        <v>2864</v>
      </c>
      <c r="E114" s="20" t="s">
        <v>2865</v>
      </c>
      <c r="F114" s="2" t="s">
        <v>2866</v>
      </c>
      <c r="G114" s="20" t="s">
        <v>2867</v>
      </c>
      <c r="H114" s="36">
        <v>41030</v>
      </c>
      <c r="I114" s="20">
        <v>2012</v>
      </c>
      <c r="J114" s="20" t="s">
        <v>61</v>
      </c>
      <c r="K114" s="20" t="s">
        <v>2868</v>
      </c>
      <c r="L114" s="20" t="s">
        <v>2515</v>
      </c>
      <c r="M114" s="20" t="s">
        <v>2869</v>
      </c>
      <c r="N114" s="20" t="b">
        <v>0</v>
      </c>
      <c r="O114" s="2" t="b">
        <f>IF(Table1938[[#This Row],[Title]]="",TRUE,FALSE)</f>
        <v>0</v>
      </c>
      <c r="P114" s="2" t="b">
        <f>IF(Table1938[[#This Row],[Author]]="",TRUE,FALSE)</f>
        <v>0</v>
      </c>
      <c r="Q114" s="2" t="b">
        <f>IF(Table1938[[#This Row],[DOI]]&lt;&gt;"", FALSE,TRUE)</f>
        <v>0</v>
      </c>
      <c r="R114" s="2" t="b">
        <f>IF(Table1938[[#This Row],[Abstract]]="",TRUE,FALSE)</f>
        <v>0</v>
      </c>
      <c r="S114" s="2" t="b">
        <f>IF(OR(Table1938[[#This Row],[Document Type]]="book",Table1938[[#This Row],[Document Type]]="bookSection"),TRUE,FALSE)</f>
        <v>0</v>
      </c>
      <c r="T114" s="2" t="b">
        <f>NOT(IF(OR(Table1938[[#This Row],[Language]]&lt;&gt;"en",Table1938[[#This Row],[Language]]&lt;&gt;"EN",Table1938[[#This Row],[Language]]&lt;&gt;"spa",Table1938[[#This Row],[Language]]&lt;&gt;"SPA"),TRUE,FALSE))</f>
        <v>0</v>
      </c>
      <c r="U114" s="2" t="b">
        <f>IF(AND(Table1938[[#This Row],[EC-01]]=FALSE,Table1938[[#This Row],[EC-02]]=FALSE,Table1938[[#This Row],[EC-03]]=FALSE,Table1938[[#This Row],[EC-04]]=FALSE,Table1938[[#This Row],[EC-05]]=FALSE,Table1938[[#This Row],[EC-06]]=FALSE),TRUE,FALSE)</f>
        <v>1</v>
      </c>
      <c r="V114" s="2" t="b">
        <f>IF(Table1938[[#This Row],[Date]]&lt;&gt;"",AND(YEAR(Table1938[[#This Row],[Date]])&gt;=2010, YEAR(Table1938[[#This Row],[Date]])&lt;=2024),FALSE)</f>
        <v>1</v>
      </c>
      <c r="W114" s="2" t="b">
        <f>IF(Table1938[[#This Row],[Date]]&lt;&gt;"",AND(YEAR(Table1938[[#This Row],[Date]])&gt;=2010, YEAR(Table1938[[#This Row],[Date]])&lt;=2020),FALSE)</f>
        <v>1</v>
      </c>
      <c r="X114" s="2" t="b">
        <f>IF(AND(Table1938[[#This Row],[Accesible]]=TRUE,Table1938[[#This Row],[DOI]]&lt;&gt;""),TRUE,FALSE)</f>
        <v>0</v>
      </c>
      <c r="Y114" s="2" t="b">
        <f>OR(Table1938[[#This Row],[Document Type]]="journalArticle",Table1938[[#This Row],[Document Type]]="conferencePaper",Table1938[[#This Row],[Document Type]]="review")</f>
        <v>1</v>
      </c>
      <c r="Z114" s="2" t="b" cm="1">
        <f t="array" ref="Z114">SUMPRODUCT(--ISNUMBER(SEARCH({"dimensional analysis","dimensionless coefficients","Π","Pi","theorem","software","design","tools","development","architecture","similar"}, LOWER(Table1938[[#This Row],[Title]]))))&gt;0</f>
        <v>0</v>
      </c>
      <c r="AA114" s="2" t="b" cm="1">
        <f t="array" ref="AA114">SUMPRODUCT(--ISNUMBER(SEARCH({"dimensional analysis","dimensionless coefficients","Π","Pi","theorem","software","design","tools","development","architecture","similar"}, LOWER(Table1938[[#This Row],[Abstract]]))))&gt;0</f>
        <v>0</v>
      </c>
      <c r="AB114" s="2" t="b">
        <f>AND(OR(Table1938[[#This Row],[IC-01 @2024]:[IC-01 @2020]])=TRUE,Table1938[[#This Row],[IC-02]]=TRUE,Table1938[[#This Row],[IC-03]]=TRUE,Table1938[[#This Row],[IC-04]]=TRUE,Table1938[[#This Row],[IC-05]]=TRUE)</f>
        <v>0</v>
      </c>
      <c r="AC114" s="2" t="b">
        <f>AND(Table1938[[#This Row],[Pass-IC]]=TRUE,Table1938[[#This Row],[Pass-EC]]=TRUE)</f>
        <v>0</v>
      </c>
      <c r="AD114" s="2" t="b">
        <f>COUNTIF($D$25:D114, Table1938[[#This Row],[Title]]) = 1</f>
        <v>1</v>
      </c>
      <c r="AE114" s="2" t="b">
        <f>AND(Table1938[[#This Row],[IC + EC]:[Unique]])</f>
        <v>0</v>
      </c>
      <c r="AF114" s="2" t="b">
        <v>0</v>
      </c>
      <c r="AG114" s="2" t="b">
        <v>0</v>
      </c>
      <c r="AH114" s="2" t="b">
        <v>0</v>
      </c>
      <c r="AI114" s="2" t="b">
        <f>IF(AND(Table1938[[#This Row],[Double Check]]=TRUE,Table1938[[#This Row],[Inspected]]=TRUE,Table1938[[#This Row],[Relevant]]=TRUE),TRUE,FALSE)</f>
        <v>0</v>
      </c>
    </row>
    <row r="115" spans="1:35" ht="28.7" x14ac:dyDescent="0.5">
      <c r="A115" s="2">
        <v>114</v>
      </c>
      <c r="B115" s="20" t="s">
        <v>2</v>
      </c>
      <c r="C115" s="20" t="s">
        <v>2870</v>
      </c>
      <c r="D115" s="20" t="s">
        <v>2871</v>
      </c>
      <c r="E115" s="20" t="s">
        <v>2872</v>
      </c>
      <c r="F115" s="2" t="s">
        <v>2873</v>
      </c>
      <c r="G115" s="20" t="s">
        <v>2874</v>
      </c>
      <c r="H115" s="36">
        <v>42491</v>
      </c>
      <c r="I115" s="20">
        <v>2016</v>
      </c>
      <c r="J115" s="20" t="s">
        <v>61</v>
      </c>
      <c r="K115" s="20" t="s">
        <v>123</v>
      </c>
      <c r="L115" s="20" t="s">
        <v>2515</v>
      </c>
      <c r="M115" s="20" t="s">
        <v>2875</v>
      </c>
      <c r="N115" s="20" t="b">
        <v>0</v>
      </c>
      <c r="O115" s="2" t="b">
        <f>IF(Table1938[[#This Row],[Title]]="",TRUE,FALSE)</f>
        <v>0</v>
      </c>
      <c r="P115" s="2" t="b">
        <f>IF(Table1938[[#This Row],[Author]]="",TRUE,FALSE)</f>
        <v>0</v>
      </c>
      <c r="Q115" s="2" t="b">
        <f>IF(Table1938[[#This Row],[DOI]]&lt;&gt;"", FALSE,TRUE)</f>
        <v>0</v>
      </c>
      <c r="R115" s="2" t="b">
        <f>IF(Table1938[[#This Row],[Abstract]]="",TRUE,FALSE)</f>
        <v>0</v>
      </c>
      <c r="S115" s="2" t="b">
        <f>IF(OR(Table1938[[#This Row],[Document Type]]="book",Table1938[[#This Row],[Document Type]]="bookSection"),TRUE,FALSE)</f>
        <v>0</v>
      </c>
      <c r="T115" s="2" t="b">
        <f>NOT(IF(OR(Table1938[[#This Row],[Language]]&lt;&gt;"en",Table1938[[#This Row],[Language]]&lt;&gt;"EN",Table1938[[#This Row],[Language]]&lt;&gt;"spa",Table1938[[#This Row],[Language]]&lt;&gt;"SPA"),TRUE,FALSE))</f>
        <v>0</v>
      </c>
      <c r="U115" s="2" t="b">
        <f>IF(AND(Table1938[[#This Row],[EC-01]]=FALSE,Table1938[[#This Row],[EC-02]]=FALSE,Table1938[[#This Row],[EC-03]]=FALSE,Table1938[[#This Row],[EC-04]]=FALSE,Table1938[[#This Row],[EC-05]]=FALSE,Table1938[[#This Row],[EC-06]]=FALSE),TRUE,FALSE)</f>
        <v>1</v>
      </c>
      <c r="V115" s="2" t="b">
        <f>IF(Table1938[[#This Row],[Date]]&lt;&gt;"",AND(YEAR(Table1938[[#This Row],[Date]])&gt;=2010, YEAR(Table1938[[#This Row],[Date]])&lt;=2024),FALSE)</f>
        <v>1</v>
      </c>
      <c r="W115" s="2" t="b">
        <f>IF(Table1938[[#This Row],[Date]]&lt;&gt;"",AND(YEAR(Table1938[[#This Row],[Date]])&gt;=2010, YEAR(Table1938[[#This Row],[Date]])&lt;=2020),FALSE)</f>
        <v>1</v>
      </c>
      <c r="X115" s="2" t="b">
        <f>IF(AND(Table1938[[#This Row],[Accesible]]=TRUE,Table1938[[#This Row],[DOI]]&lt;&gt;""),TRUE,FALSE)</f>
        <v>0</v>
      </c>
      <c r="Y115" s="2" t="b">
        <f>OR(Table1938[[#This Row],[Document Type]]="journalArticle",Table1938[[#This Row],[Document Type]]="conferencePaper",Table1938[[#This Row],[Document Type]]="review")</f>
        <v>1</v>
      </c>
      <c r="Z115" s="2" t="b" cm="1">
        <f t="array" ref="Z115">SUMPRODUCT(--ISNUMBER(SEARCH({"dimensional analysis","dimensionless coefficients","Π","Pi","theorem","software","design","tools","development","architecture","similar"}, LOWER(Table1938[[#This Row],[Title]]))))&gt;0</f>
        <v>0</v>
      </c>
      <c r="AA115" s="2" t="b" cm="1">
        <f t="array" ref="AA115">SUMPRODUCT(--ISNUMBER(SEARCH({"dimensional analysis","dimensionless coefficients","Π","Pi","theorem","software","design","tools","development","architecture","similar"}, LOWER(Table1938[[#This Row],[Abstract]]))))&gt;0</f>
        <v>1</v>
      </c>
      <c r="AB115" s="2" t="b">
        <f>AND(OR(Table1938[[#This Row],[IC-01 @2024]:[IC-01 @2020]])=TRUE,Table1938[[#This Row],[IC-02]]=TRUE,Table1938[[#This Row],[IC-03]]=TRUE,Table1938[[#This Row],[IC-04]]=TRUE,Table1938[[#This Row],[IC-05]]=TRUE)</f>
        <v>0</v>
      </c>
      <c r="AC115" s="2" t="b">
        <f>AND(Table1938[[#This Row],[Pass-IC]]=TRUE,Table1938[[#This Row],[Pass-EC]]=TRUE)</f>
        <v>0</v>
      </c>
      <c r="AD115" s="2" t="b">
        <f>COUNTIF($D$25:D115, Table1938[[#This Row],[Title]]) = 1</f>
        <v>1</v>
      </c>
      <c r="AE115" s="2" t="b">
        <f>AND(Table1938[[#This Row],[IC + EC]:[Unique]])</f>
        <v>0</v>
      </c>
      <c r="AF115" s="2" t="b">
        <v>0</v>
      </c>
      <c r="AG115" s="2" t="b">
        <v>0</v>
      </c>
      <c r="AH115" s="2" t="b">
        <v>0</v>
      </c>
      <c r="AI115" s="2" t="b">
        <f>IF(AND(Table1938[[#This Row],[Double Check]]=TRUE,Table1938[[#This Row],[Inspected]]=TRUE,Table1938[[#This Row],[Relevant]]=TRUE),TRUE,FALSE)</f>
        <v>0</v>
      </c>
    </row>
    <row r="116" spans="1:35" ht="57.35" x14ac:dyDescent="0.5">
      <c r="A116" s="2">
        <v>115</v>
      </c>
      <c r="B116" s="20" t="s">
        <v>2</v>
      </c>
      <c r="C116" s="20" t="s">
        <v>2876</v>
      </c>
      <c r="D116" s="20" t="s">
        <v>676</v>
      </c>
      <c r="E116" s="20" t="s">
        <v>675</v>
      </c>
      <c r="F116" s="2" t="s">
        <v>679</v>
      </c>
      <c r="G116" s="20" t="s">
        <v>677</v>
      </c>
      <c r="H116" s="36">
        <v>45113</v>
      </c>
      <c r="I116" s="20">
        <v>2023</v>
      </c>
      <c r="J116" s="20" t="s">
        <v>61</v>
      </c>
      <c r="K116" s="20" t="s">
        <v>123</v>
      </c>
      <c r="L116" s="20" t="s">
        <v>2515</v>
      </c>
      <c r="M116" s="20" t="s">
        <v>678</v>
      </c>
      <c r="N116" s="20" t="b">
        <v>1</v>
      </c>
      <c r="O116" s="2" t="b">
        <f>IF(Table1938[[#This Row],[Title]]="",TRUE,FALSE)</f>
        <v>0</v>
      </c>
      <c r="P116" s="2" t="b">
        <f>IF(Table1938[[#This Row],[Author]]="",TRUE,FALSE)</f>
        <v>0</v>
      </c>
      <c r="Q116" s="2" t="b">
        <f>IF(Table1938[[#This Row],[DOI]]&lt;&gt;"", FALSE,TRUE)</f>
        <v>0</v>
      </c>
      <c r="R116" s="2" t="b">
        <f>IF(Table1938[[#This Row],[Abstract]]="",TRUE,FALSE)</f>
        <v>0</v>
      </c>
      <c r="S116" s="2" t="b">
        <f>IF(OR(Table1938[[#This Row],[Document Type]]="book",Table1938[[#This Row],[Document Type]]="bookSection"),TRUE,FALSE)</f>
        <v>0</v>
      </c>
      <c r="T116" s="2" t="b">
        <f>NOT(IF(OR(Table1938[[#This Row],[Language]]&lt;&gt;"en",Table1938[[#This Row],[Language]]&lt;&gt;"EN",Table1938[[#This Row],[Language]]&lt;&gt;"spa",Table1938[[#This Row],[Language]]&lt;&gt;"SPA"),TRUE,FALSE))</f>
        <v>0</v>
      </c>
      <c r="U116" s="2" t="b">
        <f>IF(AND(Table1938[[#This Row],[EC-01]]=FALSE,Table1938[[#This Row],[EC-02]]=FALSE,Table1938[[#This Row],[EC-03]]=FALSE,Table1938[[#This Row],[EC-04]]=FALSE,Table1938[[#This Row],[EC-05]]=FALSE,Table1938[[#This Row],[EC-06]]=FALSE),TRUE,FALSE)</f>
        <v>1</v>
      </c>
      <c r="V116" s="2" t="b">
        <f>IF(Table1938[[#This Row],[Date]]&lt;&gt;"",AND(YEAR(Table1938[[#This Row],[Date]])&gt;=2010, YEAR(Table1938[[#This Row],[Date]])&lt;=2024),FALSE)</f>
        <v>1</v>
      </c>
      <c r="W116" s="2" t="b">
        <f>IF(Table1938[[#This Row],[Date]]&lt;&gt;"",AND(YEAR(Table1938[[#This Row],[Date]])&gt;=2010, YEAR(Table1938[[#This Row],[Date]])&lt;=2020),FALSE)</f>
        <v>0</v>
      </c>
      <c r="X116" s="2" t="b">
        <f>IF(AND(Table1938[[#This Row],[Accesible]]=TRUE,Table1938[[#This Row],[DOI]]&lt;&gt;""),TRUE,FALSE)</f>
        <v>1</v>
      </c>
      <c r="Y116" s="2" t="b">
        <f>OR(Table1938[[#This Row],[Document Type]]="journalArticle",Table1938[[#This Row],[Document Type]]="conferencePaper",Table1938[[#This Row],[Document Type]]="review")</f>
        <v>1</v>
      </c>
      <c r="Z116" s="2" t="b" cm="1">
        <f t="array" ref="Z116">SUMPRODUCT(--ISNUMBER(SEARCH({"dimensional analysis","dimensionless coefficients","Π","Pi","theorem","software","design","tools","development","architecture","similar"}, LOWER(Table1938[[#This Row],[Title]]))))&gt;0</f>
        <v>0</v>
      </c>
      <c r="AA116" s="2" t="b" cm="1">
        <f t="array" ref="AA116">SUMPRODUCT(--ISNUMBER(SEARCH({"dimensional analysis","dimensionless coefficients","Π","Pi","theorem","software","design","tools","development","architecture","similar"}, LOWER(Table1938[[#This Row],[Abstract]]))))&gt;0</f>
        <v>0</v>
      </c>
      <c r="AB116" s="2" t="b">
        <f>AND(OR(Table1938[[#This Row],[IC-01 @2024]:[IC-01 @2020]])=TRUE,Table1938[[#This Row],[IC-02]]=TRUE,Table1938[[#This Row],[IC-03]]=TRUE,Table1938[[#This Row],[IC-04]]=TRUE,Table1938[[#This Row],[IC-05]]=TRUE)</f>
        <v>0</v>
      </c>
      <c r="AC116" s="2" t="b">
        <f>AND(Table1938[[#This Row],[Pass-IC]]=TRUE,Table1938[[#This Row],[Pass-EC]]=TRUE)</f>
        <v>0</v>
      </c>
      <c r="AD116" s="2" t="b">
        <f>COUNTIF($D$25:D116, Table1938[[#This Row],[Title]]) = 1</f>
        <v>1</v>
      </c>
      <c r="AE116" s="2" t="b">
        <f>AND(Table1938[[#This Row],[IC + EC]:[Unique]])</f>
        <v>0</v>
      </c>
      <c r="AF116" s="2" t="b">
        <v>0</v>
      </c>
      <c r="AG116" s="2" t="b">
        <v>0</v>
      </c>
      <c r="AH116" s="2" t="b">
        <v>0</v>
      </c>
      <c r="AI116" s="2" t="b">
        <f>IF(AND(Table1938[[#This Row],[Double Check]]=TRUE,Table1938[[#This Row],[Inspected]]=TRUE,Table1938[[#This Row],[Relevant]]=TRUE),TRUE,FALSE)</f>
        <v>0</v>
      </c>
    </row>
    <row r="117" spans="1:35" ht="57.35" x14ac:dyDescent="0.5">
      <c r="A117" s="2">
        <v>116</v>
      </c>
      <c r="B117" s="20" t="s">
        <v>2</v>
      </c>
      <c r="C117" s="20" t="s">
        <v>2877</v>
      </c>
      <c r="D117" s="20" t="s">
        <v>2878</v>
      </c>
      <c r="E117" s="20" t="s">
        <v>2879</v>
      </c>
      <c r="F117" s="2" t="s">
        <v>123</v>
      </c>
      <c r="G117" s="20" t="s">
        <v>2880</v>
      </c>
      <c r="H117" s="36">
        <v>45413</v>
      </c>
      <c r="I117" s="20">
        <v>2024</v>
      </c>
      <c r="J117" s="20" t="s">
        <v>61</v>
      </c>
      <c r="K117" s="20" t="s">
        <v>2881</v>
      </c>
      <c r="L117" s="20" t="s">
        <v>2515</v>
      </c>
      <c r="M117" s="20" t="s">
        <v>2882</v>
      </c>
      <c r="N117" s="20" t="b">
        <v>0</v>
      </c>
      <c r="O117" s="2" t="b">
        <f>IF(Table1938[[#This Row],[Title]]="",TRUE,FALSE)</f>
        <v>0</v>
      </c>
      <c r="P117" s="2" t="b">
        <f>IF(Table1938[[#This Row],[Author]]="",TRUE,FALSE)</f>
        <v>0</v>
      </c>
      <c r="Q117" s="2" t="b">
        <f>IF(Table1938[[#This Row],[DOI]]&lt;&gt;"", FALSE,TRUE)</f>
        <v>0</v>
      </c>
      <c r="R117" s="2" t="b">
        <f>IF(Table1938[[#This Row],[Abstract]]="",TRUE,FALSE)</f>
        <v>1</v>
      </c>
      <c r="S117" s="2" t="b">
        <f>IF(OR(Table1938[[#This Row],[Document Type]]="book",Table1938[[#This Row],[Document Type]]="bookSection"),TRUE,FALSE)</f>
        <v>0</v>
      </c>
      <c r="T117" s="2" t="b">
        <f>NOT(IF(OR(Table1938[[#This Row],[Language]]&lt;&gt;"en",Table1938[[#This Row],[Language]]&lt;&gt;"EN",Table1938[[#This Row],[Language]]&lt;&gt;"spa",Table1938[[#This Row],[Language]]&lt;&gt;"SPA"),TRUE,FALSE))</f>
        <v>0</v>
      </c>
      <c r="U117" s="2" t="b">
        <f>IF(AND(Table1938[[#This Row],[EC-01]]=FALSE,Table1938[[#This Row],[EC-02]]=FALSE,Table1938[[#This Row],[EC-03]]=FALSE,Table1938[[#This Row],[EC-04]]=FALSE,Table1938[[#This Row],[EC-05]]=FALSE,Table1938[[#This Row],[EC-06]]=FALSE),TRUE,FALSE)</f>
        <v>0</v>
      </c>
      <c r="V117" s="2" t="b">
        <f>IF(Table1938[[#This Row],[Date]]&lt;&gt;"",AND(YEAR(Table1938[[#This Row],[Date]])&gt;=2010, YEAR(Table1938[[#This Row],[Date]])&lt;=2024),FALSE)</f>
        <v>1</v>
      </c>
      <c r="W117" s="2" t="b">
        <f>IF(Table1938[[#This Row],[Date]]&lt;&gt;"",AND(YEAR(Table1938[[#This Row],[Date]])&gt;=2010, YEAR(Table1938[[#This Row],[Date]])&lt;=2020),FALSE)</f>
        <v>0</v>
      </c>
      <c r="X117" s="2" t="b">
        <f>IF(AND(Table1938[[#This Row],[Accesible]]=TRUE,Table1938[[#This Row],[DOI]]&lt;&gt;""),TRUE,FALSE)</f>
        <v>0</v>
      </c>
      <c r="Y117" s="2" t="b">
        <f>OR(Table1938[[#This Row],[Document Type]]="journalArticle",Table1938[[#This Row],[Document Type]]="conferencePaper",Table1938[[#This Row],[Document Type]]="review")</f>
        <v>1</v>
      </c>
      <c r="Z117" s="2" t="b" cm="1">
        <f t="array" ref="Z117">SUMPRODUCT(--ISNUMBER(SEARCH({"dimensional analysis","dimensionless coefficients","Π","Pi","theorem","software","design","tools","development","architecture","similar"}, LOWER(Table1938[[#This Row],[Title]]))))&gt;0</f>
        <v>0</v>
      </c>
      <c r="AA117" s="2" t="b" cm="1">
        <f t="array" ref="AA117">SUMPRODUCT(--ISNUMBER(SEARCH({"dimensional analysis","dimensionless coefficients","Π","Pi","theorem","software","design","tools","development","architecture","similar"}, LOWER(Table1938[[#This Row],[Abstract]]))))&gt;0</f>
        <v>0</v>
      </c>
      <c r="AB117" s="2" t="b">
        <f>AND(OR(Table1938[[#This Row],[IC-01 @2024]:[IC-01 @2020]])=TRUE,Table1938[[#This Row],[IC-02]]=TRUE,Table1938[[#This Row],[IC-03]]=TRUE,Table1938[[#This Row],[IC-04]]=TRUE,Table1938[[#This Row],[IC-05]]=TRUE)</f>
        <v>0</v>
      </c>
      <c r="AC117" s="2" t="b">
        <f>AND(Table1938[[#This Row],[Pass-IC]]=TRUE,Table1938[[#This Row],[Pass-EC]]=TRUE)</f>
        <v>0</v>
      </c>
      <c r="AD117" s="2" t="b">
        <f>COUNTIF($D$25:D117, Table1938[[#This Row],[Title]]) = 1</f>
        <v>1</v>
      </c>
      <c r="AE117" s="2" t="b">
        <f>AND(Table1938[[#This Row],[IC + EC]:[Unique]])</f>
        <v>0</v>
      </c>
      <c r="AF117" s="2" t="b">
        <v>0</v>
      </c>
      <c r="AG117" s="2" t="b">
        <v>0</v>
      </c>
      <c r="AH117" s="2" t="b">
        <v>0</v>
      </c>
      <c r="AI117" s="2" t="b">
        <f>IF(AND(Table1938[[#This Row],[Double Check]]=TRUE,Table1938[[#This Row],[Inspected]]=TRUE,Table1938[[#This Row],[Relevant]]=TRUE),TRUE,FALSE)</f>
        <v>0</v>
      </c>
    </row>
    <row r="118" spans="1:35" ht="28.7" x14ac:dyDescent="0.5">
      <c r="A118" s="2">
        <v>117</v>
      </c>
      <c r="B118" s="20" t="s">
        <v>2</v>
      </c>
      <c r="C118" s="20" t="s">
        <v>2883</v>
      </c>
      <c r="D118" s="20" t="s">
        <v>2884</v>
      </c>
      <c r="E118" s="20" t="s">
        <v>2885</v>
      </c>
      <c r="F118" s="2" t="s">
        <v>2886</v>
      </c>
      <c r="G118" s="20" t="s">
        <v>2887</v>
      </c>
      <c r="H118" s="36">
        <v>43101</v>
      </c>
      <c r="I118" s="20">
        <v>2018</v>
      </c>
      <c r="J118" s="20" t="s">
        <v>62</v>
      </c>
      <c r="K118" s="20" t="s">
        <v>2888</v>
      </c>
      <c r="L118" s="20" t="s">
        <v>2515</v>
      </c>
      <c r="M118" s="20" t="s">
        <v>123</v>
      </c>
      <c r="N118" s="20" t="b">
        <v>1</v>
      </c>
      <c r="O118" s="2" t="b">
        <f>IF(Table1938[[#This Row],[Title]]="",TRUE,FALSE)</f>
        <v>0</v>
      </c>
      <c r="P118" s="2" t="b">
        <f>IF(Table1938[[#This Row],[Author]]="",TRUE,FALSE)</f>
        <v>0</v>
      </c>
      <c r="Q118" s="2" t="b">
        <f>IF(Table1938[[#This Row],[DOI]]&lt;&gt;"", FALSE,TRUE)</f>
        <v>1</v>
      </c>
      <c r="R118" s="2" t="b">
        <f>IF(Table1938[[#This Row],[Abstract]]="",TRUE,FALSE)</f>
        <v>0</v>
      </c>
      <c r="S118" s="2" t="b">
        <f>IF(OR(Table1938[[#This Row],[Document Type]]="book",Table1938[[#This Row],[Document Type]]="bookSection"),TRUE,FALSE)</f>
        <v>0</v>
      </c>
      <c r="T118" s="2" t="b">
        <f>NOT(IF(OR(Table1938[[#This Row],[Language]]&lt;&gt;"en",Table1938[[#This Row],[Language]]&lt;&gt;"EN",Table1938[[#This Row],[Language]]&lt;&gt;"spa",Table1938[[#This Row],[Language]]&lt;&gt;"SPA"),TRUE,FALSE))</f>
        <v>0</v>
      </c>
      <c r="U118" s="2" t="b">
        <f>IF(AND(Table1938[[#This Row],[EC-01]]=FALSE,Table1938[[#This Row],[EC-02]]=FALSE,Table1938[[#This Row],[EC-03]]=FALSE,Table1938[[#This Row],[EC-04]]=FALSE,Table1938[[#This Row],[EC-05]]=FALSE,Table1938[[#This Row],[EC-06]]=FALSE),TRUE,FALSE)</f>
        <v>0</v>
      </c>
      <c r="V118" s="2" t="b">
        <f>IF(Table1938[[#This Row],[Date]]&lt;&gt;"",AND(YEAR(Table1938[[#This Row],[Date]])&gt;=2010, YEAR(Table1938[[#This Row],[Date]])&lt;=2024),FALSE)</f>
        <v>1</v>
      </c>
      <c r="W118" s="2" t="b">
        <f>IF(Table1938[[#This Row],[Date]]&lt;&gt;"",AND(YEAR(Table1938[[#This Row],[Date]])&gt;=2010, YEAR(Table1938[[#This Row],[Date]])&lt;=2020),FALSE)</f>
        <v>1</v>
      </c>
      <c r="X118" s="2" t="b">
        <f>IF(AND(Table1938[[#This Row],[Accesible]]=TRUE,Table1938[[#This Row],[DOI]]&lt;&gt;""),TRUE,FALSE)</f>
        <v>0</v>
      </c>
      <c r="Y118" s="2" t="b">
        <f>OR(Table1938[[#This Row],[Document Type]]="journalArticle",Table1938[[#This Row],[Document Type]]="conferencePaper",Table1938[[#This Row],[Document Type]]="review")</f>
        <v>1</v>
      </c>
      <c r="Z118" s="2" t="b" cm="1">
        <f t="array" ref="Z118">SUMPRODUCT(--ISNUMBER(SEARCH({"dimensional analysis","dimensionless coefficients","Π","Pi","theorem","software","design","tools","development","architecture","similar"}, LOWER(Table1938[[#This Row],[Title]]))))&gt;0</f>
        <v>0</v>
      </c>
      <c r="AA118" s="2" t="b" cm="1">
        <f t="array" ref="AA118">SUMPRODUCT(--ISNUMBER(SEARCH({"dimensional analysis","dimensionless coefficients","Π","Pi","theorem","software","design","tools","development","architecture","similar"}, LOWER(Table1938[[#This Row],[Abstract]]))))&gt;0</f>
        <v>1</v>
      </c>
      <c r="AB118" s="2" t="b">
        <f>AND(OR(Table1938[[#This Row],[IC-01 @2024]:[IC-01 @2020]])=TRUE,Table1938[[#This Row],[IC-02]]=TRUE,Table1938[[#This Row],[IC-03]]=TRUE,Table1938[[#This Row],[IC-04]]=TRUE,Table1938[[#This Row],[IC-05]]=TRUE)</f>
        <v>0</v>
      </c>
      <c r="AC118" s="2" t="b">
        <f>AND(Table1938[[#This Row],[Pass-IC]]=TRUE,Table1938[[#This Row],[Pass-EC]]=TRUE)</f>
        <v>0</v>
      </c>
      <c r="AD118" s="2" t="b">
        <f>COUNTIF($D$25:D118, Table1938[[#This Row],[Title]]) = 1</f>
        <v>1</v>
      </c>
      <c r="AE118" s="2" t="b">
        <f>AND(Table1938[[#This Row],[IC + EC]:[Unique]])</f>
        <v>0</v>
      </c>
      <c r="AF118" s="2" t="b">
        <v>0</v>
      </c>
      <c r="AG118" s="2" t="b">
        <v>0</v>
      </c>
      <c r="AH118" s="2" t="b">
        <v>0</v>
      </c>
      <c r="AI118" s="2" t="b">
        <f>IF(AND(Table1938[[#This Row],[Double Check]]=TRUE,Table1938[[#This Row],[Inspected]]=TRUE,Table1938[[#This Row],[Relevant]]=TRUE),TRUE,FALSE)</f>
        <v>0</v>
      </c>
    </row>
    <row r="119" spans="1:35" ht="57.35" x14ac:dyDescent="0.5">
      <c r="A119" s="2">
        <v>118</v>
      </c>
      <c r="B119" s="20" t="s">
        <v>2</v>
      </c>
      <c r="C119" s="20" t="s">
        <v>2889</v>
      </c>
      <c r="D119" s="20" t="s">
        <v>454</v>
      </c>
      <c r="E119" s="20" t="s">
        <v>448</v>
      </c>
      <c r="F119" s="2" t="s">
        <v>459</v>
      </c>
      <c r="G119" s="20" t="s">
        <v>2890</v>
      </c>
      <c r="H119" s="36">
        <v>40270</v>
      </c>
      <c r="I119" s="20">
        <v>2010</v>
      </c>
      <c r="J119" s="20" t="s">
        <v>62</v>
      </c>
      <c r="K119" s="20" t="s">
        <v>123</v>
      </c>
      <c r="L119" s="20" t="s">
        <v>2515</v>
      </c>
      <c r="M119" s="20" t="s">
        <v>442</v>
      </c>
      <c r="N119" s="20" t="b">
        <v>1</v>
      </c>
      <c r="O119" s="2" t="b">
        <f>IF(Table1938[[#This Row],[Title]]="",TRUE,FALSE)</f>
        <v>0</v>
      </c>
      <c r="P119" s="2" t="b">
        <f>IF(Table1938[[#This Row],[Author]]="",TRUE,FALSE)</f>
        <v>0</v>
      </c>
      <c r="Q119" s="2" t="b">
        <f>IF(Table1938[[#This Row],[DOI]]&lt;&gt;"", FALSE,TRUE)</f>
        <v>0</v>
      </c>
      <c r="R119" s="2" t="b">
        <f>IF(Table1938[[#This Row],[Abstract]]="",TRUE,FALSE)</f>
        <v>0</v>
      </c>
      <c r="S119" s="2" t="b">
        <f>IF(OR(Table1938[[#This Row],[Document Type]]="book",Table1938[[#This Row],[Document Type]]="bookSection"),TRUE,FALSE)</f>
        <v>0</v>
      </c>
      <c r="T119" s="2" t="b">
        <f>NOT(IF(OR(Table1938[[#This Row],[Language]]&lt;&gt;"en",Table1938[[#This Row],[Language]]&lt;&gt;"EN",Table1938[[#This Row],[Language]]&lt;&gt;"spa",Table1938[[#This Row],[Language]]&lt;&gt;"SPA"),TRUE,FALSE))</f>
        <v>0</v>
      </c>
      <c r="U119" s="2" t="b">
        <f>IF(AND(Table1938[[#This Row],[EC-01]]=FALSE,Table1938[[#This Row],[EC-02]]=FALSE,Table1938[[#This Row],[EC-03]]=FALSE,Table1938[[#This Row],[EC-04]]=FALSE,Table1938[[#This Row],[EC-05]]=FALSE,Table1938[[#This Row],[EC-06]]=FALSE),TRUE,FALSE)</f>
        <v>1</v>
      </c>
      <c r="V119" s="2" t="b">
        <f>IF(Table1938[[#This Row],[Date]]&lt;&gt;"",AND(YEAR(Table1938[[#This Row],[Date]])&gt;=2010, YEAR(Table1938[[#This Row],[Date]])&lt;=2024),FALSE)</f>
        <v>1</v>
      </c>
      <c r="W119" s="2" t="b">
        <f>IF(Table1938[[#This Row],[Date]]&lt;&gt;"",AND(YEAR(Table1938[[#This Row],[Date]])&gt;=2010, YEAR(Table1938[[#This Row],[Date]])&lt;=2020),FALSE)</f>
        <v>1</v>
      </c>
      <c r="X119" s="2" t="b">
        <f>IF(AND(Table1938[[#This Row],[Accesible]]=TRUE,Table1938[[#This Row],[DOI]]&lt;&gt;""),TRUE,FALSE)</f>
        <v>1</v>
      </c>
      <c r="Y119" s="2" t="b">
        <f>OR(Table1938[[#This Row],[Document Type]]="journalArticle",Table1938[[#This Row],[Document Type]]="conferencePaper",Table1938[[#This Row],[Document Type]]="review")</f>
        <v>1</v>
      </c>
      <c r="Z119" s="2" t="b" cm="1">
        <f t="array" ref="Z119">SUMPRODUCT(--ISNUMBER(SEARCH({"dimensional analysis","dimensionless coefficients","Π","Pi","theorem","software","design","tools","development","architecture","similar"}, LOWER(Table1938[[#This Row],[Title]]))))&gt;0</f>
        <v>1</v>
      </c>
      <c r="AA119" s="2" t="b" cm="1">
        <f t="array" ref="AA119">SUMPRODUCT(--ISNUMBER(SEARCH({"dimensional analysis","dimensionless coefficients","Π","Pi","theorem","software","design","tools","development","architecture","similar"}, LOWER(Table1938[[#This Row],[Abstract]]))))&gt;0</f>
        <v>1</v>
      </c>
      <c r="AB119" s="2" t="b">
        <f>AND(OR(Table1938[[#This Row],[IC-01 @2024]:[IC-01 @2020]])=TRUE,Table1938[[#This Row],[IC-02]]=TRUE,Table1938[[#This Row],[IC-03]]=TRUE,Table1938[[#This Row],[IC-04]]=TRUE,Table1938[[#This Row],[IC-05]]=TRUE)</f>
        <v>1</v>
      </c>
      <c r="AC119" s="2" t="b">
        <f>AND(Table1938[[#This Row],[Pass-IC]]=TRUE,Table1938[[#This Row],[Pass-EC]]=TRUE)</f>
        <v>1</v>
      </c>
      <c r="AD119" s="2" t="b">
        <f>COUNTIF($D$25:D119, Table1938[[#This Row],[Title]]) = 1</f>
        <v>1</v>
      </c>
      <c r="AE119" s="2" t="b">
        <f>AND(Table1938[[#This Row],[IC + EC]:[Unique]])</f>
        <v>1</v>
      </c>
      <c r="AF119" s="2" t="b">
        <v>1</v>
      </c>
      <c r="AG119" s="2" t="b">
        <v>0</v>
      </c>
      <c r="AH119" s="2" t="b">
        <v>0</v>
      </c>
      <c r="AI119" s="2" t="b">
        <f>IF(AND(Table1938[[#This Row],[Double Check]]=TRUE,Table1938[[#This Row],[Inspected]]=TRUE,Table1938[[#This Row],[Relevant]]=TRUE),TRUE,FALSE)</f>
        <v>0</v>
      </c>
    </row>
    <row r="120" spans="1:35" ht="57.35" x14ac:dyDescent="0.5">
      <c r="A120" s="2">
        <v>119</v>
      </c>
      <c r="B120" s="20" t="s">
        <v>2</v>
      </c>
      <c r="C120" s="20" t="s">
        <v>2891</v>
      </c>
      <c r="D120" s="20" t="s">
        <v>2892</v>
      </c>
      <c r="E120" s="20" t="s">
        <v>123</v>
      </c>
      <c r="F120" s="2" t="s">
        <v>123</v>
      </c>
      <c r="G120" s="20" t="s">
        <v>2535</v>
      </c>
      <c r="H120" s="36" t="s">
        <v>123</v>
      </c>
      <c r="I120" s="20" t="s">
        <v>123</v>
      </c>
      <c r="J120" s="20" t="s">
        <v>2520</v>
      </c>
      <c r="K120" s="20" t="s">
        <v>123</v>
      </c>
      <c r="L120" s="20" t="s">
        <v>642</v>
      </c>
      <c r="M120" s="20" t="s">
        <v>123</v>
      </c>
      <c r="N120" s="20" t="b">
        <v>1</v>
      </c>
      <c r="O120" s="2" t="b">
        <f>IF(Table1938[[#This Row],[Title]]="",TRUE,FALSE)</f>
        <v>0</v>
      </c>
      <c r="P120" s="2" t="b">
        <f>IF(Table1938[[#This Row],[Author]]="",TRUE,FALSE)</f>
        <v>1</v>
      </c>
      <c r="Q120" s="2" t="b">
        <f>IF(Table1938[[#This Row],[DOI]]&lt;&gt;"", FALSE,TRUE)</f>
        <v>1</v>
      </c>
      <c r="R120" s="2" t="b">
        <f>IF(Table1938[[#This Row],[Abstract]]="",TRUE,FALSE)</f>
        <v>1</v>
      </c>
      <c r="S120" s="2" t="b">
        <f>IF(OR(Table1938[[#This Row],[Document Type]]="book",Table1938[[#This Row],[Document Type]]="bookSection"),TRUE,FALSE)</f>
        <v>0</v>
      </c>
      <c r="T120" s="2" t="b">
        <f>NOT(IF(OR(Table1938[[#This Row],[Language]]&lt;&gt;"en",Table1938[[#This Row],[Language]]&lt;&gt;"EN",Table1938[[#This Row],[Language]]&lt;&gt;"spa",Table1938[[#This Row],[Language]]&lt;&gt;"SPA"),TRUE,FALSE))</f>
        <v>0</v>
      </c>
      <c r="U120" s="2" t="b">
        <f>IF(AND(Table1938[[#This Row],[EC-01]]=FALSE,Table1938[[#This Row],[EC-02]]=FALSE,Table1938[[#This Row],[EC-03]]=FALSE,Table1938[[#This Row],[EC-04]]=FALSE,Table1938[[#This Row],[EC-05]]=FALSE,Table1938[[#This Row],[EC-06]]=FALSE),TRUE,FALSE)</f>
        <v>0</v>
      </c>
      <c r="V120" s="2" t="b">
        <f>IF(Table1938[[#This Row],[Date]]&lt;&gt;"",AND(YEAR(Table1938[[#This Row],[Date]])&gt;=2010, YEAR(Table1938[[#This Row],[Date]])&lt;=2024),FALSE)</f>
        <v>0</v>
      </c>
      <c r="W120" s="2" t="b">
        <f>IF(Table1938[[#This Row],[Date]]&lt;&gt;"",AND(YEAR(Table1938[[#This Row],[Date]])&gt;=2010, YEAR(Table1938[[#This Row],[Date]])&lt;=2020),FALSE)</f>
        <v>0</v>
      </c>
      <c r="X120" s="2" t="b">
        <f>IF(AND(Table1938[[#This Row],[Accesible]]=TRUE,Table1938[[#This Row],[DOI]]&lt;&gt;""),TRUE,FALSE)</f>
        <v>0</v>
      </c>
      <c r="Y120" s="2" t="b">
        <f>OR(Table1938[[#This Row],[Document Type]]="journalArticle",Table1938[[#This Row],[Document Type]]="conferencePaper",Table1938[[#This Row],[Document Type]]="review")</f>
        <v>0</v>
      </c>
      <c r="Z120" s="2" t="b" cm="1">
        <f t="array" ref="Z120">SUMPRODUCT(--ISNUMBER(SEARCH({"dimensional analysis","dimensionless coefficients","Π","Pi","theorem","software","design","tools","development","architecture","similar"}, LOWER(Table1938[[#This Row],[Title]]))))&gt;0</f>
        <v>0</v>
      </c>
      <c r="AA120" s="2" t="b" cm="1">
        <f t="array" ref="AA120">SUMPRODUCT(--ISNUMBER(SEARCH({"dimensional analysis","dimensionless coefficients","Π","Pi","theorem","software","design","tools","development","architecture","similar"}, LOWER(Table1938[[#This Row],[Abstract]]))))&gt;0</f>
        <v>0</v>
      </c>
      <c r="AB120" s="2" t="b">
        <f>AND(OR(Table1938[[#This Row],[IC-01 @2024]:[IC-01 @2020]])=TRUE,Table1938[[#This Row],[IC-02]]=TRUE,Table1938[[#This Row],[IC-03]]=TRUE,Table1938[[#This Row],[IC-04]]=TRUE,Table1938[[#This Row],[IC-05]]=TRUE)</f>
        <v>0</v>
      </c>
      <c r="AC120" s="2" t="b">
        <f>AND(Table1938[[#This Row],[Pass-IC]]=TRUE,Table1938[[#This Row],[Pass-EC]]=TRUE)</f>
        <v>0</v>
      </c>
      <c r="AD120" s="2" t="b">
        <f>COUNTIF($D$25:D120, Table1938[[#This Row],[Title]]) = 1</f>
        <v>1</v>
      </c>
      <c r="AE120" s="2" t="b">
        <f>AND(Table1938[[#This Row],[IC + EC]:[Unique]])</f>
        <v>0</v>
      </c>
      <c r="AF120" s="2" t="b">
        <v>0</v>
      </c>
      <c r="AG120" s="2" t="b">
        <v>0</v>
      </c>
      <c r="AH120" s="2" t="b">
        <v>0</v>
      </c>
      <c r="AI120" s="2" t="b">
        <f>IF(AND(Table1938[[#This Row],[Double Check]]=TRUE,Table1938[[#This Row],[Inspected]]=TRUE,Table1938[[#This Row],[Relevant]]=TRUE),TRUE,FALSE)</f>
        <v>0</v>
      </c>
    </row>
    <row r="121" spans="1:35" ht="57.35" x14ac:dyDescent="0.5">
      <c r="A121" s="2">
        <v>120</v>
      </c>
      <c r="B121" s="20" t="s">
        <v>2</v>
      </c>
      <c r="C121" s="20" t="s">
        <v>2893</v>
      </c>
      <c r="D121" s="20" t="s">
        <v>2894</v>
      </c>
      <c r="E121" s="20" t="s">
        <v>123</v>
      </c>
      <c r="F121" s="2" t="s">
        <v>123</v>
      </c>
      <c r="G121" s="20" t="s">
        <v>2535</v>
      </c>
      <c r="H121" s="36" t="s">
        <v>123</v>
      </c>
      <c r="I121" s="20" t="s">
        <v>123</v>
      </c>
      <c r="J121" s="20" t="s">
        <v>2520</v>
      </c>
      <c r="K121" s="20" t="s">
        <v>123</v>
      </c>
      <c r="L121" s="20" t="s">
        <v>642</v>
      </c>
      <c r="M121" s="20" t="s">
        <v>123</v>
      </c>
      <c r="N121" s="20" t="b">
        <v>1</v>
      </c>
      <c r="O121" s="2" t="b">
        <f>IF(Table1938[[#This Row],[Title]]="",TRUE,FALSE)</f>
        <v>0</v>
      </c>
      <c r="P121" s="2" t="b">
        <f>IF(Table1938[[#This Row],[Author]]="",TRUE,FALSE)</f>
        <v>1</v>
      </c>
      <c r="Q121" s="2" t="b">
        <f>IF(Table1938[[#This Row],[DOI]]&lt;&gt;"", FALSE,TRUE)</f>
        <v>1</v>
      </c>
      <c r="R121" s="2" t="b">
        <f>IF(Table1938[[#This Row],[Abstract]]="",TRUE,FALSE)</f>
        <v>1</v>
      </c>
      <c r="S121" s="2" t="b">
        <f>IF(OR(Table1938[[#This Row],[Document Type]]="book",Table1938[[#This Row],[Document Type]]="bookSection"),TRUE,FALSE)</f>
        <v>0</v>
      </c>
      <c r="T121" s="2" t="b">
        <f>NOT(IF(OR(Table1938[[#This Row],[Language]]&lt;&gt;"en",Table1938[[#This Row],[Language]]&lt;&gt;"EN",Table1938[[#This Row],[Language]]&lt;&gt;"spa",Table1938[[#This Row],[Language]]&lt;&gt;"SPA"),TRUE,FALSE))</f>
        <v>0</v>
      </c>
      <c r="U121" s="2" t="b">
        <f>IF(AND(Table1938[[#This Row],[EC-01]]=FALSE,Table1938[[#This Row],[EC-02]]=FALSE,Table1938[[#This Row],[EC-03]]=FALSE,Table1938[[#This Row],[EC-04]]=FALSE,Table1938[[#This Row],[EC-05]]=FALSE,Table1938[[#This Row],[EC-06]]=FALSE),TRUE,FALSE)</f>
        <v>0</v>
      </c>
      <c r="V121" s="2" t="b">
        <f>IF(Table1938[[#This Row],[Date]]&lt;&gt;"",AND(YEAR(Table1938[[#This Row],[Date]])&gt;=2010, YEAR(Table1938[[#This Row],[Date]])&lt;=2024),FALSE)</f>
        <v>0</v>
      </c>
      <c r="W121" s="2" t="b">
        <f>IF(Table1938[[#This Row],[Date]]&lt;&gt;"",AND(YEAR(Table1938[[#This Row],[Date]])&gt;=2010, YEAR(Table1938[[#This Row],[Date]])&lt;=2020),FALSE)</f>
        <v>0</v>
      </c>
      <c r="X121" s="2" t="b">
        <f>IF(AND(Table1938[[#This Row],[Accesible]]=TRUE,Table1938[[#This Row],[DOI]]&lt;&gt;""),TRUE,FALSE)</f>
        <v>0</v>
      </c>
      <c r="Y121" s="2" t="b">
        <f>OR(Table1938[[#This Row],[Document Type]]="journalArticle",Table1938[[#This Row],[Document Type]]="conferencePaper",Table1938[[#This Row],[Document Type]]="review")</f>
        <v>0</v>
      </c>
      <c r="Z121" s="2" t="b" cm="1">
        <f t="array" ref="Z121">SUMPRODUCT(--ISNUMBER(SEARCH({"dimensional analysis","dimensionless coefficients","Π","Pi","theorem","software","design","tools","development","architecture","similar"}, LOWER(Table1938[[#This Row],[Title]]))))&gt;0</f>
        <v>0</v>
      </c>
      <c r="AA121" s="2" t="b" cm="1">
        <f t="array" ref="AA121">SUMPRODUCT(--ISNUMBER(SEARCH({"dimensional analysis","dimensionless coefficients","Π","Pi","theorem","software","design","tools","development","architecture","similar"}, LOWER(Table1938[[#This Row],[Abstract]]))))&gt;0</f>
        <v>0</v>
      </c>
      <c r="AB121" s="2" t="b">
        <f>AND(OR(Table1938[[#This Row],[IC-01 @2024]:[IC-01 @2020]])=TRUE,Table1938[[#This Row],[IC-02]]=TRUE,Table1938[[#This Row],[IC-03]]=TRUE,Table1938[[#This Row],[IC-04]]=TRUE,Table1938[[#This Row],[IC-05]]=TRUE)</f>
        <v>0</v>
      </c>
      <c r="AC121" s="2" t="b">
        <f>AND(Table1938[[#This Row],[Pass-IC]]=TRUE,Table1938[[#This Row],[Pass-EC]]=TRUE)</f>
        <v>0</v>
      </c>
      <c r="AD121" s="2" t="b">
        <f>COUNTIF($D$25:D121, Table1938[[#This Row],[Title]]) = 1</f>
        <v>1</v>
      </c>
      <c r="AE121" s="2" t="b">
        <f>AND(Table1938[[#This Row],[IC + EC]:[Unique]])</f>
        <v>0</v>
      </c>
      <c r="AF121" s="2" t="b">
        <v>0</v>
      </c>
      <c r="AG121" s="2" t="b">
        <v>0</v>
      </c>
      <c r="AH121" s="2" t="b">
        <v>0</v>
      </c>
      <c r="AI121" s="2" t="b">
        <f>IF(AND(Table1938[[#This Row],[Double Check]]=TRUE,Table1938[[#This Row],[Inspected]]=TRUE,Table1938[[#This Row],[Relevant]]=TRUE),TRUE,FALSE)</f>
        <v>0</v>
      </c>
    </row>
    <row r="122" spans="1:35" ht="43" x14ac:dyDescent="0.5">
      <c r="A122" s="2">
        <v>121</v>
      </c>
      <c r="B122" s="20" t="s">
        <v>2</v>
      </c>
      <c r="C122" s="20" t="s">
        <v>2895</v>
      </c>
      <c r="D122" s="20" t="s">
        <v>2896</v>
      </c>
      <c r="E122" s="20" t="s">
        <v>123</v>
      </c>
      <c r="F122" s="2" t="s">
        <v>123</v>
      </c>
      <c r="G122" s="20" t="s">
        <v>2535</v>
      </c>
      <c r="H122" s="36" t="s">
        <v>123</v>
      </c>
      <c r="I122" s="20" t="s">
        <v>123</v>
      </c>
      <c r="J122" s="20" t="s">
        <v>2520</v>
      </c>
      <c r="K122" s="20" t="s">
        <v>123</v>
      </c>
      <c r="L122" s="20" t="s">
        <v>642</v>
      </c>
      <c r="M122" s="20" t="s">
        <v>123</v>
      </c>
      <c r="N122" s="20" t="b">
        <v>1</v>
      </c>
      <c r="O122" s="2" t="b">
        <f>IF(Table1938[[#This Row],[Title]]="",TRUE,FALSE)</f>
        <v>0</v>
      </c>
      <c r="P122" s="2" t="b">
        <f>IF(Table1938[[#This Row],[Author]]="",TRUE,FALSE)</f>
        <v>1</v>
      </c>
      <c r="Q122" s="2" t="b">
        <f>IF(Table1938[[#This Row],[DOI]]&lt;&gt;"", FALSE,TRUE)</f>
        <v>1</v>
      </c>
      <c r="R122" s="2" t="b">
        <f>IF(Table1938[[#This Row],[Abstract]]="",TRUE,FALSE)</f>
        <v>1</v>
      </c>
      <c r="S122" s="2" t="b">
        <f>IF(OR(Table1938[[#This Row],[Document Type]]="book",Table1938[[#This Row],[Document Type]]="bookSection"),TRUE,FALSE)</f>
        <v>0</v>
      </c>
      <c r="T122" s="2" t="b">
        <f>NOT(IF(OR(Table1938[[#This Row],[Language]]&lt;&gt;"en",Table1938[[#This Row],[Language]]&lt;&gt;"EN",Table1938[[#This Row],[Language]]&lt;&gt;"spa",Table1938[[#This Row],[Language]]&lt;&gt;"SPA"),TRUE,FALSE))</f>
        <v>0</v>
      </c>
      <c r="U122" s="2" t="b">
        <f>IF(AND(Table1938[[#This Row],[EC-01]]=FALSE,Table1938[[#This Row],[EC-02]]=FALSE,Table1938[[#This Row],[EC-03]]=FALSE,Table1938[[#This Row],[EC-04]]=FALSE,Table1938[[#This Row],[EC-05]]=FALSE,Table1938[[#This Row],[EC-06]]=FALSE),TRUE,FALSE)</f>
        <v>0</v>
      </c>
      <c r="V122" s="2" t="b">
        <f>IF(Table1938[[#This Row],[Date]]&lt;&gt;"",AND(YEAR(Table1938[[#This Row],[Date]])&gt;=2010, YEAR(Table1938[[#This Row],[Date]])&lt;=2024),FALSE)</f>
        <v>0</v>
      </c>
      <c r="W122" s="2" t="b">
        <f>IF(Table1938[[#This Row],[Date]]&lt;&gt;"",AND(YEAR(Table1938[[#This Row],[Date]])&gt;=2010, YEAR(Table1938[[#This Row],[Date]])&lt;=2020),FALSE)</f>
        <v>0</v>
      </c>
      <c r="X122" s="2" t="b">
        <f>IF(AND(Table1938[[#This Row],[Accesible]]=TRUE,Table1938[[#This Row],[DOI]]&lt;&gt;""),TRUE,FALSE)</f>
        <v>0</v>
      </c>
      <c r="Y122" s="2" t="b">
        <f>OR(Table1938[[#This Row],[Document Type]]="journalArticle",Table1938[[#This Row],[Document Type]]="conferencePaper",Table1938[[#This Row],[Document Type]]="review")</f>
        <v>0</v>
      </c>
      <c r="Z122" s="2" t="b" cm="1">
        <f t="array" ref="Z122">SUMPRODUCT(--ISNUMBER(SEARCH({"dimensional analysis","dimensionless coefficients","Π","Pi","theorem","software","design","tools","development","architecture","similar"}, LOWER(Table1938[[#This Row],[Title]]))))&gt;0</f>
        <v>0</v>
      </c>
      <c r="AA122" s="2" t="b" cm="1">
        <f t="array" ref="AA122">SUMPRODUCT(--ISNUMBER(SEARCH({"dimensional analysis","dimensionless coefficients","Π","Pi","theorem","software","design","tools","development","architecture","similar"}, LOWER(Table1938[[#This Row],[Abstract]]))))&gt;0</f>
        <v>0</v>
      </c>
      <c r="AB122" s="2" t="b">
        <f>AND(OR(Table1938[[#This Row],[IC-01 @2024]:[IC-01 @2020]])=TRUE,Table1938[[#This Row],[IC-02]]=TRUE,Table1938[[#This Row],[IC-03]]=TRUE,Table1938[[#This Row],[IC-04]]=TRUE,Table1938[[#This Row],[IC-05]]=TRUE)</f>
        <v>0</v>
      </c>
      <c r="AC122" s="2" t="b">
        <f>AND(Table1938[[#This Row],[Pass-IC]]=TRUE,Table1938[[#This Row],[Pass-EC]]=TRUE)</f>
        <v>0</v>
      </c>
      <c r="AD122" s="2" t="b">
        <f>COUNTIF($D$25:D122, Table1938[[#This Row],[Title]]) = 1</f>
        <v>1</v>
      </c>
      <c r="AE122" s="2" t="b">
        <f>AND(Table1938[[#This Row],[IC + EC]:[Unique]])</f>
        <v>0</v>
      </c>
      <c r="AF122" s="2" t="b">
        <v>0</v>
      </c>
      <c r="AG122" s="2" t="b">
        <v>0</v>
      </c>
      <c r="AH122" s="2" t="b">
        <v>0</v>
      </c>
      <c r="AI122" s="2" t="b">
        <f>IF(AND(Table1938[[#This Row],[Double Check]]=TRUE,Table1938[[#This Row],[Inspected]]=TRUE,Table1938[[#This Row],[Relevant]]=TRUE),TRUE,FALSE)</f>
        <v>0</v>
      </c>
    </row>
    <row r="123" spans="1:35" ht="57.35" x14ac:dyDescent="0.5">
      <c r="A123" s="2">
        <v>122</v>
      </c>
      <c r="B123" s="20" t="s">
        <v>2</v>
      </c>
      <c r="C123" s="20" t="s">
        <v>2897</v>
      </c>
      <c r="D123" s="20" t="s">
        <v>2898</v>
      </c>
      <c r="E123" s="20" t="s">
        <v>2899</v>
      </c>
      <c r="F123" s="2" t="s">
        <v>123</v>
      </c>
      <c r="G123" s="20" t="s">
        <v>2544</v>
      </c>
      <c r="H123" s="36">
        <v>45323</v>
      </c>
      <c r="I123" s="20">
        <v>2024</v>
      </c>
      <c r="J123" s="20" t="s">
        <v>61</v>
      </c>
      <c r="K123" s="20" t="s">
        <v>2900</v>
      </c>
      <c r="L123" s="20" t="s">
        <v>2515</v>
      </c>
      <c r="M123" s="20" t="s">
        <v>2901</v>
      </c>
      <c r="N123" s="20" t="b">
        <v>0</v>
      </c>
      <c r="O123" s="2" t="b">
        <f>IF(Table1938[[#This Row],[Title]]="",TRUE,FALSE)</f>
        <v>0</v>
      </c>
      <c r="P123" s="2" t="b">
        <f>IF(Table1938[[#This Row],[Author]]="",TRUE,FALSE)</f>
        <v>0</v>
      </c>
      <c r="Q123" s="2" t="b">
        <f>IF(Table1938[[#This Row],[DOI]]&lt;&gt;"", FALSE,TRUE)</f>
        <v>0</v>
      </c>
      <c r="R123" s="2" t="b">
        <f>IF(Table1938[[#This Row],[Abstract]]="",TRUE,FALSE)</f>
        <v>1</v>
      </c>
      <c r="S123" s="2" t="b">
        <f>IF(OR(Table1938[[#This Row],[Document Type]]="book",Table1938[[#This Row],[Document Type]]="bookSection"),TRUE,FALSE)</f>
        <v>0</v>
      </c>
      <c r="T123" s="2" t="b">
        <f>NOT(IF(OR(Table1938[[#This Row],[Language]]&lt;&gt;"en",Table1938[[#This Row],[Language]]&lt;&gt;"EN",Table1938[[#This Row],[Language]]&lt;&gt;"spa",Table1938[[#This Row],[Language]]&lt;&gt;"SPA"),TRUE,FALSE))</f>
        <v>0</v>
      </c>
      <c r="U123" s="2" t="b">
        <f>IF(AND(Table1938[[#This Row],[EC-01]]=FALSE,Table1938[[#This Row],[EC-02]]=FALSE,Table1938[[#This Row],[EC-03]]=FALSE,Table1938[[#This Row],[EC-04]]=FALSE,Table1938[[#This Row],[EC-05]]=FALSE,Table1938[[#This Row],[EC-06]]=FALSE),TRUE,FALSE)</f>
        <v>0</v>
      </c>
      <c r="V123" s="2" t="b">
        <f>IF(Table1938[[#This Row],[Date]]&lt;&gt;"",AND(YEAR(Table1938[[#This Row],[Date]])&gt;=2010, YEAR(Table1938[[#This Row],[Date]])&lt;=2024),FALSE)</f>
        <v>1</v>
      </c>
      <c r="W123" s="2" t="b">
        <f>IF(Table1938[[#This Row],[Date]]&lt;&gt;"",AND(YEAR(Table1938[[#This Row],[Date]])&gt;=2010, YEAR(Table1938[[#This Row],[Date]])&lt;=2020),FALSE)</f>
        <v>0</v>
      </c>
      <c r="X123" s="2" t="b">
        <f>IF(AND(Table1938[[#This Row],[Accesible]]=TRUE,Table1938[[#This Row],[DOI]]&lt;&gt;""),TRUE,FALSE)</f>
        <v>0</v>
      </c>
      <c r="Y123" s="2" t="b">
        <f>OR(Table1938[[#This Row],[Document Type]]="journalArticle",Table1938[[#This Row],[Document Type]]="conferencePaper",Table1938[[#This Row],[Document Type]]="review")</f>
        <v>1</v>
      </c>
      <c r="Z123" s="2" t="b" cm="1">
        <f t="array" ref="Z123">SUMPRODUCT(--ISNUMBER(SEARCH({"dimensional analysis","dimensionless coefficients","Π","Pi","theorem","software","design","tools","development","architecture","similar"}, LOWER(Table1938[[#This Row],[Title]]))))&gt;0</f>
        <v>0</v>
      </c>
      <c r="AA123" s="2" t="b" cm="1">
        <f t="array" ref="AA123">SUMPRODUCT(--ISNUMBER(SEARCH({"dimensional analysis","dimensionless coefficients","Π","Pi","theorem","software","design","tools","development","architecture","similar"}, LOWER(Table1938[[#This Row],[Abstract]]))))&gt;0</f>
        <v>0</v>
      </c>
      <c r="AB123" s="2" t="b">
        <f>AND(OR(Table1938[[#This Row],[IC-01 @2024]:[IC-01 @2020]])=TRUE,Table1938[[#This Row],[IC-02]]=TRUE,Table1938[[#This Row],[IC-03]]=TRUE,Table1938[[#This Row],[IC-04]]=TRUE,Table1938[[#This Row],[IC-05]]=TRUE)</f>
        <v>0</v>
      </c>
      <c r="AC123" s="2" t="b">
        <f>AND(Table1938[[#This Row],[Pass-IC]]=TRUE,Table1938[[#This Row],[Pass-EC]]=TRUE)</f>
        <v>0</v>
      </c>
      <c r="AD123" s="2" t="b">
        <f>COUNTIF($D$25:D123, Table1938[[#This Row],[Title]]) = 1</f>
        <v>1</v>
      </c>
      <c r="AE123" s="2" t="b">
        <f>AND(Table1938[[#This Row],[IC + EC]:[Unique]])</f>
        <v>0</v>
      </c>
      <c r="AF123" s="2" t="b">
        <v>0</v>
      </c>
      <c r="AG123" s="2" t="b">
        <v>0</v>
      </c>
      <c r="AH123" s="2" t="b">
        <v>0</v>
      </c>
      <c r="AI123" s="2" t="b">
        <f>IF(AND(Table1938[[#This Row],[Double Check]]=TRUE,Table1938[[#This Row],[Inspected]]=TRUE,Table1938[[#This Row],[Relevant]]=TRUE),TRUE,FALSE)</f>
        <v>0</v>
      </c>
    </row>
    <row r="124" spans="1:35" ht="43" x14ac:dyDescent="0.5">
      <c r="A124" s="2">
        <v>123</v>
      </c>
      <c r="B124" s="20" t="s">
        <v>2</v>
      </c>
      <c r="C124" s="20" t="s">
        <v>2902</v>
      </c>
      <c r="D124" s="20" t="s">
        <v>2903</v>
      </c>
      <c r="E124" s="20" t="s">
        <v>2904</v>
      </c>
      <c r="F124" s="2" t="s">
        <v>2905</v>
      </c>
      <c r="G124" s="20" t="s">
        <v>2906</v>
      </c>
      <c r="H124" s="36">
        <v>40909</v>
      </c>
      <c r="I124" s="20">
        <v>2012</v>
      </c>
      <c r="J124" s="20" t="s">
        <v>61</v>
      </c>
      <c r="K124" s="20" t="s">
        <v>2907</v>
      </c>
      <c r="L124" s="20" t="s">
        <v>2515</v>
      </c>
      <c r="M124" s="20" t="s">
        <v>2908</v>
      </c>
      <c r="N124" s="20" t="b">
        <v>1</v>
      </c>
      <c r="O124" s="2" t="b">
        <f>IF(Table1938[[#This Row],[Title]]="",TRUE,FALSE)</f>
        <v>0</v>
      </c>
      <c r="P124" s="2" t="b">
        <f>IF(Table1938[[#This Row],[Author]]="",TRUE,FALSE)</f>
        <v>0</v>
      </c>
      <c r="Q124" s="2" t="b">
        <f>IF(Table1938[[#This Row],[DOI]]&lt;&gt;"", FALSE,TRUE)</f>
        <v>0</v>
      </c>
      <c r="R124" s="2" t="b">
        <f>IF(Table1938[[#This Row],[Abstract]]="",TRUE,FALSE)</f>
        <v>0</v>
      </c>
      <c r="S124" s="2" t="b">
        <f>IF(OR(Table1938[[#This Row],[Document Type]]="book",Table1938[[#This Row],[Document Type]]="bookSection"),TRUE,FALSE)</f>
        <v>0</v>
      </c>
      <c r="T124" s="2" t="b">
        <f>NOT(IF(OR(Table1938[[#This Row],[Language]]&lt;&gt;"en",Table1938[[#This Row],[Language]]&lt;&gt;"EN",Table1938[[#This Row],[Language]]&lt;&gt;"spa",Table1938[[#This Row],[Language]]&lt;&gt;"SPA"),TRUE,FALSE))</f>
        <v>0</v>
      </c>
      <c r="U124" s="2" t="b">
        <f>IF(AND(Table1938[[#This Row],[EC-01]]=FALSE,Table1938[[#This Row],[EC-02]]=FALSE,Table1938[[#This Row],[EC-03]]=FALSE,Table1938[[#This Row],[EC-04]]=FALSE,Table1938[[#This Row],[EC-05]]=FALSE,Table1938[[#This Row],[EC-06]]=FALSE),TRUE,FALSE)</f>
        <v>1</v>
      </c>
      <c r="V124" s="2" t="b">
        <f>IF(Table1938[[#This Row],[Date]]&lt;&gt;"",AND(YEAR(Table1938[[#This Row],[Date]])&gt;=2010, YEAR(Table1938[[#This Row],[Date]])&lt;=2024),FALSE)</f>
        <v>1</v>
      </c>
      <c r="W124" s="2" t="b">
        <f>IF(Table1938[[#This Row],[Date]]&lt;&gt;"",AND(YEAR(Table1938[[#This Row],[Date]])&gt;=2010, YEAR(Table1938[[#This Row],[Date]])&lt;=2020),FALSE)</f>
        <v>1</v>
      </c>
      <c r="X124" s="2" t="b">
        <f>IF(AND(Table1938[[#This Row],[Accesible]]=TRUE,Table1938[[#This Row],[DOI]]&lt;&gt;""),TRUE,FALSE)</f>
        <v>1</v>
      </c>
      <c r="Y124" s="2" t="b">
        <f>OR(Table1938[[#This Row],[Document Type]]="journalArticle",Table1938[[#This Row],[Document Type]]="conferencePaper",Table1938[[#This Row],[Document Type]]="review")</f>
        <v>1</v>
      </c>
      <c r="Z124" s="2" t="b" cm="1">
        <f t="array" ref="Z124">SUMPRODUCT(--ISNUMBER(SEARCH({"dimensional analysis","dimensionless coefficients","Π","Pi","theorem","software","design","tools","development","architecture","similar"}, LOWER(Table1938[[#This Row],[Title]]))))&gt;0</f>
        <v>0</v>
      </c>
      <c r="AA124" s="2" t="b" cm="1">
        <f t="array" ref="AA124">SUMPRODUCT(--ISNUMBER(SEARCH({"dimensional analysis","dimensionless coefficients","Π","Pi","theorem","software","design","tools","development","architecture","similar"}, LOWER(Table1938[[#This Row],[Abstract]]))))&gt;0</f>
        <v>1</v>
      </c>
      <c r="AB124" s="2" t="b">
        <f>AND(OR(Table1938[[#This Row],[IC-01 @2024]:[IC-01 @2020]])=TRUE,Table1938[[#This Row],[IC-02]]=TRUE,Table1938[[#This Row],[IC-03]]=TRUE,Table1938[[#This Row],[IC-04]]=TRUE,Table1938[[#This Row],[IC-05]]=TRUE)</f>
        <v>0</v>
      </c>
      <c r="AC124" s="2" t="b">
        <f>AND(Table1938[[#This Row],[Pass-IC]]=TRUE,Table1938[[#This Row],[Pass-EC]]=TRUE)</f>
        <v>0</v>
      </c>
      <c r="AD124" s="2" t="b">
        <f>COUNTIF($D$25:D124, Table1938[[#This Row],[Title]]) = 1</f>
        <v>1</v>
      </c>
      <c r="AE124" s="2" t="b">
        <f>AND(Table1938[[#This Row],[IC + EC]:[Unique]])</f>
        <v>0</v>
      </c>
      <c r="AF124" s="2" t="b">
        <v>0</v>
      </c>
      <c r="AG124" s="2" t="b">
        <v>0</v>
      </c>
      <c r="AH124" s="2" t="b">
        <v>0</v>
      </c>
      <c r="AI124" s="2" t="b">
        <f>IF(AND(Table1938[[#This Row],[Double Check]]=TRUE,Table1938[[#This Row],[Inspected]]=TRUE,Table1938[[#This Row],[Relevant]]=TRUE),TRUE,FALSE)</f>
        <v>0</v>
      </c>
    </row>
    <row r="125" spans="1:35" ht="57.35" x14ac:dyDescent="0.5">
      <c r="A125" s="2">
        <v>124</v>
      </c>
      <c r="B125" s="20" t="s">
        <v>2</v>
      </c>
      <c r="C125" s="20" t="s">
        <v>2909</v>
      </c>
      <c r="D125" s="20" t="s">
        <v>2910</v>
      </c>
      <c r="E125" s="20" t="s">
        <v>123</v>
      </c>
      <c r="F125" s="2" t="s">
        <v>123</v>
      </c>
      <c r="G125" s="20" t="s">
        <v>2535</v>
      </c>
      <c r="H125" s="36" t="s">
        <v>123</v>
      </c>
      <c r="I125" s="20" t="s">
        <v>123</v>
      </c>
      <c r="J125" s="20" t="s">
        <v>2520</v>
      </c>
      <c r="K125" s="20" t="s">
        <v>123</v>
      </c>
      <c r="L125" s="20" t="s">
        <v>642</v>
      </c>
      <c r="M125" s="20" t="s">
        <v>123</v>
      </c>
      <c r="N125" s="20" t="b">
        <v>1</v>
      </c>
      <c r="O125" s="2" t="b">
        <f>IF(Table1938[[#This Row],[Title]]="",TRUE,FALSE)</f>
        <v>0</v>
      </c>
      <c r="P125" s="2" t="b">
        <f>IF(Table1938[[#This Row],[Author]]="",TRUE,FALSE)</f>
        <v>1</v>
      </c>
      <c r="Q125" s="2" t="b">
        <f>IF(Table1938[[#This Row],[DOI]]&lt;&gt;"", FALSE,TRUE)</f>
        <v>1</v>
      </c>
      <c r="R125" s="2" t="b">
        <f>IF(Table1938[[#This Row],[Abstract]]="",TRUE,FALSE)</f>
        <v>1</v>
      </c>
      <c r="S125" s="2" t="b">
        <f>IF(OR(Table1938[[#This Row],[Document Type]]="book",Table1938[[#This Row],[Document Type]]="bookSection"),TRUE,FALSE)</f>
        <v>0</v>
      </c>
      <c r="T125" s="2" t="b">
        <f>NOT(IF(OR(Table1938[[#This Row],[Language]]&lt;&gt;"en",Table1938[[#This Row],[Language]]&lt;&gt;"EN",Table1938[[#This Row],[Language]]&lt;&gt;"spa",Table1938[[#This Row],[Language]]&lt;&gt;"SPA"),TRUE,FALSE))</f>
        <v>0</v>
      </c>
      <c r="U125" s="2" t="b">
        <f>IF(AND(Table1938[[#This Row],[EC-01]]=FALSE,Table1938[[#This Row],[EC-02]]=FALSE,Table1938[[#This Row],[EC-03]]=FALSE,Table1938[[#This Row],[EC-04]]=FALSE,Table1938[[#This Row],[EC-05]]=FALSE,Table1938[[#This Row],[EC-06]]=FALSE),TRUE,FALSE)</f>
        <v>0</v>
      </c>
      <c r="V125" s="2" t="b">
        <f>IF(Table1938[[#This Row],[Date]]&lt;&gt;"",AND(YEAR(Table1938[[#This Row],[Date]])&gt;=2010, YEAR(Table1938[[#This Row],[Date]])&lt;=2024),FALSE)</f>
        <v>0</v>
      </c>
      <c r="W125" s="2" t="b">
        <f>IF(Table1938[[#This Row],[Date]]&lt;&gt;"",AND(YEAR(Table1938[[#This Row],[Date]])&gt;=2010, YEAR(Table1938[[#This Row],[Date]])&lt;=2020),FALSE)</f>
        <v>0</v>
      </c>
      <c r="X125" s="2" t="b">
        <f>IF(AND(Table1938[[#This Row],[Accesible]]=TRUE,Table1938[[#This Row],[DOI]]&lt;&gt;""),TRUE,FALSE)</f>
        <v>0</v>
      </c>
      <c r="Y125" s="2" t="b">
        <f>OR(Table1938[[#This Row],[Document Type]]="journalArticle",Table1938[[#This Row],[Document Type]]="conferencePaper",Table1938[[#This Row],[Document Type]]="review")</f>
        <v>0</v>
      </c>
      <c r="Z125" s="2" t="b" cm="1">
        <f t="array" ref="Z125">SUMPRODUCT(--ISNUMBER(SEARCH({"dimensional analysis","dimensionless coefficients","Π","Pi","theorem","software","design","tools","development","architecture","similar"}, LOWER(Table1938[[#This Row],[Title]]))))&gt;0</f>
        <v>0</v>
      </c>
      <c r="AA125" s="2" t="b" cm="1">
        <f t="array" ref="AA125">SUMPRODUCT(--ISNUMBER(SEARCH({"dimensional analysis","dimensionless coefficients","Π","Pi","theorem","software","design","tools","development","architecture","similar"}, LOWER(Table1938[[#This Row],[Abstract]]))))&gt;0</f>
        <v>0</v>
      </c>
      <c r="AB125" s="2" t="b">
        <f>AND(OR(Table1938[[#This Row],[IC-01 @2024]:[IC-01 @2020]])=TRUE,Table1938[[#This Row],[IC-02]]=TRUE,Table1938[[#This Row],[IC-03]]=TRUE,Table1938[[#This Row],[IC-04]]=TRUE,Table1938[[#This Row],[IC-05]]=TRUE)</f>
        <v>0</v>
      </c>
      <c r="AC125" s="2" t="b">
        <f>AND(Table1938[[#This Row],[Pass-IC]]=TRUE,Table1938[[#This Row],[Pass-EC]]=TRUE)</f>
        <v>0</v>
      </c>
      <c r="AD125" s="2" t="b">
        <f>COUNTIF($D$25:D125, Table1938[[#This Row],[Title]]) = 1</f>
        <v>1</v>
      </c>
      <c r="AE125" s="2" t="b">
        <f>AND(Table1938[[#This Row],[IC + EC]:[Unique]])</f>
        <v>0</v>
      </c>
      <c r="AF125" s="2" t="b">
        <v>0</v>
      </c>
      <c r="AG125" s="2" t="b">
        <v>0</v>
      </c>
      <c r="AH125" s="2" t="b">
        <v>0</v>
      </c>
      <c r="AI125" s="2" t="b">
        <f>IF(AND(Table1938[[#This Row],[Double Check]]=TRUE,Table1938[[#This Row],[Inspected]]=TRUE,Table1938[[#This Row],[Relevant]]=TRUE),TRUE,FALSE)</f>
        <v>0</v>
      </c>
    </row>
    <row r="126" spans="1:35" ht="28.7" x14ac:dyDescent="0.5">
      <c r="A126" s="2">
        <v>125</v>
      </c>
      <c r="B126" s="20" t="s">
        <v>2</v>
      </c>
      <c r="C126" s="20" t="s">
        <v>2911</v>
      </c>
      <c r="D126" s="20" t="s">
        <v>2912</v>
      </c>
      <c r="E126" s="20" t="s">
        <v>123</v>
      </c>
      <c r="F126" s="2" t="s">
        <v>123</v>
      </c>
      <c r="G126" s="20" t="s">
        <v>2519</v>
      </c>
      <c r="H126" s="36" t="s">
        <v>123</v>
      </c>
      <c r="I126" s="20" t="s">
        <v>123</v>
      </c>
      <c r="J126" s="20" t="s">
        <v>2520</v>
      </c>
      <c r="K126" s="20" t="s">
        <v>123</v>
      </c>
      <c r="L126" s="20" t="s">
        <v>642</v>
      </c>
      <c r="M126" s="20" t="s">
        <v>123</v>
      </c>
      <c r="N126" s="20" t="b">
        <v>1</v>
      </c>
      <c r="O126" s="2" t="b">
        <f>IF(Table1938[[#This Row],[Title]]="",TRUE,FALSE)</f>
        <v>0</v>
      </c>
      <c r="P126" s="2" t="b">
        <f>IF(Table1938[[#This Row],[Author]]="",TRUE,FALSE)</f>
        <v>1</v>
      </c>
      <c r="Q126" s="2" t="b">
        <f>IF(Table1938[[#This Row],[DOI]]&lt;&gt;"", FALSE,TRUE)</f>
        <v>1</v>
      </c>
      <c r="R126" s="2" t="b">
        <f>IF(Table1938[[#This Row],[Abstract]]="",TRUE,FALSE)</f>
        <v>1</v>
      </c>
      <c r="S126" s="2" t="b">
        <f>IF(OR(Table1938[[#This Row],[Document Type]]="book",Table1938[[#This Row],[Document Type]]="bookSection"),TRUE,FALSE)</f>
        <v>0</v>
      </c>
      <c r="T126" s="2" t="b">
        <f>NOT(IF(OR(Table1938[[#This Row],[Language]]&lt;&gt;"en",Table1938[[#This Row],[Language]]&lt;&gt;"EN",Table1938[[#This Row],[Language]]&lt;&gt;"spa",Table1938[[#This Row],[Language]]&lt;&gt;"SPA"),TRUE,FALSE))</f>
        <v>0</v>
      </c>
      <c r="U126" s="2" t="b">
        <f>IF(AND(Table1938[[#This Row],[EC-01]]=FALSE,Table1938[[#This Row],[EC-02]]=FALSE,Table1938[[#This Row],[EC-03]]=FALSE,Table1938[[#This Row],[EC-04]]=FALSE,Table1938[[#This Row],[EC-05]]=FALSE,Table1938[[#This Row],[EC-06]]=FALSE),TRUE,FALSE)</f>
        <v>0</v>
      </c>
      <c r="V126" s="2" t="b">
        <f>IF(Table1938[[#This Row],[Date]]&lt;&gt;"",AND(YEAR(Table1938[[#This Row],[Date]])&gt;=2010, YEAR(Table1938[[#This Row],[Date]])&lt;=2024),FALSE)</f>
        <v>0</v>
      </c>
      <c r="W126" s="2" t="b">
        <f>IF(Table1938[[#This Row],[Date]]&lt;&gt;"",AND(YEAR(Table1938[[#This Row],[Date]])&gt;=2010, YEAR(Table1938[[#This Row],[Date]])&lt;=2020),FALSE)</f>
        <v>0</v>
      </c>
      <c r="X126" s="2" t="b">
        <f>IF(AND(Table1938[[#This Row],[Accesible]]=TRUE,Table1938[[#This Row],[DOI]]&lt;&gt;""),TRUE,FALSE)</f>
        <v>0</v>
      </c>
      <c r="Y126" s="2" t="b">
        <f>OR(Table1938[[#This Row],[Document Type]]="journalArticle",Table1938[[#This Row],[Document Type]]="conferencePaper",Table1938[[#This Row],[Document Type]]="review")</f>
        <v>0</v>
      </c>
      <c r="Z126" s="2" t="b" cm="1">
        <f t="array" ref="Z126">SUMPRODUCT(--ISNUMBER(SEARCH({"dimensional analysis","dimensionless coefficients","Π","Pi","theorem","software","design","tools","development","architecture","similar"}, LOWER(Table1938[[#This Row],[Title]]))))&gt;0</f>
        <v>0</v>
      </c>
      <c r="AA126" s="2" t="b" cm="1">
        <f t="array" ref="AA126">SUMPRODUCT(--ISNUMBER(SEARCH({"dimensional analysis","dimensionless coefficients","Π","Pi","theorem","software","design","tools","development","architecture","similar"}, LOWER(Table1938[[#This Row],[Abstract]]))))&gt;0</f>
        <v>0</v>
      </c>
      <c r="AB126" s="2" t="b">
        <f>AND(OR(Table1938[[#This Row],[IC-01 @2024]:[IC-01 @2020]])=TRUE,Table1938[[#This Row],[IC-02]]=TRUE,Table1938[[#This Row],[IC-03]]=TRUE,Table1938[[#This Row],[IC-04]]=TRUE,Table1938[[#This Row],[IC-05]]=TRUE)</f>
        <v>0</v>
      </c>
      <c r="AC126" s="2" t="b">
        <f>AND(Table1938[[#This Row],[Pass-IC]]=TRUE,Table1938[[#This Row],[Pass-EC]]=TRUE)</f>
        <v>0</v>
      </c>
      <c r="AD126" s="2" t="b">
        <f>COUNTIF($D$25:D126, Table1938[[#This Row],[Title]]) = 1</f>
        <v>1</v>
      </c>
      <c r="AE126" s="2" t="b">
        <f>AND(Table1938[[#This Row],[IC + EC]:[Unique]])</f>
        <v>0</v>
      </c>
      <c r="AF126" s="2" t="b">
        <v>0</v>
      </c>
      <c r="AG126" s="2" t="b">
        <v>0</v>
      </c>
      <c r="AH126" s="2" t="b">
        <v>0</v>
      </c>
      <c r="AI126" s="2" t="b">
        <f>IF(AND(Table1938[[#This Row],[Double Check]]=TRUE,Table1938[[#This Row],[Inspected]]=TRUE,Table1938[[#This Row],[Relevant]]=TRUE),TRUE,FALSE)</f>
        <v>0</v>
      </c>
    </row>
    <row r="127" spans="1:35" ht="57.35" x14ac:dyDescent="0.5">
      <c r="A127" s="2">
        <v>126</v>
      </c>
      <c r="B127" s="20" t="s">
        <v>2</v>
      </c>
      <c r="C127" s="20" t="s">
        <v>2913</v>
      </c>
      <c r="D127" s="20" t="s">
        <v>2914</v>
      </c>
      <c r="E127" s="20" t="s">
        <v>123</v>
      </c>
      <c r="F127" s="2" t="s">
        <v>123</v>
      </c>
      <c r="G127" s="20" t="s">
        <v>2519</v>
      </c>
      <c r="H127" s="36" t="s">
        <v>123</v>
      </c>
      <c r="I127" s="20" t="s">
        <v>123</v>
      </c>
      <c r="J127" s="20" t="s">
        <v>2520</v>
      </c>
      <c r="K127" s="20" t="s">
        <v>123</v>
      </c>
      <c r="L127" s="20" t="s">
        <v>642</v>
      </c>
      <c r="M127" s="20" t="s">
        <v>123</v>
      </c>
      <c r="N127" s="20" t="b">
        <v>1</v>
      </c>
      <c r="O127" s="2" t="b">
        <f>IF(Table1938[[#This Row],[Title]]="",TRUE,FALSE)</f>
        <v>0</v>
      </c>
      <c r="P127" s="2" t="b">
        <f>IF(Table1938[[#This Row],[Author]]="",TRUE,FALSE)</f>
        <v>1</v>
      </c>
      <c r="Q127" s="2" t="b">
        <f>IF(Table1938[[#This Row],[DOI]]&lt;&gt;"", FALSE,TRUE)</f>
        <v>1</v>
      </c>
      <c r="R127" s="2" t="b">
        <f>IF(Table1938[[#This Row],[Abstract]]="",TRUE,FALSE)</f>
        <v>1</v>
      </c>
      <c r="S127" s="2" t="b">
        <f>IF(OR(Table1938[[#This Row],[Document Type]]="book",Table1938[[#This Row],[Document Type]]="bookSection"),TRUE,FALSE)</f>
        <v>0</v>
      </c>
      <c r="T127" s="2" t="b">
        <f>NOT(IF(OR(Table1938[[#This Row],[Language]]&lt;&gt;"en",Table1938[[#This Row],[Language]]&lt;&gt;"EN",Table1938[[#This Row],[Language]]&lt;&gt;"spa",Table1938[[#This Row],[Language]]&lt;&gt;"SPA"),TRUE,FALSE))</f>
        <v>0</v>
      </c>
      <c r="U127" s="2" t="b">
        <f>IF(AND(Table1938[[#This Row],[EC-01]]=FALSE,Table1938[[#This Row],[EC-02]]=FALSE,Table1938[[#This Row],[EC-03]]=FALSE,Table1938[[#This Row],[EC-04]]=FALSE,Table1938[[#This Row],[EC-05]]=FALSE,Table1938[[#This Row],[EC-06]]=FALSE),TRUE,FALSE)</f>
        <v>0</v>
      </c>
      <c r="V127" s="2" t="b">
        <f>IF(Table1938[[#This Row],[Date]]&lt;&gt;"",AND(YEAR(Table1938[[#This Row],[Date]])&gt;=2010, YEAR(Table1938[[#This Row],[Date]])&lt;=2024),FALSE)</f>
        <v>0</v>
      </c>
      <c r="W127" s="2" t="b">
        <f>IF(Table1938[[#This Row],[Date]]&lt;&gt;"",AND(YEAR(Table1938[[#This Row],[Date]])&gt;=2010, YEAR(Table1938[[#This Row],[Date]])&lt;=2020),FALSE)</f>
        <v>0</v>
      </c>
      <c r="X127" s="2" t="b">
        <f>IF(AND(Table1938[[#This Row],[Accesible]]=TRUE,Table1938[[#This Row],[DOI]]&lt;&gt;""),TRUE,FALSE)</f>
        <v>0</v>
      </c>
      <c r="Y127" s="2" t="b">
        <f>OR(Table1938[[#This Row],[Document Type]]="journalArticle",Table1938[[#This Row],[Document Type]]="conferencePaper",Table1938[[#This Row],[Document Type]]="review")</f>
        <v>0</v>
      </c>
      <c r="Z127" s="2" t="b" cm="1">
        <f t="array" ref="Z127">SUMPRODUCT(--ISNUMBER(SEARCH({"dimensional analysis","dimensionless coefficients","Π","Pi","theorem","software","design","tools","development","architecture","similar"}, LOWER(Table1938[[#This Row],[Title]]))))&gt;0</f>
        <v>0</v>
      </c>
      <c r="AA127" s="2" t="b" cm="1">
        <f t="array" ref="AA127">SUMPRODUCT(--ISNUMBER(SEARCH({"dimensional analysis","dimensionless coefficients","Π","Pi","theorem","software","design","tools","development","architecture","similar"}, LOWER(Table1938[[#This Row],[Abstract]]))))&gt;0</f>
        <v>0</v>
      </c>
      <c r="AB127" s="2" t="b">
        <f>AND(OR(Table1938[[#This Row],[IC-01 @2024]:[IC-01 @2020]])=TRUE,Table1938[[#This Row],[IC-02]]=TRUE,Table1938[[#This Row],[IC-03]]=TRUE,Table1938[[#This Row],[IC-04]]=TRUE,Table1938[[#This Row],[IC-05]]=TRUE)</f>
        <v>0</v>
      </c>
      <c r="AC127" s="2" t="b">
        <f>AND(Table1938[[#This Row],[Pass-IC]]=TRUE,Table1938[[#This Row],[Pass-EC]]=TRUE)</f>
        <v>0</v>
      </c>
      <c r="AD127" s="2" t="b">
        <f>COUNTIF($D$25:D127, Table1938[[#This Row],[Title]]) = 1</f>
        <v>1</v>
      </c>
      <c r="AE127" s="2" t="b">
        <f>AND(Table1938[[#This Row],[IC + EC]:[Unique]])</f>
        <v>0</v>
      </c>
      <c r="AF127" s="2" t="b">
        <v>0</v>
      </c>
      <c r="AG127" s="2" t="b">
        <v>0</v>
      </c>
      <c r="AH127" s="2" t="b">
        <v>0</v>
      </c>
      <c r="AI127" s="2" t="b">
        <f>IF(AND(Table1938[[#This Row],[Double Check]]=TRUE,Table1938[[#This Row],[Inspected]]=TRUE,Table1938[[#This Row],[Relevant]]=TRUE),TRUE,FALSE)</f>
        <v>0</v>
      </c>
    </row>
    <row r="128" spans="1:35" ht="57.35" x14ac:dyDescent="0.5">
      <c r="A128" s="2">
        <v>127</v>
      </c>
      <c r="B128" s="20" t="s">
        <v>2</v>
      </c>
      <c r="C128" s="20" t="s">
        <v>2915</v>
      </c>
      <c r="D128" s="20" t="s">
        <v>324</v>
      </c>
      <c r="E128" s="20" t="s">
        <v>351</v>
      </c>
      <c r="F128" s="2" t="s">
        <v>374</v>
      </c>
      <c r="G128" s="20" t="s">
        <v>2916</v>
      </c>
      <c r="H128" s="36">
        <v>40269</v>
      </c>
      <c r="I128" s="20">
        <v>2010</v>
      </c>
      <c r="J128" s="20" t="s">
        <v>61</v>
      </c>
      <c r="K128" s="20" t="s">
        <v>2917</v>
      </c>
      <c r="L128" s="20" t="s">
        <v>2515</v>
      </c>
      <c r="M128" s="20" t="s">
        <v>399</v>
      </c>
      <c r="N128" s="20" t="b">
        <v>0</v>
      </c>
      <c r="O128" s="2" t="b">
        <f>IF(Table1938[[#This Row],[Title]]="",TRUE,FALSE)</f>
        <v>0</v>
      </c>
      <c r="P128" s="2" t="b">
        <f>IF(Table1938[[#This Row],[Author]]="",TRUE,FALSE)</f>
        <v>0</v>
      </c>
      <c r="Q128" s="2" t="b">
        <f>IF(Table1938[[#This Row],[DOI]]&lt;&gt;"", FALSE,TRUE)</f>
        <v>0</v>
      </c>
      <c r="R128" s="2" t="b">
        <f>IF(Table1938[[#This Row],[Abstract]]="",TRUE,FALSE)</f>
        <v>0</v>
      </c>
      <c r="S128" s="2" t="b">
        <f>IF(OR(Table1938[[#This Row],[Document Type]]="book",Table1938[[#This Row],[Document Type]]="bookSection"),TRUE,FALSE)</f>
        <v>0</v>
      </c>
      <c r="T128" s="2" t="b">
        <f>NOT(IF(OR(Table1938[[#This Row],[Language]]&lt;&gt;"en",Table1938[[#This Row],[Language]]&lt;&gt;"EN",Table1938[[#This Row],[Language]]&lt;&gt;"spa",Table1938[[#This Row],[Language]]&lt;&gt;"SPA"),TRUE,FALSE))</f>
        <v>0</v>
      </c>
      <c r="U128" s="2" t="b">
        <f>IF(AND(Table1938[[#This Row],[EC-01]]=FALSE,Table1938[[#This Row],[EC-02]]=FALSE,Table1938[[#This Row],[EC-03]]=FALSE,Table1938[[#This Row],[EC-04]]=FALSE,Table1938[[#This Row],[EC-05]]=FALSE,Table1938[[#This Row],[EC-06]]=FALSE),TRUE,FALSE)</f>
        <v>1</v>
      </c>
      <c r="V128" s="2" t="b">
        <f>IF(Table1938[[#This Row],[Date]]&lt;&gt;"",AND(YEAR(Table1938[[#This Row],[Date]])&gt;=2010, YEAR(Table1938[[#This Row],[Date]])&lt;=2024),FALSE)</f>
        <v>1</v>
      </c>
      <c r="W128" s="2" t="b">
        <f>IF(Table1938[[#This Row],[Date]]&lt;&gt;"",AND(YEAR(Table1938[[#This Row],[Date]])&gt;=2010, YEAR(Table1938[[#This Row],[Date]])&lt;=2020),FALSE)</f>
        <v>1</v>
      </c>
      <c r="X128" s="2" t="b">
        <f>IF(AND(Table1938[[#This Row],[Accesible]]=TRUE,Table1938[[#This Row],[DOI]]&lt;&gt;""),TRUE,FALSE)</f>
        <v>0</v>
      </c>
      <c r="Y128" s="2" t="b">
        <f>OR(Table1938[[#This Row],[Document Type]]="journalArticle",Table1938[[#This Row],[Document Type]]="conferencePaper",Table1938[[#This Row],[Document Type]]="review")</f>
        <v>1</v>
      </c>
      <c r="Z128" s="2" t="b" cm="1">
        <f t="array" ref="Z128">SUMPRODUCT(--ISNUMBER(SEARCH({"dimensional analysis","dimensionless coefficients","Π","Pi","theorem","software","design","tools","development","architecture","similar"}, LOWER(Table1938[[#This Row],[Title]]))))&gt;0</f>
        <v>0</v>
      </c>
      <c r="AA128" s="2" t="b" cm="1">
        <f t="array" ref="AA128">SUMPRODUCT(--ISNUMBER(SEARCH({"dimensional analysis","dimensionless coefficients","Π","Pi","theorem","software","design","tools","development","architecture","similar"}, LOWER(Table1938[[#This Row],[Abstract]]))))&gt;0</f>
        <v>1</v>
      </c>
      <c r="AB128" s="2" t="b">
        <f>AND(OR(Table1938[[#This Row],[IC-01 @2024]:[IC-01 @2020]])=TRUE,Table1938[[#This Row],[IC-02]]=TRUE,Table1938[[#This Row],[IC-03]]=TRUE,Table1938[[#This Row],[IC-04]]=TRUE,Table1938[[#This Row],[IC-05]]=TRUE)</f>
        <v>0</v>
      </c>
      <c r="AC128" s="2" t="b">
        <f>AND(Table1938[[#This Row],[Pass-IC]]=TRUE,Table1938[[#This Row],[Pass-EC]]=TRUE)</f>
        <v>0</v>
      </c>
      <c r="AD128" s="2" t="b">
        <f>COUNTIF($D$25:D128, Table1938[[#This Row],[Title]]) = 1</f>
        <v>1</v>
      </c>
      <c r="AE128" s="2" t="b">
        <f>AND(Table1938[[#This Row],[IC + EC]:[Unique]])</f>
        <v>0</v>
      </c>
      <c r="AF128" s="2" t="b">
        <v>0</v>
      </c>
      <c r="AG128" s="2" t="b">
        <v>0</v>
      </c>
      <c r="AH128" s="2" t="b">
        <v>0</v>
      </c>
      <c r="AI128" s="2" t="b">
        <f>IF(AND(Table1938[[#This Row],[Double Check]]=TRUE,Table1938[[#This Row],[Inspected]]=TRUE,Table1938[[#This Row],[Relevant]]=TRUE),TRUE,FALSE)</f>
        <v>0</v>
      </c>
    </row>
    <row r="129" spans="1:35" ht="28.7" x14ac:dyDescent="0.5">
      <c r="A129" s="2">
        <v>128</v>
      </c>
      <c r="B129" s="20" t="s">
        <v>2</v>
      </c>
      <c r="C129" s="20" t="s">
        <v>2918</v>
      </c>
      <c r="D129" s="20" t="s">
        <v>2919</v>
      </c>
      <c r="E129" s="20" t="s">
        <v>123</v>
      </c>
      <c r="F129" s="2" t="s">
        <v>123</v>
      </c>
      <c r="G129" s="20" t="s">
        <v>2519</v>
      </c>
      <c r="H129" s="36" t="s">
        <v>123</v>
      </c>
      <c r="I129" s="20" t="s">
        <v>123</v>
      </c>
      <c r="J129" s="20" t="s">
        <v>2520</v>
      </c>
      <c r="K129" s="20" t="s">
        <v>123</v>
      </c>
      <c r="L129" s="20" t="s">
        <v>642</v>
      </c>
      <c r="M129" s="20" t="s">
        <v>123</v>
      </c>
      <c r="N129" s="20" t="b">
        <v>1</v>
      </c>
      <c r="O129" s="2" t="b">
        <f>IF(Table1938[[#This Row],[Title]]="",TRUE,FALSE)</f>
        <v>0</v>
      </c>
      <c r="P129" s="2" t="b">
        <f>IF(Table1938[[#This Row],[Author]]="",TRUE,FALSE)</f>
        <v>1</v>
      </c>
      <c r="Q129" s="2" t="b">
        <f>IF(Table1938[[#This Row],[DOI]]&lt;&gt;"", FALSE,TRUE)</f>
        <v>1</v>
      </c>
      <c r="R129" s="2" t="b">
        <f>IF(Table1938[[#This Row],[Abstract]]="",TRUE,FALSE)</f>
        <v>1</v>
      </c>
      <c r="S129" s="2" t="b">
        <f>IF(OR(Table1938[[#This Row],[Document Type]]="book",Table1938[[#This Row],[Document Type]]="bookSection"),TRUE,FALSE)</f>
        <v>0</v>
      </c>
      <c r="T129" s="2" t="b">
        <f>NOT(IF(OR(Table1938[[#This Row],[Language]]&lt;&gt;"en",Table1938[[#This Row],[Language]]&lt;&gt;"EN",Table1938[[#This Row],[Language]]&lt;&gt;"spa",Table1938[[#This Row],[Language]]&lt;&gt;"SPA"),TRUE,FALSE))</f>
        <v>0</v>
      </c>
      <c r="U129" s="2" t="b">
        <f>IF(AND(Table1938[[#This Row],[EC-01]]=FALSE,Table1938[[#This Row],[EC-02]]=FALSE,Table1938[[#This Row],[EC-03]]=FALSE,Table1938[[#This Row],[EC-04]]=FALSE,Table1938[[#This Row],[EC-05]]=FALSE,Table1938[[#This Row],[EC-06]]=FALSE),TRUE,FALSE)</f>
        <v>0</v>
      </c>
      <c r="V129" s="2" t="b">
        <f>IF(Table1938[[#This Row],[Date]]&lt;&gt;"",AND(YEAR(Table1938[[#This Row],[Date]])&gt;=2010, YEAR(Table1938[[#This Row],[Date]])&lt;=2024),FALSE)</f>
        <v>0</v>
      </c>
      <c r="W129" s="2" t="b">
        <f>IF(Table1938[[#This Row],[Date]]&lt;&gt;"",AND(YEAR(Table1938[[#This Row],[Date]])&gt;=2010, YEAR(Table1938[[#This Row],[Date]])&lt;=2020),FALSE)</f>
        <v>0</v>
      </c>
      <c r="X129" s="2" t="b">
        <f>IF(AND(Table1938[[#This Row],[Accesible]]=TRUE,Table1938[[#This Row],[DOI]]&lt;&gt;""),TRUE,FALSE)</f>
        <v>0</v>
      </c>
      <c r="Y129" s="2" t="b">
        <f>OR(Table1938[[#This Row],[Document Type]]="journalArticle",Table1938[[#This Row],[Document Type]]="conferencePaper",Table1938[[#This Row],[Document Type]]="review")</f>
        <v>0</v>
      </c>
      <c r="Z129" s="2" t="b" cm="1">
        <f t="array" ref="Z129">SUMPRODUCT(--ISNUMBER(SEARCH({"dimensional analysis","dimensionless coefficients","Π","Pi","theorem","software","design","tools","development","architecture","similar"}, LOWER(Table1938[[#This Row],[Title]]))))&gt;0</f>
        <v>0</v>
      </c>
      <c r="AA129" s="2" t="b" cm="1">
        <f t="array" ref="AA129">SUMPRODUCT(--ISNUMBER(SEARCH({"dimensional analysis","dimensionless coefficients","Π","Pi","theorem","software","design","tools","development","architecture","similar"}, LOWER(Table1938[[#This Row],[Abstract]]))))&gt;0</f>
        <v>0</v>
      </c>
      <c r="AB129" s="2" t="b">
        <f>AND(OR(Table1938[[#This Row],[IC-01 @2024]:[IC-01 @2020]])=TRUE,Table1938[[#This Row],[IC-02]]=TRUE,Table1938[[#This Row],[IC-03]]=TRUE,Table1938[[#This Row],[IC-04]]=TRUE,Table1938[[#This Row],[IC-05]]=TRUE)</f>
        <v>0</v>
      </c>
      <c r="AC129" s="2" t="b">
        <f>AND(Table1938[[#This Row],[Pass-IC]]=TRUE,Table1938[[#This Row],[Pass-EC]]=TRUE)</f>
        <v>0</v>
      </c>
      <c r="AD129" s="2" t="b">
        <f>COUNTIF($D$6:D148, Table1938[[#This Row],[Title]]) = 1</f>
        <v>1</v>
      </c>
      <c r="AE129" s="2" t="b">
        <f>AND(Table1938[[#This Row],[IC + EC]:[Unique]])</f>
        <v>0</v>
      </c>
      <c r="AF129" s="2" t="b">
        <v>0</v>
      </c>
      <c r="AG129" s="2" t="b">
        <v>0</v>
      </c>
      <c r="AH129" s="2" t="b">
        <v>0</v>
      </c>
      <c r="AI129" s="2" t="b">
        <f>IF(AND(Table1938[[#This Row],[Double Check]]=TRUE,Table1938[[#This Row],[Inspected]]=TRUE,Table1938[[#This Row],[Relevant]]=TRUE),TRUE,FALSE)</f>
        <v>0</v>
      </c>
    </row>
    <row r="130" spans="1:35" ht="28.7" x14ac:dyDescent="0.5">
      <c r="A130" s="2">
        <v>129</v>
      </c>
      <c r="B130" s="20" t="s">
        <v>2</v>
      </c>
      <c r="C130" s="20" t="s">
        <v>2920</v>
      </c>
      <c r="D130" s="20" t="s">
        <v>2921</v>
      </c>
      <c r="E130" s="20" t="s">
        <v>123</v>
      </c>
      <c r="F130" s="2" t="s">
        <v>123</v>
      </c>
      <c r="G130" s="20" t="s">
        <v>2519</v>
      </c>
      <c r="H130" s="36" t="s">
        <v>123</v>
      </c>
      <c r="I130" s="20" t="s">
        <v>123</v>
      </c>
      <c r="J130" s="20" t="s">
        <v>2520</v>
      </c>
      <c r="K130" s="20" t="s">
        <v>123</v>
      </c>
      <c r="L130" s="20" t="s">
        <v>642</v>
      </c>
      <c r="M130" s="20" t="s">
        <v>123</v>
      </c>
      <c r="N130" s="20" t="b">
        <v>1</v>
      </c>
      <c r="O130" s="2" t="b">
        <f>IF(Table1938[[#This Row],[Title]]="",TRUE,FALSE)</f>
        <v>0</v>
      </c>
      <c r="P130" s="2" t="b">
        <f>IF(Table1938[[#This Row],[Author]]="",TRUE,FALSE)</f>
        <v>1</v>
      </c>
      <c r="Q130" s="2" t="b">
        <f>IF(Table1938[[#This Row],[DOI]]&lt;&gt;"", FALSE,TRUE)</f>
        <v>1</v>
      </c>
      <c r="R130" s="2" t="b">
        <f>IF(Table1938[[#This Row],[Abstract]]="",TRUE,FALSE)</f>
        <v>1</v>
      </c>
      <c r="S130" s="2" t="b">
        <f>IF(OR(Table1938[[#This Row],[Document Type]]="book",Table1938[[#This Row],[Document Type]]="bookSection"),TRUE,FALSE)</f>
        <v>0</v>
      </c>
      <c r="T130" s="2" t="b">
        <f>NOT(IF(OR(Table1938[[#This Row],[Language]]&lt;&gt;"en",Table1938[[#This Row],[Language]]&lt;&gt;"EN",Table1938[[#This Row],[Language]]&lt;&gt;"spa",Table1938[[#This Row],[Language]]&lt;&gt;"SPA"),TRUE,FALSE))</f>
        <v>0</v>
      </c>
      <c r="U130" s="2" t="b">
        <f>IF(AND(Table1938[[#This Row],[EC-01]]=FALSE,Table1938[[#This Row],[EC-02]]=FALSE,Table1938[[#This Row],[EC-03]]=FALSE,Table1938[[#This Row],[EC-04]]=FALSE,Table1938[[#This Row],[EC-05]]=FALSE,Table1938[[#This Row],[EC-06]]=FALSE),TRUE,FALSE)</f>
        <v>0</v>
      </c>
      <c r="V130" s="2" t="b">
        <f>IF(Table1938[[#This Row],[Date]]&lt;&gt;"",AND(YEAR(Table1938[[#This Row],[Date]])&gt;=2010, YEAR(Table1938[[#This Row],[Date]])&lt;=2024),FALSE)</f>
        <v>0</v>
      </c>
      <c r="W130" s="2" t="b">
        <f>IF(Table1938[[#This Row],[Date]]&lt;&gt;"",AND(YEAR(Table1938[[#This Row],[Date]])&gt;=2010, YEAR(Table1938[[#This Row],[Date]])&lt;=2020),FALSE)</f>
        <v>0</v>
      </c>
      <c r="X130" s="2" t="b">
        <f>IF(AND(Table1938[[#This Row],[Accesible]]=TRUE,Table1938[[#This Row],[DOI]]&lt;&gt;""),TRUE,FALSE)</f>
        <v>0</v>
      </c>
      <c r="Y130" s="2" t="b">
        <f>OR(Table1938[[#This Row],[Document Type]]="journalArticle",Table1938[[#This Row],[Document Type]]="conferencePaper",Table1938[[#This Row],[Document Type]]="review")</f>
        <v>0</v>
      </c>
      <c r="Z130" s="2" t="b" cm="1">
        <f t="array" ref="Z130">SUMPRODUCT(--ISNUMBER(SEARCH({"dimensional analysis","dimensionless coefficients","Π","Pi","theorem","software","design","tools","development","architecture","similar"}, LOWER(Table1938[[#This Row],[Title]]))))&gt;0</f>
        <v>0</v>
      </c>
      <c r="AA130" s="2" t="b" cm="1">
        <f t="array" ref="AA130">SUMPRODUCT(--ISNUMBER(SEARCH({"dimensional analysis","dimensionless coefficients","Π","Pi","theorem","software","design","tools","development","architecture","similar"}, LOWER(Table1938[[#This Row],[Abstract]]))))&gt;0</f>
        <v>0</v>
      </c>
      <c r="AB130" s="2" t="b">
        <f>AND(OR(Table1938[[#This Row],[IC-01 @2024]:[IC-01 @2020]])=TRUE,Table1938[[#This Row],[IC-02]]=TRUE,Table1938[[#This Row],[IC-03]]=TRUE,Table1938[[#This Row],[IC-04]]=TRUE,Table1938[[#This Row],[IC-05]]=TRUE)</f>
        <v>0</v>
      </c>
      <c r="AC130" s="2" t="b">
        <f>AND(Table1938[[#This Row],[Pass-IC]]=TRUE,Table1938[[#This Row],[Pass-EC]]=TRUE)</f>
        <v>0</v>
      </c>
      <c r="AD130" s="2" t="b">
        <f>COUNTIF($D$25:D130, Table1938[[#This Row],[Title]]) = 1</f>
        <v>1</v>
      </c>
      <c r="AE130" s="2" t="b">
        <f>AND(Table1938[[#This Row],[IC + EC]:[Unique]])</f>
        <v>0</v>
      </c>
      <c r="AF130" s="2" t="b">
        <v>0</v>
      </c>
      <c r="AG130" s="2" t="b">
        <v>0</v>
      </c>
      <c r="AH130" s="2" t="b">
        <v>0</v>
      </c>
      <c r="AI130" s="2" t="b">
        <f>IF(AND(Table1938[[#This Row],[Double Check]]=TRUE,Table1938[[#This Row],[Inspected]]=TRUE,Table1938[[#This Row],[Relevant]]=TRUE),TRUE,FALSE)</f>
        <v>0</v>
      </c>
    </row>
    <row r="131" spans="1:35" ht="57.35" x14ac:dyDescent="0.5">
      <c r="A131" s="39">
        <v>130</v>
      </c>
      <c r="B131" s="40" t="s">
        <v>2</v>
      </c>
      <c r="C131" s="40" t="s">
        <v>2922</v>
      </c>
      <c r="D131" s="40" t="s">
        <v>51</v>
      </c>
      <c r="E131" s="40" t="s">
        <v>640</v>
      </c>
      <c r="F131" s="2" t="s">
        <v>52</v>
      </c>
      <c r="G131" s="20" t="s">
        <v>53</v>
      </c>
      <c r="H131" s="36">
        <v>41671</v>
      </c>
      <c r="I131" s="20">
        <v>2014</v>
      </c>
      <c r="J131" s="20" t="s">
        <v>61</v>
      </c>
      <c r="K131" s="20" t="s">
        <v>2923</v>
      </c>
      <c r="L131" s="20" t="s">
        <v>2515</v>
      </c>
      <c r="M131" s="20" t="s">
        <v>54</v>
      </c>
      <c r="N131" s="20" t="b">
        <v>1</v>
      </c>
      <c r="O131" s="2" t="b">
        <f>IF(Table1938[[#This Row],[Title]]="",TRUE,FALSE)</f>
        <v>0</v>
      </c>
      <c r="P131" s="2" t="b">
        <f>IF(Table1938[[#This Row],[Author]]="",TRUE,FALSE)</f>
        <v>0</v>
      </c>
      <c r="Q131" s="2" t="b">
        <f>IF(Table1938[[#This Row],[DOI]]&lt;&gt;"", FALSE,TRUE)</f>
        <v>0</v>
      </c>
      <c r="R131" s="2" t="b">
        <f>IF(Table1938[[#This Row],[Abstract]]="",TRUE,FALSE)</f>
        <v>0</v>
      </c>
      <c r="S131" s="2" t="b">
        <f>IF(OR(Table1938[[#This Row],[Document Type]]="book",Table1938[[#This Row],[Document Type]]="bookSection"),TRUE,FALSE)</f>
        <v>0</v>
      </c>
      <c r="T131" s="2" t="b">
        <f>NOT(IF(OR(Table1938[[#This Row],[Language]]&lt;&gt;"en",Table1938[[#This Row],[Language]]&lt;&gt;"EN",Table1938[[#This Row],[Language]]&lt;&gt;"spa",Table1938[[#This Row],[Language]]&lt;&gt;"SPA"),TRUE,FALSE))</f>
        <v>0</v>
      </c>
      <c r="U131" s="2" t="b">
        <f>IF(AND(Table1938[[#This Row],[EC-01]]=FALSE,Table1938[[#This Row],[EC-02]]=FALSE,Table1938[[#This Row],[EC-03]]=FALSE,Table1938[[#This Row],[EC-04]]=FALSE,Table1938[[#This Row],[EC-05]]=FALSE,Table1938[[#This Row],[EC-06]]=FALSE),TRUE,FALSE)</f>
        <v>1</v>
      </c>
      <c r="V131" s="2" t="b">
        <f>IF(Table1938[[#This Row],[Date]]&lt;&gt;"",AND(YEAR(Table1938[[#This Row],[Date]])&gt;=2010, YEAR(Table1938[[#This Row],[Date]])&lt;=2024),FALSE)</f>
        <v>1</v>
      </c>
      <c r="W131" s="2" t="b">
        <f>IF(Table1938[[#This Row],[Date]]&lt;&gt;"",AND(YEAR(Table1938[[#This Row],[Date]])&gt;=2010, YEAR(Table1938[[#This Row],[Date]])&lt;=2020),FALSE)</f>
        <v>1</v>
      </c>
      <c r="X131" s="2" t="b">
        <f>IF(AND(Table1938[[#This Row],[Accesible]]=TRUE,Table1938[[#This Row],[DOI]]&lt;&gt;""),TRUE,FALSE)</f>
        <v>1</v>
      </c>
      <c r="Y131" s="2" t="b">
        <f>OR(Table1938[[#This Row],[Document Type]]="journalArticle",Table1938[[#This Row],[Document Type]]="conferencePaper",Table1938[[#This Row],[Document Type]]="review")</f>
        <v>1</v>
      </c>
      <c r="Z131" s="2" t="b" cm="1">
        <f t="array" ref="Z131">SUMPRODUCT(--ISNUMBER(SEARCH({"dimensional analysis","dimensionless coefficients","Π","Pi","theorem","software","design","tools","development","architecture","similar"}, LOWER(Table1938[[#This Row],[Title]]))))&gt;0</f>
        <v>1</v>
      </c>
      <c r="AA131" s="2" t="b" cm="1">
        <f t="array" ref="AA131">SUMPRODUCT(--ISNUMBER(SEARCH({"dimensional analysis","dimensionless coefficients","Π","Pi","theorem","software","design","tools","development","architecture","similar"}, LOWER(Table1938[[#This Row],[Abstract]]))))&gt;0</f>
        <v>1</v>
      </c>
      <c r="AB131" s="2" t="b">
        <f>AND(OR(Table1938[[#This Row],[IC-01 @2024]:[IC-01 @2020]])=TRUE,Table1938[[#This Row],[IC-02]]=TRUE,Table1938[[#This Row],[IC-03]]=TRUE,Table1938[[#This Row],[IC-04]]=TRUE,Table1938[[#This Row],[IC-05]]=TRUE)</f>
        <v>1</v>
      </c>
      <c r="AC131" s="2" t="b">
        <f>AND(Table1938[[#This Row],[Pass-IC]]=TRUE,Table1938[[#This Row],[Pass-EC]]=TRUE)</f>
        <v>1</v>
      </c>
      <c r="AD131" s="2" t="b">
        <f>COUNTIF($D$3:D153, Table1938[[#This Row],[Title]]) = 1</f>
        <v>1</v>
      </c>
      <c r="AE131" s="2" t="b">
        <f>AND(Table1938[[#This Row],[IC + EC]:[Unique]])</f>
        <v>1</v>
      </c>
      <c r="AF131" s="2" t="b">
        <v>1</v>
      </c>
      <c r="AG131" s="2" t="b">
        <v>1</v>
      </c>
      <c r="AH131" s="2" t="b">
        <v>1</v>
      </c>
      <c r="AI131" s="2" t="b">
        <f>IF(AND(Table1938[[#This Row],[Double Check]]=TRUE,Table1938[[#This Row],[Inspected]]=TRUE,Table1938[[#This Row],[Relevant]]=TRUE),TRUE,FALSE)</f>
        <v>1</v>
      </c>
    </row>
    <row r="132" spans="1:35" ht="57.35" x14ac:dyDescent="0.5">
      <c r="A132" s="2">
        <v>131</v>
      </c>
      <c r="B132" s="20" t="s">
        <v>80</v>
      </c>
      <c r="C132" s="20" t="s">
        <v>2961</v>
      </c>
      <c r="D132" s="20" t="s">
        <v>531</v>
      </c>
      <c r="E132" s="20" t="s">
        <v>497</v>
      </c>
      <c r="F132" s="2" t="s">
        <v>608</v>
      </c>
      <c r="G132" s="20" t="s">
        <v>541</v>
      </c>
      <c r="H132" s="36">
        <v>43879</v>
      </c>
      <c r="I132" s="20">
        <v>2020</v>
      </c>
      <c r="J132" s="20" t="s">
        <v>61</v>
      </c>
      <c r="K132" s="20" t="s">
        <v>123</v>
      </c>
      <c r="L132" s="20" t="s">
        <v>2515</v>
      </c>
      <c r="M132" s="20" t="s">
        <v>577</v>
      </c>
      <c r="N132" s="20" t="b">
        <v>1</v>
      </c>
      <c r="O132" s="2" t="b">
        <f>IF(Table1938[[#This Row],[Title]]="",TRUE,FALSE)</f>
        <v>0</v>
      </c>
      <c r="P132" s="2" t="b">
        <f>IF(Table1938[[#This Row],[Author]]="",TRUE,FALSE)</f>
        <v>0</v>
      </c>
      <c r="Q132" s="2" t="b">
        <f>IF(Table1938[[#This Row],[DOI]]&lt;&gt;"", FALSE,TRUE)</f>
        <v>0</v>
      </c>
      <c r="R132" s="2" t="b">
        <f>IF(Table1938[[#This Row],[Abstract]]="",TRUE,FALSE)</f>
        <v>0</v>
      </c>
      <c r="S132" s="2" t="b">
        <f>IF(OR(Table1938[[#This Row],[Document Type]]="book",Table1938[[#This Row],[Document Type]]="bookSection"),TRUE,FALSE)</f>
        <v>0</v>
      </c>
      <c r="T132" s="2" t="b">
        <f>NOT(IF(OR(Table1938[[#This Row],[Language]]&lt;&gt;"en",Table1938[[#This Row],[Language]]&lt;&gt;"EN",Table1938[[#This Row],[Language]]&lt;&gt;"spa",Table1938[[#This Row],[Language]]&lt;&gt;"SPA"),TRUE,FALSE))</f>
        <v>0</v>
      </c>
      <c r="U132" s="2" t="b">
        <f>IF(AND(Table1938[[#This Row],[EC-01]]=FALSE,Table1938[[#This Row],[EC-02]]=FALSE,Table1938[[#This Row],[EC-03]]=FALSE,Table1938[[#This Row],[EC-04]]=FALSE,Table1938[[#This Row],[EC-05]]=FALSE,Table1938[[#This Row],[EC-06]]=FALSE),TRUE,FALSE)</f>
        <v>1</v>
      </c>
      <c r="V132" s="2" t="b">
        <f>IF(Table1938[[#This Row],[Date]]&lt;&gt;"",AND(YEAR(Table1938[[#This Row],[Date]])&gt;=2010, YEAR(Table1938[[#This Row],[Date]])&lt;=2024),FALSE)</f>
        <v>1</v>
      </c>
      <c r="W132" s="2" t="b">
        <f>IF(Table1938[[#This Row],[Date]]&lt;&gt;"",AND(YEAR(Table1938[[#This Row],[Date]])&gt;=2010, YEAR(Table1938[[#This Row],[Date]])&lt;=2020),FALSE)</f>
        <v>1</v>
      </c>
      <c r="X132" s="2" t="b">
        <f>IF(AND(Table1938[[#This Row],[Accesible]]=TRUE,Table1938[[#This Row],[DOI]]&lt;&gt;""),TRUE,FALSE)</f>
        <v>1</v>
      </c>
      <c r="Y132" s="2" t="b">
        <f>OR(Table1938[[#This Row],[Document Type]]="journalArticle",Table1938[[#This Row],[Document Type]]="conferencePaper",Table1938[[#This Row],[Document Type]]="review")</f>
        <v>1</v>
      </c>
      <c r="Z132" s="2" t="b" cm="1">
        <f t="array" ref="Z132">SUMPRODUCT(--ISNUMBER(SEARCH({"dimensional analysis","dimensionless coefficients","Π","Pi","theorem","software","design","tools","development","architecture","similar"}, LOWER(Table1938[[#This Row],[Title]]))))&gt;0</f>
        <v>1</v>
      </c>
      <c r="AA132" s="2" t="b" cm="1">
        <f t="array" ref="AA132">SUMPRODUCT(--ISNUMBER(SEARCH({"dimensional analysis","dimensionless coefficients","Π","Pi","theorem","software","design","tools","development","architecture","similar"}, LOWER(Table1938[[#This Row],[Abstract]]))))&gt;0</f>
        <v>1</v>
      </c>
      <c r="AB132" s="2" t="b">
        <f>AND(OR(Table1938[[#This Row],[IC-01 @2024]:[IC-01 @2020]])=TRUE,Table1938[[#This Row],[IC-02]]=TRUE,Table1938[[#This Row],[IC-03]]=TRUE,Table1938[[#This Row],[IC-04]]=TRUE,Table1938[[#This Row],[IC-05]]=TRUE)</f>
        <v>1</v>
      </c>
      <c r="AC132" s="2" t="b">
        <f>AND(Table1938[[#This Row],[Pass-IC]]=TRUE,Table1938[[#This Row],[Pass-EC]]=TRUE)</f>
        <v>1</v>
      </c>
      <c r="AD132" s="2" t="b">
        <f>COUNTIF($D$25:D132, Table1938[[#This Row],[Title]]) = 1</f>
        <v>1</v>
      </c>
      <c r="AE132" s="2" t="b">
        <f>AND(Table1938[[#This Row],[IC + EC]:[Unique]])</f>
        <v>1</v>
      </c>
      <c r="AF132" s="2" t="b">
        <v>1</v>
      </c>
      <c r="AG132" s="2" t="b">
        <v>0</v>
      </c>
      <c r="AH132" s="2" t="b">
        <v>0</v>
      </c>
      <c r="AI132" s="2" t="b">
        <f>IF(AND(Table1938[[#This Row],[Double Check]]=TRUE,Table1938[[#This Row],[Inspected]]=TRUE,Table1938[[#This Row],[Relevant]]=TRUE),TRUE,FALSE)</f>
        <v>0</v>
      </c>
    </row>
    <row r="133" spans="1:35" ht="71.7" x14ac:dyDescent="0.5">
      <c r="A133" s="2">
        <v>132</v>
      </c>
      <c r="B133" s="20" t="s">
        <v>80</v>
      </c>
      <c r="C133" s="20" t="s">
        <v>2962</v>
      </c>
      <c r="D133" s="20" t="s">
        <v>526</v>
      </c>
      <c r="E133" s="20" t="s">
        <v>492</v>
      </c>
      <c r="F133" s="2" t="s">
        <v>603</v>
      </c>
      <c r="G133" s="20" t="s">
        <v>72</v>
      </c>
      <c r="H133" s="36">
        <v>44820</v>
      </c>
      <c r="I133" s="20">
        <v>2022</v>
      </c>
      <c r="J133" s="20" t="s">
        <v>61</v>
      </c>
      <c r="K133" s="20" t="s">
        <v>123</v>
      </c>
      <c r="L133" s="20" t="s">
        <v>2515</v>
      </c>
      <c r="M133" s="20" t="s">
        <v>572</v>
      </c>
      <c r="N133" s="20" t="b">
        <v>1</v>
      </c>
      <c r="O133" s="2" t="b">
        <f>IF(Table1938[[#This Row],[Title]]="",TRUE,FALSE)</f>
        <v>0</v>
      </c>
      <c r="P133" s="2" t="b">
        <f>IF(Table1938[[#This Row],[Author]]="",TRUE,FALSE)</f>
        <v>0</v>
      </c>
      <c r="Q133" s="2" t="b">
        <f>IF(Table1938[[#This Row],[DOI]]&lt;&gt;"", FALSE,TRUE)</f>
        <v>0</v>
      </c>
      <c r="R133" s="2" t="b">
        <f>IF(Table1938[[#This Row],[Abstract]]="",TRUE,FALSE)</f>
        <v>0</v>
      </c>
      <c r="S133" s="2" t="b">
        <f>IF(OR(Table1938[[#This Row],[Document Type]]="book",Table1938[[#This Row],[Document Type]]="bookSection"),TRUE,FALSE)</f>
        <v>0</v>
      </c>
      <c r="T133" s="2" t="b">
        <f>NOT(IF(OR(Table1938[[#This Row],[Language]]&lt;&gt;"en",Table1938[[#This Row],[Language]]&lt;&gt;"EN",Table1938[[#This Row],[Language]]&lt;&gt;"spa",Table1938[[#This Row],[Language]]&lt;&gt;"SPA"),TRUE,FALSE))</f>
        <v>0</v>
      </c>
      <c r="U133" s="2" t="b">
        <f>IF(AND(Table1938[[#This Row],[EC-01]]=FALSE,Table1938[[#This Row],[EC-02]]=FALSE,Table1938[[#This Row],[EC-03]]=FALSE,Table1938[[#This Row],[EC-04]]=FALSE,Table1938[[#This Row],[EC-05]]=FALSE,Table1938[[#This Row],[EC-06]]=FALSE),TRUE,FALSE)</f>
        <v>1</v>
      </c>
      <c r="V133" s="2" t="b">
        <f>IF(Table1938[[#This Row],[Date]]&lt;&gt;"",AND(YEAR(Table1938[[#This Row],[Date]])&gt;=2010, YEAR(Table1938[[#This Row],[Date]])&lt;=2024),FALSE)</f>
        <v>1</v>
      </c>
      <c r="W133" s="2" t="b">
        <f>IF(Table1938[[#This Row],[Date]]&lt;&gt;"",AND(YEAR(Table1938[[#This Row],[Date]])&gt;=2010, YEAR(Table1938[[#This Row],[Date]])&lt;=2020),FALSE)</f>
        <v>0</v>
      </c>
      <c r="X133" s="2" t="b">
        <f>IF(AND(Table1938[[#This Row],[Accesible]]=TRUE,Table1938[[#This Row],[DOI]]&lt;&gt;""),TRUE,FALSE)</f>
        <v>1</v>
      </c>
      <c r="Y133" s="2" t="b">
        <f>OR(Table1938[[#This Row],[Document Type]]="journalArticle",Table1938[[#This Row],[Document Type]]="conferencePaper",Table1938[[#This Row],[Document Type]]="review")</f>
        <v>1</v>
      </c>
      <c r="Z133" s="2" t="b" cm="1">
        <f t="array" ref="Z133">SUMPRODUCT(--ISNUMBER(SEARCH({"dimensional analysis","dimensionless coefficients","Π","Pi","theorem","software","design","tools","development","architecture","similar"}, LOWER(Table1938[[#This Row],[Title]]))))&gt;0</f>
        <v>0</v>
      </c>
      <c r="AA133" s="2" t="b" cm="1">
        <f t="array" ref="AA133">SUMPRODUCT(--ISNUMBER(SEARCH({"dimensional analysis","dimensionless coefficients","Π","Pi","theorem","software","design","tools","development","architecture","similar"}, LOWER(Table1938[[#This Row],[Abstract]]))))&gt;0</f>
        <v>1</v>
      </c>
      <c r="AB133" s="2" t="b">
        <f>AND(OR(Table1938[[#This Row],[IC-01 @2024]:[IC-01 @2020]])=TRUE,Table1938[[#This Row],[IC-02]]=TRUE,Table1938[[#This Row],[IC-03]]=TRUE,Table1938[[#This Row],[IC-04]]=TRUE,Table1938[[#This Row],[IC-05]]=TRUE)</f>
        <v>0</v>
      </c>
      <c r="AC133" s="2" t="b">
        <f>AND(Table1938[[#This Row],[Pass-IC]]=TRUE,Table1938[[#This Row],[Pass-EC]]=TRUE)</f>
        <v>0</v>
      </c>
      <c r="AD133" s="2" t="b">
        <f>COUNTIF($D$25:D133, Table1938[[#This Row],[Title]]) = 1</f>
        <v>1</v>
      </c>
      <c r="AE133" s="2" t="b">
        <f>AND(Table1938[[#This Row],[IC + EC]:[Unique]])</f>
        <v>0</v>
      </c>
      <c r="AF133" s="2" t="b">
        <v>0</v>
      </c>
      <c r="AG133" s="2" t="b">
        <v>0</v>
      </c>
      <c r="AH133" s="2" t="b">
        <v>0</v>
      </c>
      <c r="AI133" s="2" t="b">
        <f>IF(AND(Table1938[[#This Row],[Double Check]]=TRUE,Table1938[[#This Row],[Inspected]]=TRUE,Table1938[[#This Row],[Relevant]]=TRUE),TRUE,FALSE)</f>
        <v>0</v>
      </c>
    </row>
    <row r="134" spans="1:35" ht="57.35" x14ac:dyDescent="0.5">
      <c r="A134" s="2">
        <v>133</v>
      </c>
      <c r="B134" s="20" t="s">
        <v>80</v>
      </c>
      <c r="C134" s="20" t="s">
        <v>2963</v>
      </c>
      <c r="D134" s="20" t="s">
        <v>836</v>
      </c>
      <c r="E134" s="20" t="s">
        <v>835</v>
      </c>
      <c r="F134" s="2" t="s">
        <v>838</v>
      </c>
      <c r="G134" s="20" t="s">
        <v>536</v>
      </c>
      <c r="H134" s="36">
        <v>45422</v>
      </c>
      <c r="I134" s="20">
        <v>2024</v>
      </c>
      <c r="J134" s="20" t="s">
        <v>61</v>
      </c>
      <c r="K134" s="20" t="s">
        <v>2964</v>
      </c>
      <c r="L134" s="20" t="s">
        <v>2515</v>
      </c>
      <c r="M134" s="20" t="s">
        <v>837</v>
      </c>
      <c r="N134" s="20" t="b">
        <v>1</v>
      </c>
      <c r="O134" s="2" t="b">
        <f>IF(Table1938[[#This Row],[Title]]="",TRUE,FALSE)</f>
        <v>0</v>
      </c>
      <c r="P134" s="2" t="b">
        <f>IF(Table1938[[#This Row],[Author]]="",TRUE,FALSE)</f>
        <v>0</v>
      </c>
      <c r="Q134" s="2" t="b">
        <f>IF(Table1938[[#This Row],[DOI]]&lt;&gt;"", FALSE,TRUE)</f>
        <v>0</v>
      </c>
      <c r="R134" s="2" t="b">
        <f>IF(Table1938[[#This Row],[Abstract]]="",TRUE,FALSE)</f>
        <v>0</v>
      </c>
      <c r="S134" s="2" t="b">
        <f>IF(OR(Table1938[[#This Row],[Document Type]]="book",Table1938[[#This Row],[Document Type]]="bookSection"),TRUE,FALSE)</f>
        <v>0</v>
      </c>
      <c r="T134" s="2" t="b">
        <f>NOT(IF(OR(Table1938[[#This Row],[Language]]&lt;&gt;"en",Table1938[[#This Row],[Language]]&lt;&gt;"EN",Table1938[[#This Row],[Language]]&lt;&gt;"spa",Table1938[[#This Row],[Language]]&lt;&gt;"SPA"),TRUE,FALSE))</f>
        <v>0</v>
      </c>
      <c r="U134" s="2" t="b">
        <f>IF(AND(Table1938[[#This Row],[EC-01]]=FALSE,Table1938[[#This Row],[EC-02]]=FALSE,Table1938[[#This Row],[EC-03]]=FALSE,Table1938[[#This Row],[EC-04]]=FALSE,Table1938[[#This Row],[EC-05]]=FALSE,Table1938[[#This Row],[EC-06]]=FALSE),TRUE,FALSE)</f>
        <v>1</v>
      </c>
      <c r="V134" s="2" t="b">
        <f>IF(Table1938[[#This Row],[Date]]&lt;&gt;"",AND(YEAR(Table1938[[#This Row],[Date]])&gt;=2010, YEAR(Table1938[[#This Row],[Date]])&lt;=2024),FALSE)</f>
        <v>1</v>
      </c>
      <c r="W134" s="2" t="b">
        <f>IF(Table1938[[#This Row],[Date]]&lt;&gt;"",AND(YEAR(Table1938[[#This Row],[Date]])&gt;=2010, YEAR(Table1938[[#This Row],[Date]])&lt;=2020),FALSE)</f>
        <v>0</v>
      </c>
      <c r="X134" s="2" t="b">
        <f>IF(AND(Table1938[[#This Row],[Accesible]]=TRUE,Table1938[[#This Row],[DOI]]&lt;&gt;""),TRUE,FALSE)</f>
        <v>1</v>
      </c>
      <c r="Y134" s="2" t="b">
        <f>OR(Table1938[[#This Row],[Document Type]]="journalArticle",Table1938[[#This Row],[Document Type]]="conferencePaper",Table1938[[#This Row],[Document Type]]="review")</f>
        <v>1</v>
      </c>
      <c r="Z134" s="2" t="b" cm="1">
        <f t="array" ref="Z134">SUMPRODUCT(--ISNUMBER(SEARCH({"dimensional analysis","dimensionless coefficients","Π","Pi","theorem","software","design","tools","development","architecture","similar"}, LOWER(Table1938[[#This Row],[Title]]))))&gt;0</f>
        <v>0</v>
      </c>
      <c r="AA134" s="2" t="b" cm="1">
        <f t="array" ref="AA134">SUMPRODUCT(--ISNUMBER(SEARCH({"dimensional analysis","dimensionless coefficients","Π","Pi","theorem","software","design","tools","development","architecture","similar"}, LOWER(Table1938[[#This Row],[Abstract]]))))&gt;0</f>
        <v>1</v>
      </c>
      <c r="AB134" s="2" t="b">
        <f>AND(OR(Table1938[[#This Row],[IC-01 @2024]:[IC-01 @2020]])=TRUE,Table1938[[#This Row],[IC-02]]=TRUE,Table1938[[#This Row],[IC-03]]=TRUE,Table1938[[#This Row],[IC-04]]=TRUE,Table1938[[#This Row],[IC-05]]=TRUE)</f>
        <v>0</v>
      </c>
      <c r="AC134" s="2" t="b">
        <f>AND(Table1938[[#This Row],[Pass-IC]]=TRUE,Table1938[[#This Row],[Pass-EC]]=TRUE)</f>
        <v>0</v>
      </c>
      <c r="AD134" s="2" t="b">
        <f>COUNTIF($D$25:D134, Table1938[[#This Row],[Title]]) = 1</f>
        <v>1</v>
      </c>
      <c r="AE134" s="2" t="b">
        <f>AND(Table1938[[#This Row],[IC + EC]:[Unique]])</f>
        <v>0</v>
      </c>
      <c r="AF134" s="2" t="b">
        <v>0</v>
      </c>
      <c r="AG134" s="2" t="b">
        <v>0</v>
      </c>
      <c r="AH134" s="2" t="b">
        <v>0</v>
      </c>
      <c r="AI134" s="2" t="b">
        <f>IF(AND(Table1938[[#This Row],[Double Check]]=TRUE,Table1938[[#This Row],[Inspected]]=TRUE,Table1938[[#This Row],[Relevant]]=TRUE),TRUE,FALSE)</f>
        <v>0</v>
      </c>
    </row>
    <row r="135" spans="1:35" ht="28.7" x14ac:dyDescent="0.5">
      <c r="A135" s="2">
        <v>134</v>
      </c>
      <c r="B135" s="20" t="s">
        <v>80</v>
      </c>
      <c r="C135" s="20" t="s">
        <v>2965</v>
      </c>
      <c r="D135" s="20" t="s">
        <v>521</v>
      </c>
      <c r="E135" s="20" t="s">
        <v>487</v>
      </c>
      <c r="F135" s="2" t="s">
        <v>598</v>
      </c>
      <c r="G135" s="20" t="s">
        <v>70</v>
      </c>
      <c r="H135" s="36">
        <v>40444</v>
      </c>
      <c r="I135" s="20">
        <v>2010</v>
      </c>
      <c r="J135" s="20" t="s">
        <v>61</v>
      </c>
      <c r="K135" s="20" t="s">
        <v>123</v>
      </c>
      <c r="L135" s="20" t="s">
        <v>2515</v>
      </c>
      <c r="M135" s="20" t="s">
        <v>567</v>
      </c>
      <c r="N135" s="20" t="b">
        <v>1</v>
      </c>
      <c r="O135" s="2" t="b">
        <f>IF(Table1938[[#This Row],[Title]]="",TRUE,FALSE)</f>
        <v>0</v>
      </c>
      <c r="P135" s="2" t="b">
        <f>IF(Table1938[[#This Row],[Author]]="",TRUE,FALSE)</f>
        <v>0</v>
      </c>
      <c r="Q135" s="2" t="b">
        <f>IF(Table1938[[#This Row],[DOI]]&lt;&gt;"", FALSE,TRUE)</f>
        <v>0</v>
      </c>
      <c r="R135" s="2" t="b">
        <f>IF(Table1938[[#This Row],[Abstract]]="",TRUE,FALSE)</f>
        <v>0</v>
      </c>
      <c r="S135" s="2" t="b">
        <f>IF(OR(Table1938[[#This Row],[Document Type]]="book",Table1938[[#This Row],[Document Type]]="bookSection"),TRUE,FALSE)</f>
        <v>0</v>
      </c>
      <c r="T135" s="2" t="b">
        <f>NOT(IF(OR(Table1938[[#This Row],[Language]]&lt;&gt;"en",Table1938[[#This Row],[Language]]&lt;&gt;"EN",Table1938[[#This Row],[Language]]&lt;&gt;"spa",Table1938[[#This Row],[Language]]&lt;&gt;"SPA"),TRUE,FALSE))</f>
        <v>0</v>
      </c>
      <c r="U135" s="2" t="b">
        <f>IF(AND(Table1938[[#This Row],[EC-01]]=FALSE,Table1938[[#This Row],[EC-02]]=FALSE,Table1938[[#This Row],[EC-03]]=FALSE,Table1938[[#This Row],[EC-04]]=FALSE,Table1938[[#This Row],[EC-05]]=FALSE,Table1938[[#This Row],[EC-06]]=FALSE),TRUE,FALSE)</f>
        <v>1</v>
      </c>
      <c r="V135" s="2" t="b">
        <f>IF(Table1938[[#This Row],[Date]]&lt;&gt;"",AND(YEAR(Table1938[[#This Row],[Date]])&gt;=2010, YEAR(Table1938[[#This Row],[Date]])&lt;=2024),FALSE)</f>
        <v>1</v>
      </c>
      <c r="W135" s="2" t="b">
        <f>IF(Table1938[[#This Row],[Date]]&lt;&gt;"",AND(YEAR(Table1938[[#This Row],[Date]])&gt;=2010, YEAR(Table1938[[#This Row],[Date]])&lt;=2020),FALSE)</f>
        <v>1</v>
      </c>
      <c r="X135" s="2" t="b">
        <f>IF(AND(Table1938[[#This Row],[Accesible]]=TRUE,Table1938[[#This Row],[DOI]]&lt;&gt;""),TRUE,FALSE)</f>
        <v>1</v>
      </c>
      <c r="Y135" s="2" t="b">
        <f>OR(Table1938[[#This Row],[Document Type]]="journalArticle",Table1938[[#This Row],[Document Type]]="conferencePaper",Table1938[[#This Row],[Document Type]]="review")</f>
        <v>1</v>
      </c>
      <c r="Z135" s="2" t="b" cm="1">
        <f t="array" ref="Z135">SUMPRODUCT(--ISNUMBER(SEARCH({"dimensional analysis","dimensionless coefficients","Π","Pi","theorem","software","design","tools","development","architecture","similar"}, LOWER(Table1938[[#This Row],[Title]]))))&gt;0</f>
        <v>0</v>
      </c>
      <c r="AA135" s="2" t="b" cm="1">
        <f t="array" ref="AA135">SUMPRODUCT(--ISNUMBER(SEARCH({"dimensional analysis","dimensionless coefficients","Π","Pi","theorem","software","design","tools","development","architecture","similar"}, LOWER(Table1938[[#This Row],[Abstract]]))))&gt;0</f>
        <v>1</v>
      </c>
      <c r="AB135" s="2" t="b">
        <f>AND(OR(Table1938[[#This Row],[IC-01 @2024]:[IC-01 @2020]])=TRUE,Table1938[[#This Row],[IC-02]]=TRUE,Table1938[[#This Row],[IC-03]]=TRUE,Table1938[[#This Row],[IC-04]]=TRUE,Table1938[[#This Row],[IC-05]]=TRUE)</f>
        <v>0</v>
      </c>
      <c r="AC135" s="2" t="b">
        <f>AND(Table1938[[#This Row],[Pass-IC]]=TRUE,Table1938[[#This Row],[Pass-EC]]=TRUE)</f>
        <v>0</v>
      </c>
      <c r="AD135" s="2" t="b">
        <f>COUNTIF($D$25:D135, Table1938[[#This Row],[Title]]) = 1</f>
        <v>1</v>
      </c>
      <c r="AE135" s="2" t="b">
        <f>AND(Table1938[[#This Row],[IC + EC]:[Unique]])</f>
        <v>0</v>
      </c>
      <c r="AF135" s="2" t="b">
        <v>0</v>
      </c>
      <c r="AG135" s="2" t="b">
        <v>0</v>
      </c>
      <c r="AH135" s="2" t="b">
        <v>0</v>
      </c>
      <c r="AI135" s="2" t="b">
        <f>IF(AND(Table1938[[#This Row],[Double Check]]=TRUE,Table1938[[#This Row],[Inspected]]=TRUE,Table1938[[#This Row],[Relevant]]=TRUE),TRUE,FALSE)</f>
        <v>0</v>
      </c>
    </row>
    <row r="136" spans="1:35" ht="71.7" x14ac:dyDescent="0.5">
      <c r="A136" s="2">
        <v>135</v>
      </c>
      <c r="B136" s="20" t="s">
        <v>80</v>
      </c>
      <c r="C136" s="20" t="s">
        <v>2966</v>
      </c>
      <c r="D136" s="20" t="s">
        <v>533</v>
      </c>
      <c r="E136" s="20" t="s">
        <v>499</v>
      </c>
      <c r="F136" s="2" t="s">
        <v>123</v>
      </c>
      <c r="G136" s="20" t="s">
        <v>71</v>
      </c>
      <c r="H136" s="36">
        <v>41877</v>
      </c>
      <c r="I136" s="20">
        <v>2014</v>
      </c>
      <c r="J136" s="20" t="s">
        <v>61</v>
      </c>
      <c r="K136" s="20" t="s">
        <v>123</v>
      </c>
      <c r="L136" s="20" t="s">
        <v>2515</v>
      </c>
      <c r="M136" s="20" t="s">
        <v>579</v>
      </c>
      <c r="N136" s="20" t="b">
        <v>1</v>
      </c>
      <c r="O136" s="2" t="b">
        <f>IF(Table1938[[#This Row],[Title]]="",TRUE,FALSE)</f>
        <v>0</v>
      </c>
      <c r="P136" s="2" t="b">
        <f>IF(Table1938[[#This Row],[Author]]="",TRUE,FALSE)</f>
        <v>0</v>
      </c>
      <c r="Q136" s="2" t="b">
        <f>IF(Table1938[[#This Row],[DOI]]&lt;&gt;"", FALSE,TRUE)</f>
        <v>0</v>
      </c>
      <c r="R136" s="2" t="b">
        <f>IF(Table1938[[#This Row],[Abstract]]="",TRUE,FALSE)</f>
        <v>1</v>
      </c>
      <c r="S136" s="2" t="b">
        <f>IF(OR(Table1938[[#This Row],[Document Type]]="book",Table1938[[#This Row],[Document Type]]="bookSection"),TRUE,FALSE)</f>
        <v>0</v>
      </c>
      <c r="T136" s="2" t="b">
        <f>NOT(IF(OR(Table1938[[#This Row],[Language]]&lt;&gt;"en",Table1938[[#This Row],[Language]]&lt;&gt;"EN",Table1938[[#This Row],[Language]]&lt;&gt;"spa",Table1938[[#This Row],[Language]]&lt;&gt;"SPA"),TRUE,FALSE))</f>
        <v>0</v>
      </c>
      <c r="U136" s="2" t="b">
        <f>IF(AND(Table1938[[#This Row],[EC-01]]=FALSE,Table1938[[#This Row],[EC-02]]=FALSE,Table1938[[#This Row],[EC-03]]=FALSE,Table1938[[#This Row],[EC-04]]=FALSE,Table1938[[#This Row],[EC-05]]=FALSE,Table1938[[#This Row],[EC-06]]=FALSE),TRUE,FALSE)</f>
        <v>0</v>
      </c>
      <c r="V136" s="2" t="b">
        <f>IF(Table1938[[#This Row],[Date]]&lt;&gt;"",AND(YEAR(Table1938[[#This Row],[Date]])&gt;=2010, YEAR(Table1938[[#This Row],[Date]])&lt;=2024),FALSE)</f>
        <v>1</v>
      </c>
      <c r="W136" s="2" t="b">
        <f>IF(Table1938[[#This Row],[Date]]&lt;&gt;"",AND(YEAR(Table1938[[#This Row],[Date]])&gt;=2010, YEAR(Table1938[[#This Row],[Date]])&lt;=2020),FALSE)</f>
        <v>1</v>
      </c>
      <c r="X136" s="2" t="b">
        <f>IF(AND(Table1938[[#This Row],[Accesible]]=TRUE,Table1938[[#This Row],[DOI]]&lt;&gt;""),TRUE,FALSE)</f>
        <v>1</v>
      </c>
      <c r="Y136" s="2" t="b">
        <f>OR(Table1938[[#This Row],[Document Type]]="journalArticle",Table1938[[#This Row],[Document Type]]="conferencePaper",Table1938[[#This Row],[Document Type]]="review")</f>
        <v>1</v>
      </c>
      <c r="Z136" s="2" t="b" cm="1">
        <f t="array" ref="Z136">SUMPRODUCT(--ISNUMBER(SEARCH({"dimensional analysis","dimensionless coefficients","Π","Pi","theorem","software","design","tools","development","architecture","similar"}, LOWER(Table1938[[#This Row],[Title]]))))&gt;0</f>
        <v>0</v>
      </c>
      <c r="AA136" s="2" t="b" cm="1">
        <f t="array" ref="AA136">SUMPRODUCT(--ISNUMBER(SEARCH({"dimensional analysis","dimensionless coefficients","Π","Pi","theorem","software","design","tools","development","architecture","similar"}, LOWER(Table1938[[#This Row],[Abstract]]))))&gt;0</f>
        <v>0</v>
      </c>
      <c r="AB136" s="2" t="b">
        <f>AND(OR(Table1938[[#This Row],[IC-01 @2024]:[IC-01 @2020]])=TRUE,Table1938[[#This Row],[IC-02]]=TRUE,Table1938[[#This Row],[IC-03]]=TRUE,Table1938[[#This Row],[IC-04]]=TRUE,Table1938[[#This Row],[IC-05]]=TRUE)</f>
        <v>0</v>
      </c>
      <c r="AC136" s="2" t="b">
        <f>AND(Table1938[[#This Row],[Pass-IC]]=TRUE,Table1938[[#This Row],[Pass-EC]]=TRUE)</f>
        <v>0</v>
      </c>
      <c r="AD136" s="2" t="b">
        <f>COUNTIF($D$25:D136, Table1938[[#This Row],[Title]]) = 1</f>
        <v>1</v>
      </c>
      <c r="AE136" s="2" t="b">
        <f>AND(Table1938[[#This Row],[IC + EC]:[Unique]])</f>
        <v>0</v>
      </c>
      <c r="AF136" s="2" t="b">
        <v>0</v>
      </c>
      <c r="AG136" s="2" t="b">
        <v>0</v>
      </c>
      <c r="AH136" s="2" t="b">
        <v>0</v>
      </c>
      <c r="AI136" s="2" t="b">
        <f>IF(AND(Table1938[[#This Row],[Double Check]]=TRUE,Table1938[[#This Row],[Inspected]]=TRUE,Table1938[[#This Row],[Relevant]]=TRUE),TRUE,FALSE)</f>
        <v>0</v>
      </c>
    </row>
    <row r="137" spans="1:35" ht="86" x14ac:dyDescent="0.5">
      <c r="A137" s="2">
        <v>136</v>
      </c>
      <c r="B137" s="20" t="s">
        <v>80</v>
      </c>
      <c r="C137" s="20" t="s">
        <v>2967</v>
      </c>
      <c r="D137" s="20" t="s">
        <v>530</v>
      </c>
      <c r="E137" s="20" t="s">
        <v>496</v>
      </c>
      <c r="F137" s="2" t="s">
        <v>607</v>
      </c>
      <c r="G137" s="20" t="s">
        <v>538</v>
      </c>
      <c r="H137" s="36">
        <v>43249</v>
      </c>
      <c r="I137" s="20">
        <v>2018</v>
      </c>
      <c r="J137" s="20" t="s">
        <v>61</v>
      </c>
      <c r="K137" s="20" t="s">
        <v>123</v>
      </c>
      <c r="L137" s="20" t="s">
        <v>2515</v>
      </c>
      <c r="M137" s="20" t="s">
        <v>576</v>
      </c>
      <c r="N137" s="20" t="b">
        <v>1</v>
      </c>
      <c r="O137" s="2" t="b">
        <f>IF(Table1938[[#This Row],[Title]]="",TRUE,FALSE)</f>
        <v>0</v>
      </c>
      <c r="P137" s="2" t="b">
        <f>IF(Table1938[[#This Row],[Author]]="",TRUE,FALSE)</f>
        <v>0</v>
      </c>
      <c r="Q137" s="2" t="b">
        <f>IF(Table1938[[#This Row],[DOI]]&lt;&gt;"", FALSE,TRUE)</f>
        <v>0</v>
      </c>
      <c r="R137" s="2" t="b">
        <f>IF(Table1938[[#This Row],[Abstract]]="",TRUE,FALSE)</f>
        <v>0</v>
      </c>
      <c r="S137" s="2" t="b">
        <f>IF(OR(Table1938[[#This Row],[Document Type]]="book",Table1938[[#This Row],[Document Type]]="bookSection"),TRUE,FALSE)</f>
        <v>0</v>
      </c>
      <c r="T137" s="2" t="b">
        <f>NOT(IF(OR(Table1938[[#This Row],[Language]]&lt;&gt;"en",Table1938[[#This Row],[Language]]&lt;&gt;"EN",Table1938[[#This Row],[Language]]&lt;&gt;"spa",Table1938[[#This Row],[Language]]&lt;&gt;"SPA"),TRUE,FALSE))</f>
        <v>0</v>
      </c>
      <c r="U137" s="2" t="b">
        <f>IF(AND(Table1938[[#This Row],[EC-01]]=FALSE,Table1938[[#This Row],[EC-02]]=FALSE,Table1938[[#This Row],[EC-03]]=FALSE,Table1938[[#This Row],[EC-04]]=FALSE,Table1938[[#This Row],[EC-05]]=FALSE,Table1938[[#This Row],[EC-06]]=FALSE),TRUE,FALSE)</f>
        <v>1</v>
      </c>
      <c r="V137" s="2" t="b">
        <f>IF(Table1938[[#This Row],[Date]]&lt;&gt;"",AND(YEAR(Table1938[[#This Row],[Date]])&gt;=2010, YEAR(Table1938[[#This Row],[Date]])&lt;=2024),FALSE)</f>
        <v>1</v>
      </c>
      <c r="W137" s="2" t="b">
        <f>IF(Table1938[[#This Row],[Date]]&lt;&gt;"",AND(YEAR(Table1938[[#This Row],[Date]])&gt;=2010, YEAR(Table1938[[#This Row],[Date]])&lt;=2020),FALSE)</f>
        <v>1</v>
      </c>
      <c r="X137" s="2" t="b">
        <f>IF(AND(Table1938[[#This Row],[Accesible]]=TRUE,Table1938[[#This Row],[DOI]]&lt;&gt;""),TRUE,FALSE)</f>
        <v>1</v>
      </c>
      <c r="Y137" s="2" t="b">
        <f>OR(Table1938[[#This Row],[Document Type]]="journalArticle",Table1938[[#This Row],[Document Type]]="conferencePaper",Table1938[[#This Row],[Document Type]]="review")</f>
        <v>1</v>
      </c>
      <c r="Z137" s="2" t="b" cm="1">
        <f t="array" ref="Z137">SUMPRODUCT(--ISNUMBER(SEARCH({"dimensional analysis","dimensionless coefficients","Π","Pi","theorem","software","design","tools","development","architecture","similar"}, LOWER(Table1938[[#This Row],[Title]]))))&gt;0</f>
        <v>0</v>
      </c>
      <c r="AA137" s="2" t="b" cm="1">
        <f t="array" ref="AA137">SUMPRODUCT(--ISNUMBER(SEARCH({"dimensional analysis","dimensionless coefficients","Π","Pi","theorem","software","design","tools","development","architecture","similar"}, LOWER(Table1938[[#This Row],[Abstract]]))))&gt;0</f>
        <v>0</v>
      </c>
      <c r="AB137" s="2" t="b">
        <f>AND(OR(Table1938[[#This Row],[IC-01 @2024]:[IC-01 @2020]])=TRUE,Table1938[[#This Row],[IC-02]]=TRUE,Table1938[[#This Row],[IC-03]]=TRUE,Table1938[[#This Row],[IC-04]]=TRUE,Table1938[[#This Row],[IC-05]]=TRUE)</f>
        <v>0</v>
      </c>
      <c r="AC137" s="2" t="b">
        <f>AND(Table1938[[#This Row],[Pass-IC]]=TRUE,Table1938[[#This Row],[Pass-EC]]=TRUE)</f>
        <v>0</v>
      </c>
      <c r="AD137" s="2" t="b">
        <f>COUNTIF($D$25:D137, Table1938[[#This Row],[Title]]) = 1</f>
        <v>1</v>
      </c>
      <c r="AE137" s="2" t="b">
        <f>AND(Table1938[[#This Row],[IC + EC]:[Unique]])</f>
        <v>0</v>
      </c>
      <c r="AF137" s="2" t="b">
        <v>0</v>
      </c>
      <c r="AG137" s="2" t="b">
        <v>0</v>
      </c>
      <c r="AH137" s="2" t="b">
        <v>0</v>
      </c>
      <c r="AI137" s="2" t="b">
        <f>IF(AND(Table1938[[#This Row],[Double Check]]=TRUE,Table1938[[#This Row],[Inspected]]=TRUE,Table1938[[#This Row],[Relevant]]=TRUE),TRUE,FALSE)</f>
        <v>0</v>
      </c>
    </row>
    <row r="138" spans="1:35" ht="57.35" x14ac:dyDescent="0.5">
      <c r="A138" s="2">
        <v>137</v>
      </c>
      <c r="B138" s="20" t="s">
        <v>80</v>
      </c>
      <c r="C138" s="20" t="s">
        <v>2968</v>
      </c>
      <c r="D138" s="20" t="s">
        <v>505</v>
      </c>
      <c r="E138" s="20" t="s">
        <v>471</v>
      </c>
      <c r="F138" s="2" t="s">
        <v>123</v>
      </c>
      <c r="G138" s="20" t="s">
        <v>69</v>
      </c>
      <c r="H138" s="36">
        <v>41284</v>
      </c>
      <c r="I138" s="20">
        <v>2013</v>
      </c>
      <c r="J138" s="20" t="s">
        <v>61</v>
      </c>
      <c r="K138" s="20" t="s">
        <v>123</v>
      </c>
      <c r="L138" s="20" t="s">
        <v>2515</v>
      </c>
      <c r="M138" s="20" t="s">
        <v>551</v>
      </c>
      <c r="N138" s="20" t="b">
        <v>1</v>
      </c>
      <c r="O138" s="2" t="b">
        <f>IF(Table1938[[#This Row],[Title]]="",TRUE,FALSE)</f>
        <v>0</v>
      </c>
      <c r="P138" s="2" t="b">
        <f>IF(Table1938[[#This Row],[Author]]="",TRUE,FALSE)</f>
        <v>0</v>
      </c>
      <c r="Q138" s="2" t="b">
        <f>IF(Table1938[[#This Row],[DOI]]&lt;&gt;"", FALSE,TRUE)</f>
        <v>0</v>
      </c>
      <c r="R138" s="2" t="b">
        <f>IF(Table1938[[#This Row],[Abstract]]="",TRUE,FALSE)</f>
        <v>1</v>
      </c>
      <c r="S138" s="2" t="b">
        <f>IF(OR(Table1938[[#This Row],[Document Type]]="book",Table1938[[#This Row],[Document Type]]="bookSection"),TRUE,FALSE)</f>
        <v>0</v>
      </c>
      <c r="T138" s="2" t="b">
        <f>NOT(IF(OR(Table1938[[#This Row],[Language]]&lt;&gt;"en",Table1938[[#This Row],[Language]]&lt;&gt;"EN",Table1938[[#This Row],[Language]]&lt;&gt;"spa",Table1938[[#This Row],[Language]]&lt;&gt;"SPA"),TRUE,FALSE))</f>
        <v>0</v>
      </c>
      <c r="U138" s="2" t="b">
        <f>IF(AND(Table1938[[#This Row],[EC-01]]=FALSE,Table1938[[#This Row],[EC-02]]=FALSE,Table1938[[#This Row],[EC-03]]=FALSE,Table1938[[#This Row],[EC-04]]=FALSE,Table1938[[#This Row],[EC-05]]=FALSE,Table1938[[#This Row],[EC-06]]=FALSE),TRUE,FALSE)</f>
        <v>0</v>
      </c>
      <c r="V138" s="2" t="b">
        <f>IF(Table1938[[#This Row],[Date]]&lt;&gt;"",AND(YEAR(Table1938[[#This Row],[Date]])&gt;=2010, YEAR(Table1938[[#This Row],[Date]])&lt;=2024),FALSE)</f>
        <v>1</v>
      </c>
      <c r="W138" s="2" t="b">
        <f>IF(Table1938[[#This Row],[Date]]&lt;&gt;"",AND(YEAR(Table1938[[#This Row],[Date]])&gt;=2010, YEAR(Table1938[[#This Row],[Date]])&lt;=2020),FALSE)</f>
        <v>1</v>
      </c>
      <c r="X138" s="2" t="b">
        <f>IF(AND(Table1938[[#This Row],[Accesible]]=TRUE,Table1938[[#This Row],[DOI]]&lt;&gt;""),TRUE,FALSE)</f>
        <v>1</v>
      </c>
      <c r="Y138" s="2" t="b">
        <f>OR(Table1938[[#This Row],[Document Type]]="journalArticle",Table1938[[#This Row],[Document Type]]="conferencePaper",Table1938[[#This Row],[Document Type]]="review")</f>
        <v>1</v>
      </c>
      <c r="Z138" s="2" t="b" cm="1">
        <f t="array" ref="Z138">SUMPRODUCT(--ISNUMBER(SEARCH({"dimensional analysis","dimensionless coefficients","Π","Pi","theorem","software","design","tools","development","architecture","similar"}, LOWER(Table1938[[#This Row],[Title]]))))&gt;0</f>
        <v>0</v>
      </c>
      <c r="AA138" s="2" t="b" cm="1">
        <f t="array" ref="AA138">SUMPRODUCT(--ISNUMBER(SEARCH({"dimensional analysis","dimensionless coefficients","Π","Pi","theorem","software","design","tools","development","architecture","similar"}, LOWER(Table1938[[#This Row],[Abstract]]))))&gt;0</f>
        <v>0</v>
      </c>
      <c r="AB138" s="2" t="b">
        <f>AND(OR(Table1938[[#This Row],[IC-01 @2024]:[IC-01 @2020]])=TRUE,Table1938[[#This Row],[IC-02]]=TRUE,Table1938[[#This Row],[IC-03]]=TRUE,Table1938[[#This Row],[IC-04]]=TRUE,Table1938[[#This Row],[IC-05]]=TRUE)</f>
        <v>0</v>
      </c>
      <c r="AC138" s="2" t="b">
        <f>AND(Table1938[[#This Row],[Pass-IC]]=TRUE,Table1938[[#This Row],[Pass-EC]]=TRUE)</f>
        <v>0</v>
      </c>
      <c r="AD138" s="2" t="b">
        <f>COUNTIF($D$25:D138, Table1938[[#This Row],[Title]]) = 1</f>
        <v>1</v>
      </c>
      <c r="AE138" s="2" t="b">
        <f>AND(Table1938[[#This Row],[IC + EC]:[Unique]])</f>
        <v>0</v>
      </c>
      <c r="AF138" s="2" t="b">
        <v>0</v>
      </c>
      <c r="AG138" s="2" t="b">
        <v>0</v>
      </c>
      <c r="AH138" s="2" t="b">
        <v>0</v>
      </c>
      <c r="AI138" s="2" t="b">
        <f>IF(AND(Table1938[[#This Row],[Double Check]]=TRUE,Table1938[[#This Row],[Inspected]]=TRUE,Table1938[[#This Row],[Relevant]]=TRUE),TRUE,FALSE)</f>
        <v>0</v>
      </c>
    </row>
    <row r="139" spans="1:35" ht="71.7" x14ac:dyDescent="0.5">
      <c r="A139" s="2">
        <v>138</v>
      </c>
      <c r="B139" s="20" t="s">
        <v>80</v>
      </c>
      <c r="C139" s="20" t="s">
        <v>2969</v>
      </c>
      <c r="D139" s="20" t="s">
        <v>508</v>
      </c>
      <c r="E139" s="20" t="s">
        <v>474</v>
      </c>
      <c r="F139" s="2" t="s">
        <v>587</v>
      </c>
      <c r="G139" s="20" t="s">
        <v>537</v>
      </c>
      <c r="H139" s="36">
        <v>44354</v>
      </c>
      <c r="I139" s="20">
        <v>2021</v>
      </c>
      <c r="J139" s="20" t="s">
        <v>61</v>
      </c>
      <c r="K139" s="20" t="s">
        <v>123</v>
      </c>
      <c r="L139" s="20" t="s">
        <v>2515</v>
      </c>
      <c r="M139" s="20" t="s">
        <v>554</v>
      </c>
      <c r="N139" s="20" t="b">
        <v>1</v>
      </c>
      <c r="O139" s="2" t="b">
        <f>IF(Table1938[[#This Row],[Title]]="",TRUE,FALSE)</f>
        <v>0</v>
      </c>
      <c r="P139" s="2" t="b">
        <f>IF(Table1938[[#This Row],[Author]]="",TRUE,FALSE)</f>
        <v>0</v>
      </c>
      <c r="Q139" s="2" t="b">
        <f>IF(Table1938[[#This Row],[DOI]]&lt;&gt;"", FALSE,TRUE)</f>
        <v>0</v>
      </c>
      <c r="R139" s="2" t="b">
        <f>IF(Table1938[[#This Row],[Abstract]]="",TRUE,FALSE)</f>
        <v>0</v>
      </c>
      <c r="S139" s="2" t="b">
        <f>IF(OR(Table1938[[#This Row],[Document Type]]="book",Table1938[[#This Row],[Document Type]]="bookSection"),TRUE,FALSE)</f>
        <v>0</v>
      </c>
      <c r="T139" s="2" t="b">
        <f>NOT(IF(OR(Table1938[[#This Row],[Language]]&lt;&gt;"en",Table1938[[#This Row],[Language]]&lt;&gt;"EN",Table1938[[#This Row],[Language]]&lt;&gt;"spa",Table1938[[#This Row],[Language]]&lt;&gt;"SPA"),TRUE,FALSE))</f>
        <v>0</v>
      </c>
      <c r="U139" s="2" t="b">
        <f>IF(AND(Table1938[[#This Row],[EC-01]]=FALSE,Table1938[[#This Row],[EC-02]]=FALSE,Table1938[[#This Row],[EC-03]]=FALSE,Table1938[[#This Row],[EC-04]]=FALSE,Table1938[[#This Row],[EC-05]]=FALSE,Table1938[[#This Row],[EC-06]]=FALSE),TRUE,FALSE)</f>
        <v>1</v>
      </c>
      <c r="V139" s="2" t="b">
        <f>IF(Table1938[[#This Row],[Date]]&lt;&gt;"",AND(YEAR(Table1938[[#This Row],[Date]])&gt;=2010, YEAR(Table1938[[#This Row],[Date]])&lt;=2024),FALSE)</f>
        <v>1</v>
      </c>
      <c r="W139" s="2" t="b">
        <f>IF(Table1938[[#This Row],[Date]]&lt;&gt;"",AND(YEAR(Table1938[[#This Row],[Date]])&gt;=2010, YEAR(Table1938[[#This Row],[Date]])&lt;=2020),FALSE)</f>
        <v>0</v>
      </c>
      <c r="X139" s="2" t="b">
        <f>IF(AND(Table1938[[#This Row],[Accesible]]=TRUE,Table1938[[#This Row],[DOI]]&lt;&gt;""),TRUE,FALSE)</f>
        <v>1</v>
      </c>
      <c r="Y139" s="2" t="b">
        <f>OR(Table1938[[#This Row],[Document Type]]="journalArticle",Table1938[[#This Row],[Document Type]]="conferencePaper",Table1938[[#This Row],[Document Type]]="review")</f>
        <v>1</v>
      </c>
      <c r="Z139" s="2" t="b" cm="1">
        <f t="array" ref="Z139">SUMPRODUCT(--ISNUMBER(SEARCH({"dimensional analysis","dimensionless coefficients","Π","Pi","theorem","software","design","tools","development","architecture","similar"}, LOWER(Table1938[[#This Row],[Title]]))))&gt;0</f>
        <v>0</v>
      </c>
      <c r="AA139" s="2" t="b" cm="1">
        <f t="array" ref="AA139">SUMPRODUCT(--ISNUMBER(SEARCH({"dimensional analysis","dimensionless coefficients","Π","Pi","theorem","software","design","tools","development","architecture","similar"}, LOWER(Table1938[[#This Row],[Abstract]]))))&gt;0</f>
        <v>1</v>
      </c>
      <c r="AB139" s="2" t="b">
        <f>AND(OR(Table1938[[#This Row],[IC-01 @2024]:[IC-01 @2020]])=TRUE,Table1938[[#This Row],[IC-02]]=TRUE,Table1938[[#This Row],[IC-03]]=TRUE,Table1938[[#This Row],[IC-04]]=TRUE,Table1938[[#This Row],[IC-05]]=TRUE)</f>
        <v>0</v>
      </c>
      <c r="AC139" s="2" t="b">
        <f>AND(Table1938[[#This Row],[Pass-IC]]=TRUE,Table1938[[#This Row],[Pass-EC]]=TRUE)</f>
        <v>0</v>
      </c>
      <c r="AD139" s="2" t="b">
        <f>COUNTIF($D$25:D139, Table1938[[#This Row],[Title]]) = 1</f>
        <v>1</v>
      </c>
      <c r="AE139" s="2" t="b">
        <f>AND(Table1938[[#This Row],[IC + EC]:[Unique]])</f>
        <v>0</v>
      </c>
      <c r="AF139" s="2" t="b">
        <v>0</v>
      </c>
      <c r="AG139" s="2" t="b">
        <v>0</v>
      </c>
      <c r="AH139" s="2" t="b">
        <v>0</v>
      </c>
      <c r="AI139" s="2" t="b">
        <f>IF(AND(Table1938[[#This Row],[Double Check]]=TRUE,Table1938[[#This Row],[Inspected]]=TRUE,Table1938[[#This Row],[Relevant]]=TRUE),TRUE,FALSE)</f>
        <v>0</v>
      </c>
    </row>
    <row r="140" spans="1:35" ht="57.35" x14ac:dyDescent="0.5">
      <c r="A140" s="2">
        <v>139</v>
      </c>
      <c r="B140" s="20" t="s">
        <v>80</v>
      </c>
      <c r="C140" s="20" t="s">
        <v>2970</v>
      </c>
      <c r="D140" s="20" t="s">
        <v>503</v>
      </c>
      <c r="E140" s="20" t="s">
        <v>469</v>
      </c>
      <c r="F140" s="2" t="s">
        <v>583</v>
      </c>
      <c r="G140" s="20" t="s">
        <v>71</v>
      </c>
      <c r="H140" s="36">
        <v>43950</v>
      </c>
      <c r="I140" s="20">
        <v>2020</v>
      </c>
      <c r="J140" s="20" t="s">
        <v>61</v>
      </c>
      <c r="K140" s="20" t="s">
        <v>123</v>
      </c>
      <c r="L140" s="20" t="s">
        <v>2515</v>
      </c>
      <c r="M140" s="20" t="s">
        <v>549</v>
      </c>
      <c r="N140" s="20" t="b">
        <v>1</v>
      </c>
      <c r="O140" s="2" t="b">
        <f>IF(Table1938[[#This Row],[Title]]="",TRUE,FALSE)</f>
        <v>0</v>
      </c>
      <c r="P140" s="2" t="b">
        <f>IF(Table1938[[#This Row],[Author]]="",TRUE,FALSE)</f>
        <v>0</v>
      </c>
      <c r="Q140" s="2" t="b">
        <f>IF(Table1938[[#This Row],[DOI]]&lt;&gt;"", FALSE,TRUE)</f>
        <v>0</v>
      </c>
      <c r="R140" s="2" t="b">
        <f>IF(Table1938[[#This Row],[Abstract]]="",TRUE,FALSE)</f>
        <v>0</v>
      </c>
      <c r="S140" s="2" t="b">
        <f>IF(OR(Table1938[[#This Row],[Document Type]]="book",Table1938[[#This Row],[Document Type]]="bookSection"),TRUE,FALSE)</f>
        <v>0</v>
      </c>
      <c r="T140" s="2" t="b">
        <f>NOT(IF(OR(Table1938[[#This Row],[Language]]&lt;&gt;"en",Table1938[[#This Row],[Language]]&lt;&gt;"EN",Table1938[[#This Row],[Language]]&lt;&gt;"spa",Table1938[[#This Row],[Language]]&lt;&gt;"SPA"),TRUE,FALSE))</f>
        <v>0</v>
      </c>
      <c r="U140" s="2" t="b">
        <f>IF(AND(Table1938[[#This Row],[EC-01]]=FALSE,Table1938[[#This Row],[EC-02]]=FALSE,Table1938[[#This Row],[EC-03]]=FALSE,Table1938[[#This Row],[EC-04]]=FALSE,Table1938[[#This Row],[EC-05]]=FALSE,Table1938[[#This Row],[EC-06]]=FALSE),TRUE,FALSE)</f>
        <v>1</v>
      </c>
      <c r="V140" s="2" t="b">
        <f>IF(Table1938[[#This Row],[Date]]&lt;&gt;"",AND(YEAR(Table1938[[#This Row],[Date]])&gt;=2010, YEAR(Table1938[[#This Row],[Date]])&lt;=2024),FALSE)</f>
        <v>1</v>
      </c>
      <c r="W140" s="2" t="b">
        <f>IF(Table1938[[#This Row],[Date]]&lt;&gt;"",AND(YEAR(Table1938[[#This Row],[Date]])&gt;=2010, YEAR(Table1938[[#This Row],[Date]])&lt;=2020),FALSE)</f>
        <v>1</v>
      </c>
      <c r="X140" s="2" t="b">
        <f>IF(AND(Table1938[[#This Row],[Accesible]]=TRUE,Table1938[[#This Row],[DOI]]&lt;&gt;""),TRUE,FALSE)</f>
        <v>1</v>
      </c>
      <c r="Y140" s="2" t="b">
        <f>OR(Table1938[[#This Row],[Document Type]]="journalArticle",Table1938[[#This Row],[Document Type]]="conferencePaper",Table1938[[#This Row],[Document Type]]="review")</f>
        <v>1</v>
      </c>
      <c r="Z140" s="2" t="b" cm="1">
        <f t="array" ref="Z140">SUMPRODUCT(--ISNUMBER(SEARCH({"dimensional analysis","dimensionless coefficients","Π","Pi","theorem","software","design","tools","development","architecture","similar"}, LOWER(Table1938[[#This Row],[Title]]))))&gt;0</f>
        <v>1</v>
      </c>
      <c r="AA140" s="2" t="b" cm="1">
        <f t="array" ref="AA140">SUMPRODUCT(--ISNUMBER(SEARCH({"dimensional analysis","dimensionless coefficients","Π","Pi","theorem","software","design","tools","development","architecture","similar"}, LOWER(Table1938[[#This Row],[Abstract]]))))&gt;0</f>
        <v>1</v>
      </c>
      <c r="AB140" s="2" t="b">
        <f>AND(OR(Table1938[[#This Row],[IC-01 @2024]:[IC-01 @2020]])=TRUE,Table1938[[#This Row],[IC-02]]=TRUE,Table1938[[#This Row],[IC-03]]=TRUE,Table1938[[#This Row],[IC-04]]=TRUE,Table1938[[#This Row],[IC-05]]=TRUE)</f>
        <v>1</v>
      </c>
      <c r="AC140" s="2" t="b">
        <f>AND(Table1938[[#This Row],[Pass-IC]]=TRUE,Table1938[[#This Row],[Pass-EC]]=TRUE)</f>
        <v>1</v>
      </c>
      <c r="AD140" s="2" t="b">
        <f>COUNTIF($D$25:D140, Table1938[[#This Row],[Title]]) = 1</f>
        <v>1</v>
      </c>
      <c r="AE140" s="2" t="b">
        <f>AND(Table1938[[#This Row],[IC + EC]:[Unique]])</f>
        <v>1</v>
      </c>
      <c r="AF140" s="2" t="b">
        <v>1</v>
      </c>
      <c r="AG140" s="2" t="b">
        <v>0</v>
      </c>
      <c r="AH140" s="2" t="b">
        <v>0</v>
      </c>
      <c r="AI140" s="2" t="b">
        <f>IF(AND(Table1938[[#This Row],[Double Check]]=TRUE,Table1938[[#This Row],[Inspected]]=TRUE,Table1938[[#This Row],[Relevant]]=TRUE),TRUE,FALSE)</f>
        <v>0</v>
      </c>
    </row>
    <row r="141" spans="1:35" ht="57.35" x14ac:dyDescent="0.5">
      <c r="A141" s="2">
        <v>140</v>
      </c>
      <c r="B141" s="20" t="s">
        <v>80</v>
      </c>
      <c r="C141" s="20" t="s">
        <v>2971</v>
      </c>
      <c r="D141" s="20" t="s">
        <v>534</v>
      </c>
      <c r="E141" s="20" t="s">
        <v>500</v>
      </c>
      <c r="F141" s="2" t="s">
        <v>610</v>
      </c>
      <c r="G141" s="20" t="s">
        <v>546</v>
      </c>
      <c r="H141" s="36">
        <v>40343</v>
      </c>
      <c r="I141" s="20">
        <v>2010</v>
      </c>
      <c r="J141" s="20" t="s">
        <v>61</v>
      </c>
      <c r="K141" s="20" t="s">
        <v>123</v>
      </c>
      <c r="L141" s="20" t="s">
        <v>2515</v>
      </c>
      <c r="M141" s="20" t="s">
        <v>580</v>
      </c>
      <c r="N141" s="20" t="b">
        <v>1</v>
      </c>
      <c r="O141" s="2" t="b">
        <f>IF(Table1938[[#This Row],[Title]]="",TRUE,FALSE)</f>
        <v>0</v>
      </c>
      <c r="P141" s="2" t="b">
        <f>IF(Table1938[[#This Row],[Author]]="",TRUE,FALSE)</f>
        <v>0</v>
      </c>
      <c r="Q141" s="2" t="b">
        <f>IF(Table1938[[#This Row],[DOI]]&lt;&gt;"", FALSE,TRUE)</f>
        <v>0</v>
      </c>
      <c r="R141" s="2" t="b">
        <f>IF(Table1938[[#This Row],[Abstract]]="",TRUE,FALSE)</f>
        <v>0</v>
      </c>
      <c r="S141" s="2" t="b">
        <f>IF(OR(Table1938[[#This Row],[Document Type]]="book",Table1938[[#This Row],[Document Type]]="bookSection"),TRUE,FALSE)</f>
        <v>0</v>
      </c>
      <c r="T141" s="2" t="b">
        <f>NOT(IF(OR(Table1938[[#This Row],[Language]]&lt;&gt;"en",Table1938[[#This Row],[Language]]&lt;&gt;"EN",Table1938[[#This Row],[Language]]&lt;&gt;"spa",Table1938[[#This Row],[Language]]&lt;&gt;"SPA"),TRUE,FALSE))</f>
        <v>0</v>
      </c>
      <c r="U141" s="2" t="b">
        <f>IF(AND(Table1938[[#This Row],[EC-01]]=FALSE,Table1938[[#This Row],[EC-02]]=FALSE,Table1938[[#This Row],[EC-03]]=FALSE,Table1938[[#This Row],[EC-04]]=FALSE,Table1938[[#This Row],[EC-05]]=FALSE,Table1938[[#This Row],[EC-06]]=FALSE),TRUE,FALSE)</f>
        <v>1</v>
      </c>
      <c r="V141" s="2" t="b">
        <f>IF(Table1938[[#This Row],[Date]]&lt;&gt;"",AND(YEAR(Table1938[[#This Row],[Date]])&gt;=2010, YEAR(Table1938[[#This Row],[Date]])&lt;=2024),FALSE)</f>
        <v>1</v>
      </c>
      <c r="W141" s="2" t="b">
        <f>IF(Table1938[[#This Row],[Date]]&lt;&gt;"",AND(YEAR(Table1938[[#This Row],[Date]])&gt;=2010, YEAR(Table1938[[#This Row],[Date]])&lt;=2020),FALSE)</f>
        <v>1</v>
      </c>
      <c r="X141" s="2" t="b">
        <f>IF(AND(Table1938[[#This Row],[Accesible]]=TRUE,Table1938[[#This Row],[DOI]]&lt;&gt;""),TRUE,FALSE)</f>
        <v>1</v>
      </c>
      <c r="Y141" s="2" t="b">
        <f>OR(Table1938[[#This Row],[Document Type]]="journalArticle",Table1938[[#This Row],[Document Type]]="conferencePaper",Table1938[[#This Row],[Document Type]]="review")</f>
        <v>1</v>
      </c>
      <c r="Z141" s="2" t="b" cm="1">
        <f t="array" ref="Z141">SUMPRODUCT(--ISNUMBER(SEARCH({"dimensional analysis","dimensionless coefficients","Π","Pi","theorem","software","design","tools","development","architecture","similar"}, LOWER(Table1938[[#This Row],[Title]]))))&gt;0</f>
        <v>0</v>
      </c>
      <c r="AA141" s="2" t="b" cm="1">
        <f t="array" ref="AA141">SUMPRODUCT(--ISNUMBER(SEARCH({"dimensional analysis","dimensionless coefficients","Π","Pi","theorem","software","design","tools","development","architecture","similar"}, LOWER(Table1938[[#This Row],[Abstract]]))))&gt;0</f>
        <v>1</v>
      </c>
      <c r="AB141" s="2" t="b">
        <f>AND(OR(Table1938[[#This Row],[IC-01 @2024]:[IC-01 @2020]])=TRUE,Table1938[[#This Row],[IC-02]]=TRUE,Table1938[[#This Row],[IC-03]]=TRUE,Table1938[[#This Row],[IC-04]]=TRUE,Table1938[[#This Row],[IC-05]]=TRUE)</f>
        <v>0</v>
      </c>
      <c r="AC141" s="2" t="b">
        <f>AND(Table1938[[#This Row],[Pass-IC]]=TRUE,Table1938[[#This Row],[Pass-EC]]=TRUE)</f>
        <v>0</v>
      </c>
      <c r="AD141" s="2" t="b">
        <f>COUNTIF($D$25:D141, Table1938[[#This Row],[Title]]) = 1</f>
        <v>1</v>
      </c>
      <c r="AE141" s="2" t="b">
        <f>AND(Table1938[[#This Row],[IC + EC]:[Unique]])</f>
        <v>0</v>
      </c>
      <c r="AF141" s="2" t="b">
        <v>0</v>
      </c>
      <c r="AG141" s="2" t="b">
        <v>0</v>
      </c>
      <c r="AH141" s="2" t="b">
        <v>0</v>
      </c>
      <c r="AI141" s="2" t="b">
        <f>IF(AND(Table1938[[#This Row],[Double Check]]=TRUE,Table1938[[#This Row],[Inspected]]=TRUE,Table1938[[#This Row],[Relevant]]=TRUE),TRUE,FALSE)</f>
        <v>0</v>
      </c>
    </row>
    <row r="142" spans="1:35" ht="43" x14ac:dyDescent="0.5">
      <c r="A142" s="2">
        <v>141</v>
      </c>
      <c r="B142" s="20" t="s">
        <v>80</v>
      </c>
      <c r="C142" s="20" t="s">
        <v>2972</v>
      </c>
      <c r="D142" s="20" t="s">
        <v>502</v>
      </c>
      <c r="E142" s="20" t="s">
        <v>468</v>
      </c>
      <c r="F142" s="2" t="s">
        <v>582</v>
      </c>
      <c r="G142" s="20" t="s">
        <v>69</v>
      </c>
      <c r="H142" s="36">
        <v>43733</v>
      </c>
      <c r="I142" s="20">
        <v>2019</v>
      </c>
      <c r="J142" s="20" t="s">
        <v>61</v>
      </c>
      <c r="K142" s="20" t="s">
        <v>123</v>
      </c>
      <c r="L142" s="20" t="s">
        <v>2515</v>
      </c>
      <c r="M142" s="20" t="s">
        <v>548</v>
      </c>
      <c r="N142" s="20" t="b">
        <v>1</v>
      </c>
      <c r="O142" s="2" t="b">
        <f>IF(Table1938[[#This Row],[Title]]="",TRUE,FALSE)</f>
        <v>0</v>
      </c>
      <c r="P142" s="2" t="b">
        <f>IF(Table1938[[#This Row],[Author]]="",TRUE,FALSE)</f>
        <v>0</v>
      </c>
      <c r="Q142" s="2" t="b">
        <f>IF(Table1938[[#This Row],[DOI]]&lt;&gt;"", FALSE,TRUE)</f>
        <v>0</v>
      </c>
      <c r="R142" s="2" t="b">
        <f>IF(Table1938[[#This Row],[Abstract]]="",TRUE,FALSE)</f>
        <v>0</v>
      </c>
      <c r="S142" s="2" t="b">
        <f>IF(OR(Table1938[[#This Row],[Document Type]]="book",Table1938[[#This Row],[Document Type]]="bookSection"),TRUE,FALSE)</f>
        <v>0</v>
      </c>
      <c r="T142" s="2" t="b">
        <f>NOT(IF(OR(Table1938[[#This Row],[Language]]&lt;&gt;"en",Table1938[[#This Row],[Language]]&lt;&gt;"EN",Table1938[[#This Row],[Language]]&lt;&gt;"spa",Table1938[[#This Row],[Language]]&lt;&gt;"SPA"),TRUE,FALSE))</f>
        <v>0</v>
      </c>
      <c r="U142" s="2" t="b">
        <f>IF(AND(Table1938[[#This Row],[EC-01]]=FALSE,Table1938[[#This Row],[EC-02]]=FALSE,Table1938[[#This Row],[EC-03]]=FALSE,Table1938[[#This Row],[EC-04]]=FALSE,Table1938[[#This Row],[EC-05]]=FALSE,Table1938[[#This Row],[EC-06]]=FALSE),TRUE,FALSE)</f>
        <v>1</v>
      </c>
      <c r="V142" s="2" t="b">
        <f>IF(Table1938[[#This Row],[Date]]&lt;&gt;"",AND(YEAR(Table1938[[#This Row],[Date]])&gt;=2010, YEAR(Table1938[[#This Row],[Date]])&lt;=2024),FALSE)</f>
        <v>1</v>
      </c>
      <c r="W142" s="2" t="b">
        <f>IF(Table1938[[#This Row],[Date]]&lt;&gt;"",AND(YEAR(Table1938[[#This Row],[Date]])&gt;=2010, YEAR(Table1938[[#This Row],[Date]])&lt;=2020),FALSE)</f>
        <v>1</v>
      </c>
      <c r="X142" s="2" t="b">
        <f>IF(AND(Table1938[[#This Row],[Accesible]]=TRUE,Table1938[[#This Row],[DOI]]&lt;&gt;""),TRUE,FALSE)</f>
        <v>1</v>
      </c>
      <c r="Y142" s="2" t="b">
        <f>OR(Table1938[[#This Row],[Document Type]]="journalArticle",Table1938[[#This Row],[Document Type]]="conferencePaper",Table1938[[#This Row],[Document Type]]="review")</f>
        <v>1</v>
      </c>
      <c r="Z142" s="2" t="b" cm="1">
        <f t="array" ref="Z142">SUMPRODUCT(--ISNUMBER(SEARCH({"dimensional analysis","dimensionless coefficients","Π","Pi","theorem","software","design","tools","development","architecture","similar"}, LOWER(Table1938[[#This Row],[Title]]))))&gt;0</f>
        <v>0</v>
      </c>
      <c r="AA142" s="2" t="b" cm="1">
        <f t="array" ref="AA142">SUMPRODUCT(--ISNUMBER(SEARCH({"dimensional analysis","dimensionless coefficients","Π","Pi","theorem","software","design","tools","development","architecture","similar"}, LOWER(Table1938[[#This Row],[Abstract]]))))&gt;0</f>
        <v>1</v>
      </c>
      <c r="AB142" s="2" t="b">
        <f>AND(OR(Table1938[[#This Row],[IC-01 @2024]:[IC-01 @2020]])=TRUE,Table1938[[#This Row],[IC-02]]=TRUE,Table1938[[#This Row],[IC-03]]=TRUE,Table1938[[#This Row],[IC-04]]=TRUE,Table1938[[#This Row],[IC-05]]=TRUE)</f>
        <v>0</v>
      </c>
      <c r="AC142" s="2" t="b">
        <f>AND(Table1938[[#This Row],[Pass-IC]]=TRUE,Table1938[[#This Row],[Pass-EC]]=TRUE)</f>
        <v>0</v>
      </c>
      <c r="AD142" s="2" t="b">
        <f>COUNTIF($D$25:D142, Table1938[[#This Row],[Title]]) = 1</f>
        <v>1</v>
      </c>
      <c r="AE142" s="2" t="b">
        <f>AND(Table1938[[#This Row],[IC + EC]:[Unique]])</f>
        <v>0</v>
      </c>
      <c r="AF142" s="2" t="b">
        <v>0</v>
      </c>
      <c r="AG142" s="2" t="b">
        <v>0</v>
      </c>
      <c r="AH142" s="2" t="b">
        <v>0</v>
      </c>
      <c r="AI142" s="2" t="b">
        <f>IF(AND(Table1938[[#This Row],[Double Check]]=TRUE,Table1938[[#This Row],[Inspected]]=TRUE,Table1938[[#This Row],[Relevant]]=TRUE),TRUE,FALSE)</f>
        <v>0</v>
      </c>
    </row>
    <row r="143" spans="1:35" ht="71.7" x14ac:dyDescent="0.5">
      <c r="A143" s="2">
        <v>142</v>
      </c>
      <c r="B143" s="20" t="s">
        <v>80</v>
      </c>
      <c r="C143" s="20" t="s">
        <v>2973</v>
      </c>
      <c r="D143" s="20" t="s">
        <v>516</v>
      </c>
      <c r="E143" s="20" t="s">
        <v>482</v>
      </c>
      <c r="F143" s="2" t="s">
        <v>595</v>
      </c>
      <c r="G143" s="20" t="s">
        <v>536</v>
      </c>
      <c r="H143" s="36">
        <v>44736</v>
      </c>
      <c r="I143" s="20">
        <v>2022</v>
      </c>
      <c r="J143" s="20" t="s">
        <v>61</v>
      </c>
      <c r="K143" s="20" t="s">
        <v>123</v>
      </c>
      <c r="L143" s="20" t="s">
        <v>2515</v>
      </c>
      <c r="M143" s="20" t="s">
        <v>562</v>
      </c>
      <c r="N143" s="20" t="b">
        <v>1</v>
      </c>
      <c r="O143" s="2" t="b">
        <f>IF(Table1938[[#This Row],[Title]]="",TRUE,FALSE)</f>
        <v>0</v>
      </c>
      <c r="P143" s="2" t="b">
        <f>IF(Table1938[[#This Row],[Author]]="",TRUE,FALSE)</f>
        <v>0</v>
      </c>
      <c r="Q143" s="2" t="b">
        <f>IF(Table1938[[#This Row],[DOI]]&lt;&gt;"", FALSE,TRUE)</f>
        <v>0</v>
      </c>
      <c r="R143" s="2" t="b">
        <f>IF(Table1938[[#This Row],[Abstract]]="",TRUE,FALSE)</f>
        <v>0</v>
      </c>
      <c r="S143" s="2" t="b">
        <f>IF(OR(Table1938[[#This Row],[Document Type]]="book",Table1938[[#This Row],[Document Type]]="bookSection"),TRUE,FALSE)</f>
        <v>0</v>
      </c>
      <c r="T143" s="2" t="b">
        <f>NOT(IF(OR(Table1938[[#This Row],[Language]]&lt;&gt;"en",Table1938[[#This Row],[Language]]&lt;&gt;"EN",Table1938[[#This Row],[Language]]&lt;&gt;"spa",Table1938[[#This Row],[Language]]&lt;&gt;"SPA"),TRUE,FALSE))</f>
        <v>0</v>
      </c>
      <c r="U143" s="2" t="b">
        <f>IF(AND(Table1938[[#This Row],[EC-01]]=FALSE,Table1938[[#This Row],[EC-02]]=FALSE,Table1938[[#This Row],[EC-03]]=FALSE,Table1938[[#This Row],[EC-04]]=FALSE,Table1938[[#This Row],[EC-05]]=FALSE,Table1938[[#This Row],[EC-06]]=FALSE),TRUE,FALSE)</f>
        <v>1</v>
      </c>
      <c r="V143" s="2" t="b">
        <f>IF(Table1938[[#This Row],[Date]]&lt;&gt;"",AND(YEAR(Table1938[[#This Row],[Date]])&gt;=2010, YEAR(Table1938[[#This Row],[Date]])&lt;=2024),FALSE)</f>
        <v>1</v>
      </c>
      <c r="W143" s="2" t="b">
        <f>IF(Table1938[[#This Row],[Date]]&lt;&gt;"",AND(YEAR(Table1938[[#This Row],[Date]])&gt;=2010, YEAR(Table1938[[#This Row],[Date]])&lt;=2020),FALSE)</f>
        <v>0</v>
      </c>
      <c r="X143" s="2" t="b">
        <f>IF(AND(Table1938[[#This Row],[Accesible]]=TRUE,Table1938[[#This Row],[DOI]]&lt;&gt;""),TRUE,FALSE)</f>
        <v>1</v>
      </c>
      <c r="Y143" s="2" t="b">
        <f>OR(Table1938[[#This Row],[Document Type]]="journalArticle",Table1938[[#This Row],[Document Type]]="conferencePaper",Table1938[[#This Row],[Document Type]]="review")</f>
        <v>1</v>
      </c>
      <c r="Z143" s="2" t="b" cm="1">
        <f t="array" ref="Z143">SUMPRODUCT(--ISNUMBER(SEARCH({"dimensional analysis","dimensionless coefficients","Π","Pi","theorem","software","design","tools","development","architecture","similar"}, LOWER(Table1938[[#This Row],[Title]]))))&gt;0</f>
        <v>0</v>
      </c>
      <c r="AA143" s="2" t="b" cm="1">
        <f t="array" ref="AA143">SUMPRODUCT(--ISNUMBER(SEARCH({"dimensional analysis","dimensionless coefficients","Π","Pi","theorem","software","design","tools","development","architecture","similar"}, LOWER(Table1938[[#This Row],[Abstract]]))))&gt;0</f>
        <v>1</v>
      </c>
      <c r="AB143" s="2" t="b">
        <f>AND(OR(Table1938[[#This Row],[IC-01 @2024]:[IC-01 @2020]])=TRUE,Table1938[[#This Row],[IC-02]]=TRUE,Table1938[[#This Row],[IC-03]]=TRUE,Table1938[[#This Row],[IC-04]]=TRUE,Table1938[[#This Row],[IC-05]]=TRUE)</f>
        <v>0</v>
      </c>
      <c r="AC143" s="2" t="b">
        <f>AND(Table1938[[#This Row],[Pass-IC]]=TRUE,Table1938[[#This Row],[Pass-EC]]=TRUE)</f>
        <v>0</v>
      </c>
      <c r="AD143" s="2" t="b">
        <f>COUNTIF($D$25:D143, Table1938[[#This Row],[Title]]) = 1</f>
        <v>1</v>
      </c>
      <c r="AE143" s="2" t="b">
        <f>AND(Table1938[[#This Row],[IC + EC]:[Unique]])</f>
        <v>0</v>
      </c>
      <c r="AF143" s="2" t="b">
        <v>0</v>
      </c>
      <c r="AG143" s="2" t="b">
        <v>0</v>
      </c>
      <c r="AH143" s="2" t="b">
        <v>0</v>
      </c>
      <c r="AI143" s="2" t="b">
        <f>IF(AND(Table1938[[#This Row],[Double Check]]=TRUE,Table1938[[#This Row],[Inspected]]=TRUE,Table1938[[#This Row],[Relevant]]=TRUE),TRUE,FALSE)</f>
        <v>0</v>
      </c>
    </row>
    <row r="144" spans="1:35" ht="43" x14ac:dyDescent="0.5">
      <c r="A144" s="2">
        <v>143</v>
      </c>
      <c r="B144" s="20" t="s">
        <v>80</v>
      </c>
      <c r="C144" s="20" t="s">
        <v>2974</v>
      </c>
      <c r="D144" s="20" t="s">
        <v>524</v>
      </c>
      <c r="E144" s="20" t="s">
        <v>490</v>
      </c>
      <c r="F144" s="2" t="s">
        <v>601</v>
      </c>
      <c r="G144" s="20" t="s">
        <v>71</v>
      </c>
      <c r="H144" s="36">
        <v>42451</v>
      </c>
      <c r="I144" s="20">
        <v>2016</v>
      </c>
      <c r="J144" s="20" t="s">
        <v>61</v>
      </c>
      <c r="K144" s="20" t="s">
        <v>123</v>
      </c>
      <c r="L144" s="20" t="s">
        <v>2515</v>
      </c>
      <c r="M144" s="20" t="s">
        <v>570</v>
      </c>
      <c r="N144" s="20" t="b">
        <v>1</v>
      </c>
      <c r="O144" s="2" t="b">
        <f>IF(Table1938[[#This Row],[Title]]="",TRUE,FALSE)</f>
        <v>0</v>
      </c>
      <c r="P144" s="2" t="b">
        <f>IF(Table1938[[#This Row],[Author]]="",TRUE,FALSE)</f>
        <v>0</v>
      </c>
      <c r="Q144" s="2" t="b">
        <f>IF(Table1938[[#This Row],[DOI]]&lt;&gt;"", FALSE,TRUE)</f>
        <v>0</v>
      </c>
      <c r="R144" s="2" t="b">
        <f>IF(Table1938[[#This Row],[Abstract]]="",TRUE,FALSE)</f>
        <v>0</v>
      </c>
      <c r="S144" s="2" t="b">
        <f>IF(OR(Table1938[[#This Row],[Document Type]]="book",Table1938[[#This Row],[Document Type]]="bookSection"),TRUE,FALSE)</f>
        <v>0</v>
      </c>
      <c r="T144" s="2" t="b">
        <f>NOT(IF(OR(Table1938[[#This Row],[Language]]&lt;&gt;"en",Table1938[[#This Row],[Language]]&lt;&gt;"EN",Table1938[[#This Row],[Language]]&lt;&gt;"spa",Table1938[[#This Row],[Language]]&lt;&gt;"SPA"),TRUE,FALSE))</f>
        <v>0</v>
      </c>
      <c r="U144" s="2" t="b">
        <f>IF(AND(Table1938[[#This Row],[EC-01]]=FALSE,Table1938[[#This Row],[EC-02]]=FALSE,Table1938[[#This Row],[EC-03]]=FALSE,Table1938[[#This Row],[EC-04]]=FALSE,Table1938[[#This Row],[EC-05]]=FALSE,Table1938[[#This Row],[EC-06]]=FALSE),TRUE,FALSE)</f>
        <v>1</v>
      </c>
      <c r="V144" s="2" t="b">
        <f>IF(Table1938[[#This Row],[Date]]&lt;&gt;"",AND(YEAR(Table1938[[#This Row],[Date]])&gt;=2010, YEAR(Table1938[[#This Row],[Date]])&lt;=2024),FALSE)</f>
        <v>1</v>
      </c>
      <c r="W144" s="2" t="b">
        <f>IF(Table1938[[#This Row],[Date]]&lt;&gt;"",AND(YEAR(Table1938[[#This Row],[Date]])&gt;=2010, YEAR(Table1938[[#This Row],[Date]])&lt;=2020),FALSE)</f>
        <v>1</v>
      </c>
      <c r="X144" s="2" t="b">
        <f>IF(AND(Table1938[[#This Row],[Accesible]]=TRUE,Table1938[[#This Row],[DOI]]&lt;&gt;""),TRUE,FALSE)</f>
        <v>1</v>
      </c>
      <c r="Y144" s="2" t="b">
        <f>OR(Table1938[[#This Row],[Document Type]]="journalArticle",Table1938[[#This Row],[Document Type]]="conferencePaper",Table1938[[#This Row],[Document Type]]="review")</f>
        <v>1</v>
      </c>
      <c r="Z144" s="2" t="b" cm="1">
        <f t="array" ref="Z144">SUMPRODUCT(--ISNUMBER(SEARCH({"dimensional analysis","dimensionless coefficients","Π","Pi","theorem","software","design","tools","development","architecture","similar"}, LOWER(Table1938[[#This Row],[Title]]))))&gt;0</f>
        <v>1</v>
      </c>
      <c r="AA144" s="2" t="b" cm="1">
        <f t="array" ref="AA144">SUMPRODUCT(--ISNUMBER(SEARCH({"dimensional analysis","dimensionless coefficients","Π","Pi","theorem","software","design","tools","development","architecture","similar"}, LOWER(Table1938[[#This Row],[Abstract]]))))&gt;0</f>
        <v>1</v>
      </c>
      <c r="AB144" s="2" t="b">
        <f>AND(OR(Table1938[[#This Row],[IC-01 @2024]:[IC-01 @2020]])=TRUE,Table1938[[#This Row],[IC-02]]=TRUE,Table1938[[#This Row],[IC-03]]=TRUE,Table1938[[#This Row],[IC-04]]=TRUE,Table1938[[#This Row],[IC-05]]=TRUE)</f>
        <v>1</v>
      </c>
      <c r="AC144" s="2" t="b">
        <f>AND(Table1938[[#This Row],[Pass-IC]]=TRUE,Table1938[[#This Row],[Pass-EC]]=TRUE)</f>
        <v>1</v>
      </c>
      <c r="AD144" s="2" t="b">
        <f>COUNTIF($D$25:D144, Table1938[[#This Row],[Title]]) = 1</f>
        <v>1</v>
      </c>
      <c r="AE144" s="2" t="b">
        <f>AND(Table1938[[#This Row],[IC + EC]:[Unique]])</f>
        <v>1</v>
      </c>
      <c r="AF144" s="2" t="b">
        <v>1</v>
      </c>
      <c r="AG144" s="2" t="b">
        <v>0</v>
      </c>
      <c r="AH144" s="2" t="b">
        <v>0</v>
      </c>
      <c r="AI144" s="2" t="b">
        <f>IF(AND(Table1938[[#This Row],[Double Check]]=TRUE,Table1938[[#This Row],[Inspected]]=TRUE,Table1938[[#This Row],[Relevant]]=TRUE),TRUE,FALSE)</f>
        <v>0</v>
      </c>
    </row>
    <row r="145" spans="1:35" ht="86" x14ac:dyDescent="0.5">
      <c r="A145" s="2">
        <v>144</v>
      </c>
      <c r="B145" s="20" t="s">
        <v>80</v>
      </c>
      <c r="C145" s="20" t="s">
        <v>2975</v>
      </c>
      <c r="D145" s="20" t="s">
        <v>519</v>
      </c>
      <c r="E145" s="20" t="s">
        <v>485</v>
      </c>
      <c r="F145" s="2" t="s">
        <v>123</v>
      </c>
      <c r="G145" s="20" t="s">
        <v>538</v>
      </c>
      <c r="H145" s="36">
        <v>41450</v>
      </c>
      <c r="I145" s="20">
        <v>2013</v>
      </c>
      <c r="J145" s="20" t="s">
        <v>61</v>
      </c>
      <c r="K145" s="20" t="s">
        <v>123</v>
      </c>
      <c r="L145" s="20" t="s">
        <v>2515</v>
      </c>
      <c r="M145" s="20" t="s">
        <v>565</v>
      </c>
      <c r="N145" s="20" t="b">
        <v>1</v>
      </c>
      <c r="O145" s="2" t="b">
        <f>IF(Table1938[[#This Row],[Title]]="",TRUE,FALSE)</f>
        <v>0</v>
      </c>
      <c r="P145" s="2" t="b">
        <f>IF(Table1938[[#This Row],[Author]]="",TRUE,FALSE)</f>
        <v>0</v>
      </c>
      <c r="Q145" s="2" t="b">
        <f>IF(Table1938[[#This Row],[DOI]]&lt;&gt;"", FALSE,TRUE)</f>
        <v>0</v>
      </c>
      <c r="R145" s="2" t="b">
        <f>IF(Table1938[[#This Row],[Abstract]]="",TRUE,FALSE)</f>
        <v>1</v>
      </c>
      <c r="S145" s="2" t="b">
        <f>IF(OR(Table1938[[#This Row],[Document Type]]="book",Table1938[[#This Row],[Document Type]]="bookSection"),TRUE,FALSE)</f>
        <v>0</v>
      </c>
      <c r="T145" s="2" t="b">
        <f>NOT(IF(OR(Table1938[[#This Row],[Language]]&lt;&gt;"en",Table1938[[#This Row],[Language]]&lt;&gt;"EN",Table1938[[#This Row],[Language]]&lt;&gt;"spa",Table1938[[#This Row],[Language]]&lt;&gt;"SPA"),TRUE,FALSE))</f>
        <v>0</v>
      </c>
      <c r="U145" s="2" t="b">
        <f>IF(AND(Table1938[[#This Row],[EC-01]]=FALSE,Table1938[[#This Row],[EC-02]]=FALSE,Table1938[[#This Row],[EC-03]]=FALSE,Table1938[[#This Row],[EC-04]]=FALSE,Table1938[[#This Row],[EC-05]]=FALSE,Table1938[[#This Row],[EC-06]]=FALSE),TRUE,FALSE)</f>
        <v>0</v>
      </c>
      <c r="V145" s="2" t="b">
        <f>IF(Table1938[[#This Row],[Date]]&lt;&gt;"",AND(YEAR(Table1938[[#This Row],[Date]])&gt;=2010, YEAR(Table1938[[#This Row],[Date]])&lt;=2024),FALSE)</f>
        <v>1</v>
      </c>
      <c r="W145" s="2" t="b">
        <f>IF(Table1938[[#This Row],[Date]]&lt;&gt;"",AND(YEAR(Table1938[[#This Row],[Date]])&gt;=2010, YEAR(Table1938[[#This Row],[Date]])&lt;=2020),FALSE)</f>
        <v>1</v>
      </c>
      <c r="X145" s="2" t="b">
        <f>IF(AND(Table1938[[#This Row],[Accesible]]=TRUE,Table1938[[#This Row],[DOI]]&lt;&gt;""),TRUE,FALSE)</f>
        <v>1</v>
      </c>
      <c r="Y145" s="2" t="b">
        <f>OR(Table1938[[#This Row],[Document Type]]="journalArticle",Table1938[[#This Row],[Document Type]]="conferencePaper",Table1938[[#This Row],[Document Type]]="review")</f>
        <v>1</v>
      </c>
      <c r="Z145" s="2" t="b" cm="1">
        <f t="array" ref="Z145">SUMPRODUCT(--ISNUMBER(SEARCH({"dimensional analysis","dimensionless coefficients","Π","Pi","theorem","software","design","tools","development","architecture","similar"}, LOWER(Table1938[[#This Row],[Title]]))))&gt;0</f>
        <v>0</v>
      </c>
      <c r="AA145" s="2" t="b" cm="1">
        <f t="array" ref="AA145">SUMPRODUCT(--ISNUMBER(SEARCH({"dimensional analysis","dimensionless coefficients","Π","Pi","theorem","software","design","tools","development","architecture","similar"}, LOWER(Table1938[[#This Row],[Abstract]]))))&gt;0</f>
        <v>0</v>
      </c>
      <c r="AB145" s="2" t="b">
        <f>AND(OR(Table1938[[#This Row],[IC-01 @2024]:[IC-01 @2020]])=TRUE,Table1938[[#This Row],[IC-02]]=TRUE,Table1938[[#This Row],[IC-03]]=TRUE,Table1938[[#This Row],[IC-04]]=TRUE,Table1938[[#This Row],[IC-05]]=TRUE)</f>
        <v>0</v>
      </c>
      <c r="AC145" s="2" t="b">
        <f>AND(Table1938[[#This Row],[Pass-IC]]=TRUE,Table1938[[#This Row],[Pass-EC]]=TRUE)</f>
        <v>0</v>
      </c>
      <c r="AD145" s="2" t="b">
        <f>COUNTIF($D$25:D145, Table1938[[#This Row],[Title]]) = 1</f>
        <v>1</v>
      </c>
      <c r="AE145" s="2" t="b">
        <f>AND(Table1938[[#This Row],[IC + EC]:[Unique]])</f>
        <v>0</v>
      </c>
      <c r="AF145" s="2" t="b">
        <v>0</v>
      </c>
      <c r="AG145" s="2" t="b">
        <v>0</v>
      </c>
      <c r="AH145" s="2" t="b">
        <v>0</v>
      </c>
      <c r="AI145" s="2" t="b">
        <f>IF(AND(Table1938[[#This Row],[Double Check]]=TRUE,Table1938[[#This Row],[Inspected]]=TRUE,Table1938[[#This Row],[Relevant]]=TRUE),TRUE,FALSE)</f>
        <v>0</v>
      </c>
    </row>
    <row r="146" spans="1:35" ht="57.35" x14ac:dyDescent="0.5">
      <c r="A146" s="2">
        <v>145</v>
      </c>
      <c r="B146" s="20" t="s">
        <v>80</v>
      </c>
      <c r="C146" s="20" t="s">
        <v>2976</v>
      </c>
      <c r="D146" s="20" t="s">
        <v>844</v>
      </c>
      <c r="E146" s="20" t="s">
        <v>843</v>
      </c>
      <c r="F146" s="2" t="s">
        <v>846</v>
      </c>
      <c r="G146" s="20" t="s">
        <v>540</v>
      </c>
      <c r="H146" s="36">
        <v>45455</v>
      </c>
      <c r="I146" s="20">
        <v>2024</v>
      </c>
      <c r="J146" s="20" t="s">
        <v>61</v>
      </c>
      <c r="K146" s="20" t="s">
        <v>2977</v>
      </c>
      <c r="L146" s="20" t="s">
        <v>2515</v>
      </c>
      <c r="M146" s="20" t="s">
        <v>845</v>
      </c>
      <c r="N146" s="20" t="b">
        <v>1</v>
      </c>
      <c r="O146" s="2" t="b">
        <f>IF(Table1938[[#This Row],[Title]]="",TRUE,FALSE)</f>
        <v>0</v>
      </c>
      <c r="P146" s="2" t="b">
        <f>IF(Table1938[[#This Row],[Author]]="",TRUE,FALSE)</f>
        <v>0</v>
      </c>
      <c r="Q146" s="2" t="b">
        <f>IF(Table1938[[#This Row],[DOI]]&lt;&gt;"", FALSE,TRUE)</f>
        <v>0</v>
      </c>
      <c r="R146" s="2" t="b">
        <f>IF(Table1938[[#This Row],[Abstract]]="",TRUE,FALSE)</f>
        <v>0</v>
      </c>
      <c r="S146" s="2" t="b">
        <f>IF(OR(Table1938[[#This Row],[Document Type]]="book",Table1938[[#This Row],[Document Type]]="bookSection"),TRUE,FALSE)</f>
        <v>0</v>
      </c>
      <c r="T146" s="2" t="b">
        <f>NOT(IF(OR(Table1938[[#This Row],[Language]]&lt;&gt;"en",Table1938[[#This Row],[Language]]&lt;&gt;"EN",Table1938[[#This Row],[Language]]&lt;&gt;"spa",Table1938[[#This Row],[Language]]&lt;&gt;"SPA"),TRUE,FALSE))</f>
        <v>0</v>
      </c>
      <c r="U146" s="2" t="b">
        <f>IF(AND(Table1938[[#This Row],[EC-01]]=FALSE,Table1938[[#This Row],[EC-02]]=FALSE,Table1938[[#This Row],[EC-03]]=FALSE,Table1938[[#This Row],[EC-04]]=FALSE,Table1938[[#This Row],[EC-05]]=FALSE,Table1938[[#This Row],[EC-06]]=FALSE),TRUE,FALSE)</f>
        <v>1</v>
      </c>
      <c r="V146" s="2" t="b">
        <f>IF(Table1938[[#This Row],[Date]]&lt;&gt;"",AND(YEAR(Table1938[[#This Row],[Date]])&gt;=2010, YEAR(Table1938[[#This Row],[Date]])&lt;=2024),FALSE)</f>
        <v>1</v>
      </c>
      <c r="W146" s="2" t="b">
        <f>IF(Table1938[[#This Row],[Date]]&lt;&gt;"",AND(YEAR(Table1938[[#This Row],[Date]])&gt;=2010, YEAR(Table1938[[#This Row],[Date]])&lt;=2020),FALSE)</f>
        <v>0</v>
      </c>
      <c r="X146" s="2" t="b">
        <f>IF(AND(Table1938[[#This Row],[Accesible]]=TRUE,Table1938[[#This Row],[DOI]]&lt;&gt;""),TRUE,FALSE)</f>
        <v>1</v>
      </c>
      <c r="Y146" s="2" t="b">
        <f>OR(Table1938[[#This Row],[Document Type]]="journalArticle",Table1938[[#This Row],[Document Type]]="conferencePaper",Table1938[[#This Row],[Document Type]]="review")</f>
        <v>1</v>
      </c>
      <c r="Z146" s="2" t="b" cm="1">
        <f t="array" ref="Z146">SUMPRODUCT(--ISNUMBER(SEARCH({"dimensional analysis","dimensionless coefficients","Π","Pi","theorem","software","design","tools","development","architecture","similar"}, LOWER(Table1938[[#This Row],[Title]]))))&gt;0</f>
        <v>0</v>
      </c>
      <c r="AA146" s="2" t="b" cm="1">
        <f t="array" ref="AA146">SUMPRODUCT(--ISNUMBER(SEARCH({"dimensional analysis","dimensionless coefficients","Π","Pi","theorem","software","design","tools","development","architecture","similar"}, LOWER(Table1938[[#This Row],[Abstract]]))))&gt;0</f>
        <v>0</v>
      </c>
      <c r="AB146" s="2" t="b">
        <f>AND(OR(Table1938[[#This Row],[IC-01 @2024]:[IC-01 @2020]])=TRUE,Table1938[[#This Row],[IC-02]]=TRUE,Table1938[[#This Row],[IC-03]]=TRUE,Table1938[[#This Row],[IC-04]]=TRUE,Table1938[[#This Row],[IC-05]]=TRUE)</f>
        <v>0</v>
      </c>
      <c r="AC146" s="2" t="b">
        <f>AND(Table1938[[#This Row],[Pass-IC]]=TRUE,Table1938[[#This Row],[Pass-EC]]=TRUE)</f>
        <v>0</v>
      </c>
      <c r="AD146" s="2" t="b">
        <f>COUNTIF($D$25:D146, Table1938[[#This Row],[Title]]) = 1</f>
        <v>1</v>
      </c>
      <c r="AE146" s="2" t="b">
        <f>AND(Table1938[[#This Row],[IC + EC]:[Unique]])</f>
        <v>0</v>
      </c>
      <c r="AF146" s="2" t="b">
        <v>0</v>
      </c>
      <c r="AG146" s="2" t="b">
        <v>0</v>
      </c>
      <c r="AH146" s="2" t="b">
        <v>0</v>
      </c>
      <c r="AI146" s="2" t="b">
        <f>IF(AND(Table1938[[#This Row],[Double Check]]=TRUE,Table1938[[#This Row],[Inspected]]=TRUE,Table1938[[#This Row],[Relevant]]=TRUE),TRUE,FALSE)</f>
        <v>0</v>
      </c>
    </row>
    <row r="147" spans="1:35" ht="57.35" x14ac:dyDescent="0.5">
      <c r="A147" s="2">
        <v>146</v>
      </c>
      <c r="B147" s="20" t="s">
        <v>80</v>
      </c>
      <c r="C147" s="20" t="s">
        <v>2978</v>
      </c>
      <c r="D147" s="20" t="s">
        <v>514</v>
      </c>
      <c r="E147" s="20" t="s">
        <v>480</v>
      </c>
      <c r="F147" s="2" t="s">
        <v>593</v>
      </c>
      <c r="G147" s="20" t="s">
        <v>542</v>
      </c>
      <c r="H147" s="36">
        <v>44489</v>
      </c>
      <c r="I147" s="20">
        <v>2021</v>
      </c>
      <c r="J147" s="20" t="s">
        <v>61</v>
      </c>
      <c r="K147" s="20" t="s">
        <v>123</v>
      </c>
      <c r="L147" s="20" t="s">
        <v>2515</v>
      </c>
      <c r="M147" s="20" t="s">
        <v>560</v>
      </c>
      <c r="N147" s="20" t="b">
        <v>1</v>
      </c>
      <c r="O147" s="2" t="b">
        <f>IF(Table1938[[#This Row],[Title]]="",TRUE,FALSE)</f>
        <v>0</v>
      </c>
      <c r="P147" s="2" t="b">
        <f>IF(Table1938[[#This Row],[Author]]="",TRUE,FALSE)</f>
        <v>0</v>
      </c>
      <c r="Q147" s="2" t="b">
        <f>IF(Table1938[[#This Row],[DOI]]&lt;&gt;"", FALSE,TRUE)</f>
        <v>0</v>
      </c>
      <c r="R147" s="2" t="b">
        <f>IF(Table1938[[#This Row],[Abstract]]="",TRUE,FALSE)</f>
        <v>0</v>
      </c>
      <c r="S147" s="2" t="b">
        <f>IF(OR(Table1938[[#This Row],[Document Type]]="book",Table1938[[#This Row],[Document Type]]="bookSection"),TRUE,FALSE)</f>
        <v>0</v>
      </c>
      <c r="T147" s="2" t="b">
        <f>NOT(IF(OR(Table1938[[#This Row],[Language]]&lt;&gt;"en",Table1938[[#This Row],[Language]]&lt;&gt;"EN",Table1938[[#This Row],[Language]]&lt;&gt;"spa",Table1938[[#This Row],[Language]]&lt;&gt;"SPA"),TRUE,FALSE))</f>
        <v>0</v>
      </c>
      <c r="U147" s="2" t="b">
        <f>IF(AND(Table1938[[#This Row],[EC-01]]=FALSE,Table1938[[#This Row],[EC-02]]=FALSE,Table1938[[#This Row],[EC-03]]=FALSE,Table1938[[#This Row],[EC-04]]=FALSE,Table1938[[#This Row],[EC-05]]=FALSE,Table1938[[#This Row],[EC-06]]=FALSE),TRUE,FALSE)</f>
        <v>1</v>
      </c>
      <c r="V147" s="2" t="b">
        <f>IF(Table1938[[#This Row],[Date]]&lt;&gt;"",AND(YEAR(Table1938[[#This Row],[Date]])&gt;=2010, YEAR(Table1938[[#This Row],[Date]])&lt;=2024),FALSE)</f>
        <v>1</v>
      </c>
      <c r="W147" s="2" t="b">
        <f>IF(Table1938[[#This Row],[Date]]&lt;&gt;"",AND(YEAR(Table1938[[#This Row],[Date]])&gt;=2010, YEAR(Table1938[[#This Row],[Date]])&lt;=2020),FALSE)</f>
        <v>0</v>
      </c>
      <c r="X147" s="2" t="b">
        <f>IF(AND(Table1938[[#This Row],[Accesible]]=TRUE,Table1938[[#This Row],[DOI]]&lt;&gt;""),TRUE,FALSE)</f>
        <v>1</v>
      </c>
      <c r="Y147" s="2" t="b">
        <f>OR(Table1938[[#This Row],[Document Type]]="journalArticle",Table1938[[#This Row],[Document Type]]="conferencePaper",Table1938[[#This Row],[Document Type]]="review")</f>
        <v>1</v>
      </c>
      <c r="Z147" s="2" t="b" cm="1">
        <f t="array" ref="Z147">SUMPRODUCT(--ISNUMBER(SEARCH({"dimensional analysis","dimensionless coefficients","Π","Pi","theorem","software","design","tools","development","architecture","similar"}, LOWER(Table1938[[#This Row],[Title]]))))&gt;0</f>
        <v>0</v>
      </c>
      <c r="AA147" s="2" t="b" cm="1">
        <f t="array" ref="AA147">SUMPRODUCT(--ISNUMBER(SEARCH({"dimensional analysis","dimensionless coefficients","Π","Pi","theorem","software","design","tools","development","architecture","similar"}, LOWER(Table1938[[#This Row],[Abstract]]))))&gt;0</f>
        <v>1</v>
      </c>
      <c r="AB147" s="2" t="b">
        <f>AND(OR(Table1938[[#This Row],[IC-01 @2024]:[IC-01 @2020]])=TRUE,Table1938[[#This Row],[IC-02]]=TRUE,Table1938[[#This Row],[IC-03]]=TRUE,Table1938[[#This Row],[IC-04]]=TRUE,Table1938[[#This Row],[IC-05]]=TRUE)</f>
        <v>0</v>
      </c>
      <c r="AC147" s="2" t="b">
        <f>AND(Table1938[[#This Row],[Pass-IC]]=TRUE,Table1938[[#This Row],[Pass-EC]]=TRUE)</f>
        <v>0</v>
      </c>
      <c r="AD147" s="2" t="b">
        <f>COUNTIF($D$25:D147, Table1938[[#This Row],[Title]]) = 1</f>
        <v>1</v>
      </c>
      <c r="AE147" s="2" t="b">
        <f>AND(Table1938[[#This Row],[IC + EC]:[Unique]])</f>
        <v>0</v>
      </c>
      <c r="AF147" s="2" t="b">
        <v>0</v>
      </c>
      <c r="AG147" s="2" t="b">
        <v>0</v>
      </c>
      <c r="AH147" s="2" t="b">
        <v>0</v>
      </c>
      <c r="AI147" s="2" t="b">
        <f>IF(AND(Table1938[[#This Row],[Double Check]]=TRUE,Table1938[[#This Row],[Inspected]]=TRUE,Table1938[[#This Row],[Relevant]]=TRUE),TRUE,FALSE)</f>
        <v>0</v>
      </c>
    </row>
    <row r="148" spans="1:35" ht="71.7" x14ac:dyDescent="0.5">
      <c r="A148" s="2">
        <v>147</v>
      </c>
      <c r="B148" s="20" t="s">
        <v>80</v>
      </c>
      <c r="C148" s="20" t="s">
        <v>2979</v>
      </c>
      <c r="D148" s="20" t="s">
        <v>512</v>
      </c>
      <c r="E148" s="20" t="s">
        <v>478</v>
      </c>
      <c r="F148" s="2" t="s">
        <v>591</v>
      </c>
      <c r="G148" s="20" t="s">
        <v>539</v>
      </c>
      <c r="H148" s="36">
        <v>43264</v>
      </c>
      <c r="I148" s="20">
        <v>2018</v>
      </c>
      <c r="J148" s="20" t="s">
        <v>61</v>
      </c>
      <c r="K148" s="20" t="s">
        <v>123</v>
      </c>
      <c r="L148" s="20" t="s">
        <v>2515</v>
      </c>
      <c r="M148" s="20" t="s">
        <v>558</v>
      </c>
      <c r="N148" s="20" t="b">
        <v>1</v>
      </c>
      <c r="O148" s="2" t="b">
        <f>IF(Table1938[[#This Row],[Title]]="",TRUE,FALSE)</f>
        <v>0</v>
      </c>
      <c r="P148" s="2" t="b">
        <f>IF(Table1938[[#This Row],[Author]]="",TRUE,FALSE)</f>
        <v>0</v>
      </c>
      <c r="Q148" s="2" t="b">
        <f>IF(Table1938[[#This Row],[DOI]]&lt;&gt;"", FALSE,TRUE)</f>
        <v>0</v>
      </c>
      <c r="R148" s="2" t="b">
        <f>IF(Table1938[[#This Row],[Abstract]]="",TRUE,FALSE)</f>
        <v>0</v>
      </c>
      <c r="S148" s="2" t="b">
        <f>IF(OR(Table1938[[#This Row],[Document Type]]="book",Table1938[[#This Row],[Document Type]]="bookSection"),TRUE,FALSE)</f>
        <v>0</v>
      </c>
      <c r="T148" s="2" t="b">
        <f>NOT(IF(OR(Table1938[[#This Row],[Language]]&lt;&gt;"en",Table1938[[#This Row],[Language]]&lt;&gt;"EN",Table1938[[#This Row],[Language]]&lt;&gt;"spa",Table1938[[#This Row],[Language]]&lt;&gt;"SPA"),TRUE,FALSE))</f>
        <v>0</v>
      </c>
      <c r="U148" s="2" t="b">
        <f>IF(AND(Table1938[[#This Row],[EC-01]]=FALSE,Table1938[[#This Row],[EC-02]]=FALSE,Table1938[[#This Row],[EC-03]]=FALSE,Table1938[[#This Row],[EC-04]]=FALSE,Table1938[[#This Row],[EC-05]]=FALSE,Table1938[[#This Row],[EC-06]]=FALSE),TRUE,FALSE)</f>
        <v>1</v>
      </c>
      <c r="V148" s="2" t="b">
        <f>IF(Table1938[[#This Row],[Date]]&lt;&gt;"",AND(YEAR(Table1938[[#This Row],[Date]])&gt;=2010, YEAR(Table1938[[#This Row],[Date]])&lt;=2024),FALSE)</f>
        <v>1</v>
      </c>
      <c r="W148" s="2" t="b">
        <f>IF(Table1938[[#This Row],[Date]]&lt;&gt;"",AND(YEAR(Table1938[[#This Row],[Date]])&gt;=2010, YEAR(Table1938[[#This Row],[Date]])&lt;=2020),FALSE)</f>
        <v>1</v>
      </c>
      <c r="X148" s="2" t="b">
        <f>IF(AND(Table1938[[#This Row],[Accesible]]=TRUE,Table1938[[#This Row],[DOI]]&lt;&gt;""),TRUE,FALSE)</f>
        <v>1</v>
      </c>
      <c r="Y148" s="2" t="b">
        <f>OR(Table1938[[#This Row],[Document Type]]="journalArticle",Table1938[[#This Row],[Document Type]]="conferencePaper",Table1938[[#This Row],[Document Type]]="review")</f>
        <v>1</v>
      </c>
      <c r="Z148" s="2" t="b" cm="1">
        <f t="array" ref="Z148">SUMPRODUCT(--ISNUMBER(SEARCH({"dimensional analysis","dimensionless coefficients","Π","Pi","theorem","software","design","tools","development","architecture","similar"}, LOWER(Table1938[[#This Row],[Title]]))))&gt;0</f>
        <v>0</v>
      </c>
      <c r="AA148" s="2" t="b" cm="1">
        <f t="array" ref="AA148">SUMPRODUCT(--ISNUMBER(SEARCH({"dimensional analysis","dimensionless coefficients","Π","Pi","theorem","software","design","tools","development","architecture","similar"}, LOWER(Table1938[[#This Row],[Abstract]]))))&gt;0</f>
        <v>1</v>
      </c>
      <c r="AB148" s="2" t="b">
        <f>AND(OR(Table1938[[#This Row],[IC-01 @2024]:[IC-01 @2020]])=TRUE,Table1938[[#This Row],[IC-02]]=TRUE,Table1938[[#This Row],[IC-03]]=TRUE,Table1938[[#This Row],[IC-04]]=TRUE,Table1938[[#This Row],[IC-05]]=TRUE)</f>
        <v>0</v>
      </c>
      <c r="AC148" s="2" t="b">
        <f>AND(Table1938[[#This Row],[Pass-IC]]=TRUE,Table1938[[#This Row],[Pass-EC]]=TRUE)</f>
        <v>0</v>
      </c>
      <c r="AD148" s="2" t="b">
        <f>COUNTIF($D$25:D148, Table1938[[#This Row],[Title]]) = 1</f>
        <v>1</v>
      </c>
      <c r="AE148" s="2" t="b">
        <f>AND(Table1938[[#This Row],[IC + EC]:[Unique]])</f>
        <v>0</v>
      </c>
      <c r="AF148" s="2" t="b">
        <v>0</v>
      </c>
      <c r="AG148" s="2" t="b">
        <v>0</v>
      </c>
      <c r="AH148" s="2" t="b">
        <v>0</v>
      </c>
      <c r="AI148" s="2" t="b">
        <f>IF(AND(Table1938[[#This Row],[Double Check]]=TRUE,Table1938[[#This Row],[Inspected]]=TRUE,Table1938[[#This Row],[Relevant]]=TRUE),TRUE,FALSE)</f>
        <v>0</v>
      </c>
    </row>
    <row r="149" spans="1:35" ht="43" x14ac:dyDescent="0.5">
      <c r="A149" s="2">
        <v>148</v>
      </c>
      <c r="B149" s="20" t="s">
        <v>80</v>
      </c>
      <c r="C149" s="20" t="s">
        <v>2980</v>
      </c>
      <c r="D149" s="20" t="s">
        <v>840</v>
      </c>
      <c r="E149" s="20" t="s">
        <v>839</v>
      </c>
      <c r="F149" s="2" t="s">
        <v>842</v>
      </c>
      <c r="G149" s="20" t="s">
        <v>538</v>
      </c>
      <c r="H149" s="36">
        <v>45050</v>
      </c>
      <c r="I149" s="20">
        <v>2023</v>
      </c>
      <c r="J149" s="20" t="s">
        <v>61</v>
      </c>
      <c r="K149" s="20" t="s">
        <v>2981</v>
      </c>
      <c r="L149" s="20" t="s">
        <v>2515</v>
      </c>
      <c r="M149" s="20" t="s">
        <v>841</v>
      </c>
      <c r="N149" s="20" t="b">
        <v>1</v>
      </c>
      <c r="O149" s="2" t="b">
        <f>IF(Table1938[[#This Row],[Title]]="",TRUE,FALSE)</f>
        <v>0</v>
      </c>
      <c r="P149" s="2" t="b">
        <f>IF(Table1938[[#This Row],[Author]]="",TRUE,FALSE)</f>
        <v>0</v>
      </c>
      <c r="Q149" s="2" t="b">
        <f>IF(Table1938[[#This Row],[DOI]]&lt;&gt;"", FALSE,TRUE)</f>
        <v>0</v>
      </c>
      <c r="R149" s="2" t="b">
        <f>IF(Table1938[[#This Row],[Abstract]]="",TRUE,FALSE)</f>
        <v>0</v>
      </c>
      <c r="S149" s="2" t="b">
        <f>IF(OR(Table1938[[#This Row],[Document Type]]="book",Table1938[[#This Row],[Document Type]]="bookSection"),TRUE,FALSE)</f>
        <v>0</v>
      </c>
      <c r="T149" s="2" t="b">
        <f>NOT(IF(OR(Table1938[[#This Row],[Language]]&lt;&gt;"en",Table1938[[#This Row],[Language]]&lt;&gt;"EN",Table1938[[#This Row],[Language]]&lt;&gt;"spa",Table1938[[#This Row],[Language]]&lt;&gt;"SPA"),TRUE,FALSE))</f>
        <v>0</v>
      </c>
      <c r="U149" s="2" t="b">
        <f>IF(AND(Table1938[[#This Row],[EC-01]]=FALSE,Table1938[[#This Row],[EC-02]]=FALSE,Table1938[[#This Row],[EC-03]]=FALSE,Table1938[[#This Row],[EC-04]]=FALSE,Table1938[[#This Row],[EC-05]]=FALSE,Table1938[[#This Row],[EC-06]]=FALSE),TRUE,FALSE)</f>
        <v>1</v>
      </c>
      <c r="V149" s="2" t="b">
        <f>IF(Table1938[[#This Row],[Date]]&lt;&gt;"",AND(YEAR(Table1938[[#This Row],[Date]])&gt;=2010, YEAR(Table1938[[#This Row],[Date]])&lt;=2024),FALSE)</f>
        <v>1</v>
      </c>
      <c r="W149" s="2" t="b">
        <f>IF(Table1938[[#This Row],[Date]]&lt;&gt;"",AND(YEAR(Table1938[[#This Row],[Date]])&gt;=2010, YEAR(Table1938[[#This Row],[Date]])&lt;=2020),FALSE)</f>
        <v>0</v>
      </c>
      <c r="X149" s="2" t="b">
        <f>IF(AND(Table1938[[#This Row],[Accesible]]=TRUE,Table1938[[#This Row],[DOI]]&lt;&gt;""),TRUE,FALSE)</f>
        <v>1</v>
      </c>
      <c r="Y149" s="2" t="b">
        <f>OR(Table1938[[#This Row],[Document Type]]="journalArticle",Table1938[[#This Row],[Document Type]]="conferencePaper",Table1938[[#This Row],[Document Type]]="review")</f>
        <v>1</v>
      </c>
      <c r="Z149" s="2" t="b" cm="1">
        <f t="array" ref="Z149">SUMPRODUCT(--ISNUMBER(SEARCH({"dimensional analysis","dimensionless coefficients","Π","Pi","theorem","software","design","tools","development","architecture","similar"}, LOWER(Table1938[[#This Row],[Title]]))))&gt;0</f>
        <v>0</v>
      </c>
      <c r="AA149" s="2" t="b" cm="1">
        <f t="array" ref="AA149">SUMPRODUCT(--ISNUMBER(SEARCH({"dimensional analysis","dimensionless coefficients","Π","Pi","theorem","software","design","tools","development","architecture","similar"}, LOWER(Table1938[[#This Row],[Abstract]]))))&gt;0</f>
        <v>1</v>
      </c>
      <c r="AB149" s="2" t="b">
        <f>AND(OR(Table1938[[#This Row],[IC-01 @2024]:[IC-01 @2020]])=TRUE,Table1938[[#This Row],[IC-02]]=TRUE,Table1938[[#This Row],[IC-03]]=TRUE,Table1938[[#This Row],[IC-04]]=TRUE,Table1938[[#This Row],[IC-05]]=TRUE)</f>
        <v>0</v>
      </c>
      <c r="AC149" s="2" t="b">
        <f>AND(Table1938[[#This Row],[Pass-IC]]=TRUE,Table1938[[#This Row],[Pass-EC]]=TRUE)</f>
        <v>0</v>
      </c>
      <c r="AD149" s="2" t="b">
        <f>COUNTIF($D$25:D149, Table1938[[#This Row],[Title]]) = 1</f>
        <v>1</v>
      </c>
      <c r="AE149" s="2" t="b">
        <f>AND(Table1938[[#This Row],[IC + EC]:[Unique]])</f>
        <v>0</v>
      </c>
      <c r="AF149" s="2" t="b">
        <v>0</v>
      </c>
      <c r="AG149" s="2" t="b">
        <v>0</v>
      </c>
      <c r="AH149" s="2" t="b">
        <v>0</v>
      </c>
      <c r="AI149" s="2" t="b">
        <f>IF(AND(Table1938[[#This Row],[Double Check]]=TRUE,Table1938[[#This Row],[Inspected]]=TRUE,Table1938[[#This Row],[Relevant]]=TRUE),TRUE,FALSE)</f>
        <v>0</v>
      </c>
    </row>
    <row r="150" spans="1:35" ht="71.7" x14ac:dyDescent="0.5">
      <c r="A150" s="2">
        <v>149</v>
      </c>
      <c r="B150" s="20" t="s">
        <v>80</v>
      </c>
      <c r="C150" s="20" t="s">
        <v>2982</v>
      </c>
      <c r="D150" s="20" t="s">
        <v>848</v>
      </c>
      <c r="E150" s="20" t="s">
        <v>847</v>
      </c>
      <c r="F150" s="2" t="s">
        <v>850</v>
      </c>
      <c r="G150" s="20" t="s">
        <v>71</v>
      </c>
      <c r="H150" s="36">
        <v>45126</v>
      </c>
      <c r="I150" s="20">
        <v>2023</v>
      </c>
      <c r="J150" s="20" t="s">
        <v>61</v>
      </c>
      <c r="K150" s="20" t="s">
        <v>2983</v>
      </c>
      <c r="L150" s="20" t="s">
        <v>2515</v>
      </c>
      <c r="M150" s="20" t="s">
        <v>849</v>
      </c>
      <c r="N150" s="20" t="b">
        <v>1</v>
      </c>
      <c r="O150" s="2" t="b">
        <f>IF(Table1938[[#This Row],[Title]]="",TRUE,FALSE)</f>
        <v>0</v>
      </c>
      <c r="P150" s="2" t="b">
        <f>IF(Table1938[[#This Row],[Author]]="",TRUE,FALSE)</f>
        <v>0</v>
      </c>
      <c r="Q150" s="2" t="b">
        <f>IF(Table1938[[#This Row],[DOI]]&lt;&gt;"", FALSE,TRUE)</f>
        <v>0</v>
      </c>
      <c r="R150" s="2" t="b">
        <f>IF(Table1938[[#This Row],[Abstract]]="",TRUE,FALSE)</f>
        <v>0</v>
      </c>
      <c r="S150" s="2" t="b">
        <f>IF(OR(Table1938[[#This Row],[Document Type]]="book",Table1938[[#This Row],[Document Type]]="bookSection"),TRUE,FALSE)</f>
        <v>0</v>
      </c>
      <c r="T150" s="2" t="b">
        <f>NOT(IF(OR(Table1938[[#This Row],[Language]]&lt;&gt;"en",Table1938[[#This Row],[Language]]&lt;&gt;"EN",Table1938[[#This Row],[Language]]&lt;&gt;"spa",Table1938[[#This Row],[Language]]&lt;&gt;"SPA"),TRUE,FALSE))</f>
        <v>0</v>
      </c>
      <c r="U150" s="2" t="b">
        <f>IF(AND(Table1938[[#This Row],[EC-01]]=FALSE,Table1938[[#This Row],[EC-02]]=FALSE,Table1938[[#This Row],[EC-03]]=FALSE,Table1938[[#This Row],[EC-04]]=FALSE,Table1938[[#This Row],[EC-05]]=FALSE,Table1938[[#This Row],[EC-06]]=FALSE),TRUE,FALSE)</f>
        <v>1</v>
      </c>
      <c r="V150" s="2" t="b">
        <f>IF(Table1938[[#This Row],[Date]]&lt;&gt;"",AND(YEAR(Table1938[[#This Row],[Date]])&gt;=2010, YEAR(Table1938[[#This Row],[Date]])&lt;=2024),FALSE)</f>
        <v>1</v>
      </c>
      <c r="W150" s="2" t="b">
        <f>IF(Table1938[[#This Row],[Date]]&lt;&gt;"",AND(YEAR(Table1938[[#This Row],[Date]])&gt;=2010, YEAR(Table1938[[#This Row],[Date]])&lt;=2020),FALSE)</f>
        <v>0</v>
      </c>
      <c r="X150" s="2" t="b">
        <f>IF(AND(Table1938[[#This Row],[Accesible]]=TRUE,Table1938[[#This Row],[DOI]]&lt;&gt;""),TRUE,FALSE)</f>
        <v>1</v>
      </c>
      <c r="Y150" s="2" t="b">
        <f>OR(Table1938[[#This Row],[Document Type]]="journalArticle",Table1938[[#This Row],[Document Type]]="conferencePaper",Table1938[[#This Row],[Document Type]]="review")</f>
        <v>1</v>
      </c>
      <c r="Z150" s="2" t="b" cm="1">
        <f t="array" ref="Z150">SUMPRODUCT(--ISNUMBER(SEARCH({"dimensional analysis","dimensionless coefficients","Π","Pi","theorem","software","design","tools","development","architecture","similar"}, LOWER(Table1938[[#This Row],[Title]]))))&gt;0</f>
        <v>0</v>
      </c>
      <c r="AA150" s="2" t="b" cm="1">
        <f t="array" ref="AA150">SUMPRODUCT(--ISNUMBER(SEARCH({"dimensional analysis","dimensionless coefficients","Π","Pi","theorem","software","design","tools","development","architecture","similar"}, LOWER(Table1938[[#This Row],[Abstract]]))))&gt;0</f>
        <v>1</v>
      </c>
      <c r="AB150" s="2" t="b">
        <f>AND(OR(Table1938[[#This Row],[IC-01 @2024]:[IC-01 @2020]])=TRUE,Table1938[[#This Row],[IC-02]]=TRUE,Table1938[[#This Row],[IC-03]]=TRUE,Table1938[[#This Row],[IC-04]]=TRUE,Table1938[[#This Row],[IC-05]]=TRUE)</f>
        <v>0</v>
      </c>
      <c r="AC150" s="2" t="b">
        <f>AND(Table1938[[#This Row],[Pass-IC]]=TRUE,Table1938[[#This Row],[Pass-EC]]=TRUE)</f>
        <v>0</v>
      </c>
      <c r="AD150" s="2" t="b">
        <f>COUNTIF($D$25:D150, Table1938[[#This Row],[Title]]) = 1</f>
        <v>1</v>
      </c>
      <c r="AE150" s="2" t="b">
        <f>AND(Table1938[[#This Row],[IC + EC]:[Unique]])</f>
        <v>0</v>
      </c>
      <c r="AF150" s="2" t="b">
        <v>0</v>
      </c>
      <c r="AG150" s="2" t="b">
        <v>0</v>
      </c>
      <c r="AH150" s="2" t="b">
        <v>0</v>
      </c>
      <c r="AI150" s="2" t="b">
        <f>IF(AND(Table1938[[#This Row],[Double Check]]=TRUE,Table1938[[#This Row],[Inspected]]=TRUE,Table1938[[#This Row],[Relevant]]=TRUE),TRUE,FALSE)</f>
        <v>0</v>
      </c>
    </row>
    <row r="151" spans="1:35" ht="57.35" x14ac:dyDescent="0.5">
      <c r="A151" s="2">
        <v>150</v>
      </c>
      <c r="B151" s="20" t="s">
        <v>80</v>
      </c>
      <c r="C151" s="20" t="s">
        <v>2984</v>
      </c>
      <c r="D151" s="20" t="s">
        <v>509</v>
      </c>
      <c r="E151" s="20" t="s">
        <v>475</v>
      </c>
      <c r="F151" s="2" t="s">
        <v>588</v>
      </c>
      <c r="G151" s="20" t="s">
        <v>71</v>
      </c>
      <c r="H151" s="36">
        <v>44826</v>
      </c>
      <c r="I151" s="20">
        <v>2022</v>
      </c>
      <c r="J151" s="20" t="s">
        <v>61</v>
      </c>
      <c r="K151" s="20" t="s">
        <v>123</v>
      </c>
      <c r="L151" s="20" t="s">
        <v>2515</v>
      </c>
      <c r="M151" s="20" t="s">
        <v>555</v>
      </c>
      <c r="N151" s="20" t="b">
        <v>1</v>
      </c>
      <c r="O151" s="2" t="b">
        <f>IF(Table1938[[#This Row],[Title]]="",TRUE,FALSE)</f>
        <v>0</v>
      </c>
      <c r="P151" s="2" t="b">
        <f>IF(Table1938[[#This Row],[Author]]="",TRUE,FALSE)</f>
        <v>0</v>
      </c>
      <c r="Q151" s="2" t="b">
        <f>IF(Table1938[[#This Row],[DOI]]&lt;&gt;"", FALSE,TRUE)</f>
        <v>0</v>
      </c>
      <c r="R151" s="2" t="b">
        <f>IF(Table1938[[#This Row],[Abstract]]="",TRUE,FALSE)</f>
        <v>0</v>
      </c>
      <c r="S151" s="2" t="b">
        <f>IF(OR(Table1938[[#This Row],[Document Type]]="book",Table1938[[#This Row],[Document Type]]="bookSection"),TRUE,FALSE)</f>
        <v>0</v>
      </c>
      <c r="T151" s="2" t="b">
        <f>NOT(IF(OR(Table1938[[#This Row],[Language]]&lt;&gt;"en",Table1938[[#This Row],[Language]]&lt;&gt;"EN",Table1938[[#This Row],[Language]]&lt;&gt;"spa",Table1938[[#This Row],[Language]]&lt;&gt;"SPA"),TRUE,FALSE))</f>
        <v>0</v>
      </c>
      <c r="U151" s="2" t="b">
        <f>IF(AND(Table1938[[#This Row],[EC-01]]=FALSE,Table1938[[#This Row],[EC-02]]=FALSE,Table1938[[#This Row],[EC-03]]=FALSE,Table1938[[#This Row],[EC-04]]=FALSE,Table1938[[#This Row],[EC-05]]=FALSE,Table1938[[#This Row],[EC-06]]=FALSE),TRUE,FALSE)</f>
        <v>1</v>
      </c>
      <c r="V151" s="2" t="b">
        <f>IF(Table1938[[#This Row],[Date]]&lt;&gt;"",AND(YEAR(Table1938[[#This Row],[Date]])&gt;=2010, YEAR(Table1938[[#This Row],[Date]])&lt;=2024),FALSE)</f>
        <v>1</v>
      </c>
      <c r="W151" s="2" t="b">
        <f>IF(Table1938[[#This Row],[Date]]&lt;&gt;"",AND(YEAR(Table1938[[#This Row],[Date]])&gt;=2010, YEAR(Table1938[[#This Row],[Date]])&lt;=2020),FALSE)</f>
        <v>0</v>
      </c>
      <c r="X151" s="2" t="b">
        <f>IF(AND(Table1938[[#This Row],[Accesible]]=TRUE,Table1938[[#This Row],[DOI]]&lt;&gt;""),TRUE,FALSE)</f>
        <v>1</v>
      </c>
      <c r="Y151" s="2" t="b">
        <f>OR(Table1938[[#This Row],[Document Type]]="journalArticle",Table1938[[#This Row],[Document Type]]="conferencePaper",Table1938[[#This Row],[Document Type]]="review")</f>
        <v>1</v>
      </c>
      <c r="Z151" s="2" t="b" cm="1">
        <f t="array" ref="Z151">SUMPRODUCT(--ISNUMBER(SEARCH({"dimensional analysis","dimensionless coefficients","Π","Pi","theorem","software","design","tools","development","architecture","similar"}, LOWER(Table1938[[#This Row],[Title]]))))&gt;0</f>
        <v>0</v>
      </c>
      <c r="AA151" s="2" t="b" cm="1">
        <f t="array" ref="AA151">SUMPRODUCT(--ISNUMBER(SEARCH({"dimensional analysis","dimensionless coefficients","Π","Pi","theorem","software","design","tools","development","architecture","similar"}, LOWER(Table1938[[#This Row],[Abstract]]))))&gt;0</f>
        <v>1</v>
      </c>
      <c r="AB151" s="2" t="b">
        <f>AND(OR(Table1938[[#This Row],[IC-01 @2024]:[IC-01 @2020]])=TRUE,Table1938[[#This Row],[IC-02]]=TRUE,Table1938[[#This Row],[IC-03]]=TRUE,Table1938[[#This Row],[IC-04]]=TRUE,Table1938[[#This Row],[IC-05]]=TRUE)</f>
        <v>0</v>
      </c>
      <c r="AC151" s="2" t="b">
        <f>AND(Table1938[[#This Row],[Pass-IC]]=TRUE,Table1938[[#This Row],[Pass-EC]]=TRUE)</f>
        <v>0</v>
      </c>
      <c r="AD151" s="2" t="b">
        <f>COUNTIF($D$25:D151, Table1938[[#This Row],[Title]]) = 1</f>
        <v>1</v>
      </c>
      <c r="AE151" s="2" t="b">
        <f>AND(Table1938[[#This Row],[IC + EC]:[Unique]])</f>
        <v>0</v>
      </c>
      <c r="AF151" s="2" t="b">
        <v>0</v>
      </c>
      <c r="AG151" s="2" t="b">
        <v>0</v>
      </c>
      <c r="AH151" s="2" t="b">
        <v>0</v>
      </c>
      <c r="AI151" s="2" t="b">
        <f>IF(AND(Table1938[[#This Row],[Double Check]]=TRUE,Table1938[[#This Row],[Inspected]]=TRUE,Table1938[[#This Row],[Relevant]]=TRUE),TRUE,FALSE)</f>
        <v>0</v>
      </c>
    </row>
    <row r="152" spans="1:35" ht="71.7" x14ac:dyDescent="0.5">
      <c r="A152" s="2">
        <v>151</v>
      </c>
      <c r="B152" s="20" t="s">
        <v>80</v>
      </c>
      <c r="C152" s="20" t="s">
        <v>2985</v>
      </c>
      <c r="D152" s="20" t="s">
        <v>501</v>
      </c>
      <c r="E152" s="20" t="s">
        <v>467</v>
      </c>
      <c r="F152" s="2" t="s">
        <v>581</v>
      </c>
      <c r="G152" s="20" t="s">
        <v>535</v>
      </c>
      <c r="H152" s="36">
        <v>43424</v>
      </c>
      <c r="I152" s="20">
        <v>2018</v>
      </c>
      <c r="J152" s="20" t="s">
        <v>61</v>
      </c>
      <c r="K152" s="20" t="s">
        <v>123</v>
      </c>
      <c r="L152" s="20" t="s">
        <v>2515</v>
      </c>
      <c r="M152" s="20" t="s">
        <v>547</v>
      </c>
      <c r="N152" s="20" t="b">
        <v>1</v>
      </c>
      <c r="O152" s="2" t="b">
        <f>IF(Table1938[[#This Row],[Title]]="",TRUE,FALSE)</f>
        <v>0</v>
      </c>
      <c r="P152" s="2" t="b">
        <f>IF(Table1938[[#This Row],[Author]]="",TRUE,FALSE)</f>
        <v>0</v>
      </c>
      <c r="Q152" s="2" t="b">
        <f>IF(Table1938[[#This Row],[DOI]]&lt;&gt;"", FALSE,TRUE)</f>
        <v>0</v>
      </c>
      <c r="R152" s="2" t="b">
        <f>IF(Table1938[[#This Row],[Abstract]]="",TRUE,FALSE)</f>
        <v>0</v>
      </c>
      <c r="S152" s="2" t="b">
        <f>IF(OR(Table1938[[#This Row],[Document Type]]="book",Table1938[[#This Row],[Document Type]]="bookSection"),TRUE,FALSE)</f>
        <v>0</v>
      </c>
      <c r="T152" s="2" t="b">
        <f>NOT(IF(OR(Table1938[[#This Row],[Language]]&lt;&gt;"en",Table1938[[#This Row],[Language]]&lt;&gt;"EN",Table1938[[#This Row],[Language]]&lt;&gt;"spa",Table1938[[#This Row],[Language]]&lt;&gt;"SPA"),TRUE,FALSE))</f>
        <v>0</v>
      </c>
      <c r="U152" s="2" t="b">
        <f>IF(AND(Table1938[[#This Row],[EC-01]]=FALSE,Table1938[[#This Row],[EC-02]]=FALSE,Table1938[[#This Row],[EC-03]]=FALSE,Table1938[[#This Row],[EC-04]]=FALSE,Table1938[[#This Row],[EC-05]]=FALSE,Table1938[[#This Row],[EC-06]]=FALSE),TRUE,FALSE)</f>
        <v>1</v>
      </c>
      <c r="V152" s="2" t="b">
        <f>IF(Table1938[[#This Row],[Date]]&lt;&gt;"",AND(YEAR(Table1938[[#This Row],[Date]])&gt;=2010, YEAR(Table1938[[#This Row],[Date]])&lt;=2024),FALSE)</f>
        <v>1</v>
      </c>
      <c r="W152" s="2" t="b">
        <f>IF(Table1938[[#This Row],[Date]]&lt;&gt;"",AND(YEAR(Table1938[[#This Row],[Date]])&gt;=2010, YEAR(Table1938[[#This Row],[Date]])&lt;=2020),FALSE)</f>
        <v>1</v>
      </c>
      <c r="X152" s="2" t="b">
        <f>IF(AND(Table1938[[#This Row],[Accesible]]=TRUE,Table1938[[#This Row],[DOI]]&lt;&gt;""),TRUE,FALSE)</f>
        <v>1</v>
      </c>
      <c r="Y152" s="2" t="b">
        <f>OR(Table1938[[#This Row],[Document Type]]="journalArticle",Table1938[[#This Row],[Document Type]]="conferencePaper",Table1938[[#This Row],[Document Type]]="review")</f>
        <v>1</v>
      </c>
      <c r="Z152" s="2" t="b" cm="1">
        <f t="array" ref="Z152">SUMPRODUCT(--ISNUMBER(SEARCH({"dimensional analysis","dimensionless coefficients","Π","Pi","theorem","software","design","tools","development","architecture","similar"}, LOWER(Table1938[[#This Row],[Title]]))))&gt;0</f>
        <v>1</v>
      </c>
      <c r="AA152" s="2" t="b" cm="1">
        <f t="array" ref="AA152">SUMPRODUCT(--ISNUMBER(SEARCH({"dimensional analysis","dimensionless coefficients","Π","Pi","theorem","software","design","tools","development","architecture","similar"}, LOWER(Table1938[[#This Row],[Abstract]]))))&gt;0</f>
        <v>1</v>
      </c>
      <c r="AB152" s="2" t="b">
        <f>AND(OR(Table1938[[#This Row],[IC-01 @2024]:[IC-01 @2020]])=TRUE,Table1938[[#This Row],[IC-02]]=TRUE,Table1938[[#This Row],[IC-03]]=TRUE,Table1938[[#This Row],[IC-04]]=TRUE,Table1938[[#This Row],[IC-05]]=TRUE)</f>
        <v>1</v>
      </c>
      <c r="AC152" s="2" t="b">
        <f>AND(Table1938[[#This Row],[Pass-IC]]=TRUE,Table1938[[#This Row],[Pass-EC]]=TRUE)</f>
        <v>1</v>
      </c>
      <c r="AD152" s="2" t="b">
        <f>COUNTIF($D$25:D152, Table1938[[#This Row],[Title]]) = 1</f>
        <v>1</v>
      </c>
      <c r="AE152" s="2" t="b">
        <f>AND(Table1938[[#This Row],[IC + EC]:[Unique]])</f>
        <v>1</v>
      </c>
      <c r="AF152" s="2" t="b">
        <v>1</v>
      </c>
      <c r="AG152" s="2" t="b">
        <v>0</v>
      </c>
      <c r="AH152" s="2" t="b">
        <v>0</v>
      </c>
      <c r="AI152" s="2" t="b">
        <f>IF(AND(Table1938[[#This Row],[Double Check]]=TRUE,Table1938[[#This Row],[Inspected]]=TRUE,Table1938[[#This Row],[Relevant]]=TRUE),TRUE,FALSE)</f>
        <v>0</v>
      </c>
    </row>
    <row r="153" spans="1:35" ht="43" x14ac:dyDescent="0.5">
      <c r="A153" s="2">
        <v>152</v>
      </c>
      <c r="B153" s="20" t="s">
        <v>80</v>
      </c>
      <c r="C153" s="20" t="s">
        <v>2986</v>
      </c>
      <c r="D153" s="20" t="s">
        <v>504</v>
      </c>
      <c r="E153" s="20" t="s">
        <v>470</v>
      </c>
      <c r="F153" s="2" t="s">
        <v>584</v>
      </c>
      <c r="G153" s="20" t="s">
        <v>69</v>
      </c>
      <c r="H153" s="36">
        <v>44070</v>
      </c>
      <c r="I153" s="20">
        <v>2020</v>
      </c>
      <c r="J153" s="20" t="s">
        <v>61</v>
      </c>
      <c r="K153" s="20" t="s">
        <v>123</v>
      </c>
      <c r="L153" s="20" t="s">
        <v>2515</v>
      </c>
      <c r="M153" s="20" t="s">
        <v>550</v>
      </c>
      <c r="N153" s="20" t="b">
        <v>1</v>
      </c>
      <c r="O153" s="2" t="b">
        <f>IF(Table1938[[#This Row],[Title]]="",TRUE,FALSE)</f>
        <v>0</v>
      </c>
      <c r="P153" s="2" t="b">
        <f>IF(Table1938[[#This Row],[Author]]="",TRUE,FALSE)</f>
        <v>0</v>
      </c>
      <c r="Q153" s="2" t="b">
        <f>IF(Table1938[[#This Row],[DOI]]&lt;&gt;"", FALSE,TRUE)</f>
        <v>0</v>
      </c>
      <c r="R153" s="2" t="b">
        <f>IF(Table1938[[#This Row],[Abstract]]="",TRUE,FALSE)</f>
        <v>0</v>
      </c>
      <c r="S153" s="2" t="b">
        <f>IF(OR(Table1938[[#This Row],[Document Type]]="book",Table1938[[#This Row],[Document Type]]="bookSection"),TRUE,FALSE)</f>
        <v>0</v>
      </c>
      <c r="T153" s="2" t="b">
        <f>NOT(IF(OR(Table1938[[#This Row],[Language]]&lt;&gt;"en",Table1938[[#This Row],[Language]]&lt;&gt;"EN",Table1938[[#This Row],[Language]]&lt;&gt;"spa",Table1938[[#This Row],[Language]]&lt;&gt;"SPA"),TRUE,FALSE))</f>
        <v>0</v>
      </c>
      <c r="U153" s="2" t="b">
        <f>IF(AND(Table1938[[#This Row],[EC-01]]=FALSE,Table1938[[#This Row],[EC-02]]=FALSE,Table1938[[#This Row],[EC-03]]=FALSE,Table1938[[#This Row],[EC-04]]=FALSE,Table1938[[#This Row],[EC-05]]=FALSE,Table1938[[#This Row],[EC-06]]=FALSE),TRUE,FALSE)</f>
        <v>1</v>
      </c>
      <c r="V153" s="2" t="b">
        <f>IF(Table1938[[#This Row],[Date]]&lt;&gt;"",AND(YEAR(Table1938[[#This Row],[Date]])&gt;=2010, YEAR(Table1938[[#This Row],[Date]])&lt;=2024),FALSE)</f>
        <v>1</v>
      </c>
      <c r="W153" s="2" t="b">
        <f>IF(Table1938[[#This Row],[Date]]&lt;&gt;"",AND(YEAR(Table1938[[#This Row],[Date]])&gt;=2010, YEAR(Table1938[[#This Row],[Date]])&lt;=2020),FALSE)</f>
        <v>1</v>
      </c>
      <c r="X153" s="2" t="b">
        <f>IF(AND(Table1938[[#This Row],[Accesible]]=TRUE,Table1938[[#This Row],[DOI]]&lt;&gt;""),TRUE,FALSE)</f>
        <v>1</v>
      </c>
      <c r="Y153" s="2" t="b">
        <f>OR(Table1938[[#This Row],[Document Type]]="journalArticle",Table1938[[#This Row],[Document Type]]="conferencePaper",Table1938[[#This Row],[Document Type]]="review")</f>
        <v>1</v>
      </c>
      <c r="Z153" s="2" t="b" cm="1">
        <f t="array" ref="Z153">SUMPRODUCT(--ISNUMBER(SEARCH({"dimensional analysis","dimensionless coefficients","Π","Pi","theorem","software","design","tools","development","architecture","similar"}, LOWER(Table1938[[#This Row],[Title]]))))&gt;0</f>
        <v>0</v>
      </c>
      <c r="AA153" s="2" t="b" cm="1">
        <f t="array" ref="AA153">SUMPRODUCT(--ISNUMBER(SEARCH({"dimensional analysis","dimensionless coefficients","Π","Pi","theorem","software","design","tools","development","architecture","similar"}, LOWER(Table1938[[#This Row],[Abstract]]))))&gt;0</f>
        <v>1</v>
      </c>
      <c r="AB153" s="2" t="b">
        <f>AND(OR(Table1938[[#This Row],[IC-01 @2024]:[IC-01 @2020]])=TRUE,Table1938[[#This Row],[IC-02]]=TRUE,Table1938[[#This Row],[IC-03]]=TRUE,Table1938[[#This Row],[IC-04]]=TRUE,Table1938[[#This Row],[IC-05]]=TRUE)</f>
        <v>0</v>
      </c>
      <c r="AC153" s="2" t="b">
        <f>AND(Table1938[[#This Row],[Pass-IC]]=TRUE,Table1938[[#This Row],[Pass-EC]]=TRUE)</f>
        <v>0</v>
      </c>
      <c r="AD153" s="2" t="b">
        <f>COUNTIF($D$25:D153, Table1938[[#This Row],[Title]]) = 1</f>
        <v>1</v>
      </c>
      <c r="AE153" s="2" t="b">
        <f>AND(Table1938[[#This Row],[IC + EC]:[Unique]])</f>
        <v>0</v>
      </c>
      <c r="AF153" s="2" t="b">
        <v>0</v>
      </c>
      <c r="AG153" s="2" t="b">
        <v>0</v>
      </c>
      <c r="AH153" s="2" t="b">
        <v>0</v>
      </c>
      <c r="AI153" s="2" t="b">
        <f>IF(AND(Table1938[[#This Row],[Double Check]]=TRUE,Table1938[[#This Row],[Inspected]]=TRUE,Table1938[[#This Row],[Relevant]]=TRUE),TRUE,FALSE)</f>
        <v>0</v>
      </c>
    </row>
    <row r="154" spans="1:35" ht="43" x14ac:dyDescent="0.5">
      <c r="A154" s="2">
        <v>153</v>
      </c>
      <c r="B154" s="20" t="s">
        <v>80</v>
      </c>
      <c r="C154" s="20" t="s">
        <v>2987</v>
      </c>
      <c r="D154" s="20" t="s">
        <v>529</v>
      </c>
      <c r="E154" s="20" t="s">
        <v>495</v>
      </c>
      <c r="F154" s="2" t="s">
        <v>606</v>
      </c>
      <c r="G154" s="20" t="s">
        <v>71</v>
      </c>
      <c r="H154" s="36">
        <v>43377</v>
      </c>
      <c r="I154" s="20">
        <v>2018</v>
      </c>
      <c r="J154" s="20" t="s">
        <v>61</v>
      </c>
      <c r="K154" s="20" t="s">
        <v>123</v>
      </c>
      <c r="L154" s="20" t="s">
        <v>2515</v>
      </c>
      <c r="M154" s="20" t="s">
        <v>575</v>
      </c>
      <c r="N154" s="20" t="b">
        <v>1</v>
      </c>
      <c r="O154" s="2" t="b">
        <f>IF(Table1938[[#This Row],[Title]]="",TRUE,FALSE)</f>
        <v>0</v>
      </c>
      <c r="P154" s="2" t="b">
        <f>IF(Table1938[[#This Row],[Author]]="",TRUE,FALSE)</f>
        <v>0</v>
      </c>
      <c r="Q154" s="2" t="b">
        <f>IF(Table1938[[#This Row],[DOI]]&lt;&gt;"", FALSE,TRUE)</f>
        <v>0</v>
      </c>
      <c r="R154" s="2" t="b">
        <f>IF(Table1938[[#This Row],[Abstract]]="",TRUE,FALSE)</f>
        <v>0</v>
      </c>
      <c r="S154" s="2" t="b">
        <f>IF(OR(Table1938[[#This Row],[Document Type]]="book",Table1938[[#This Row],[Document Type]]="bookSection"),TRUE,FALSE)</f>
        <v>0</v>
      </c>
      <c r="T154" s="2" t="b">
        <f>NOT(IF(OR(Table1938[[#This Row],[Language]]&lt;&gt;"en",Table1938[[#This Row],[Language]]&lt;&gt;"EN",Table1938[[#This Row],[Language]]&lt;&gt;"spa",Table1938[[#This Row],[Language]]&lt;&gt;"SPA"),TRUE,FALSE))</f>
        <v>0</v>
      </c>
      <c r="U154" s="2" t="b">
        <f>IF(AND(Table1938[[#This Row],[EC-01]]=FALSE,Table1938[[#This Row],[EC-02]]=FALSE,Table1938[[#This Row],[EC-03]]=FALSE,Table1938[[#This Row],[EC-04]]=FALSE,Table1938[[#This Row],[EC-05]]=FALSE,Table1938[[#This Row],[EC-06]]=FALSE),TRUE,FALSE)</f>
        <v>1</v>
      </c>
      <c r="V154" s="2" t="b">
        <f>IF(Table1938[[#This Row],[Date]]&lt;&gt;"",AND(YEAR(Table1938[[#This Row],[Date]])&gt;=2010, YEAR(Table1938[[#This Row],[Date]])&lt;=2024),FALSE)</f>
        <v>1</v>
      </c>
      <c r="W154" s="2" t="b">
        <f>IF(Table1938[[#This Row],[Date]]&lt;&gt;"",AND(YEAR(Table1938[[#This Row],[Date]])&gt;=2010, YEAR(Table1938[[#This Row],[Date]])&lt;=2020),FALSE)</f>
        <v>1</v>
      </c>
      <c r="X154" s="2" t="b">
        <f>IF(AND(Table1938[[#This Row],[Accesible]]=TRUE,Table1938[[#This Row],[DOI]]&lt;&gt;""),TRUE,FALSE)</f>
        <v>1</v>
      </c>
      <c r="Y154" s="2" t="b">
        <f>OR(Table1938[[#This Row],[Document Type]]="journalArticle",Table1938[[#This Row],[Document Type]]="conferencePaper",Table1938[[#This Row],[Document Type]]="review")</f>
        <v>1</v>
      </c>
      <c r="Z154" s="2" t="b" cm="1">
        <f t="array" ref="Z154">SUMPRODUCT(--ISNUMBER(SEARCH({"dimensional analysis","dimensionless coefficients","Π","Pi","theorem","software","design","tools","development","architecture","similar"}, LOWER(Table1938[[#This Row],[Title]]))))&gt;0</f>
        <v>0</v>
      </c>
      <c r="AA154" s="2" t="b" cm="1">
        <f t="array" ref="AA154">SUMPRODUCT(--ISNUMBER(SEARCH({"dimensional analysis","dimensionless coefficients","Π","Pi","theorem","software","design","tools","development","architecture","similar"}, LOWER(Table1938[[#This Row],[Abstract]]))))&gt;0</f>
        <v>1</v>
      </c>
      <c r="AB154" s="2" t="b">
        <f>AND(OR(Table1938[[#This Row],[IC-01 @2024]:[IC-01 @2020]])=TRUE,Table1938[[#This Row],[IC-02]]=TRUE,Table1938[[#This Row],[IC-03]]=TRUE,Table1938[[#This Row],[IC-04]]=TRUE,Table1938[[#This Row],[IC-05]]=TRUE)</f>
        <v>0</v>
      </c>
      <c r="AC154" s="2" t="b">
        <f>AND(Table1938[[#This Row],[Pass-IC]]=TRUE,Table1938[[#This Row],[Pass-EC]]=TRUE)</f>
        <v>0</v>
      </c>
      <c r="AD154" s="2" t="b">
        <f>COUNTIF($D$25:D154, Table1938[[#This Row],[Title]]) = 1</f>
        <v>1</v>
      </c>
      <c r="AE154" s="2" t="b">
        <f>AND(Table1938[[#This Row],[IC + EC]:[Unique]])</f>
        <v>0</v>
      </c>
      <c r="AF154" s="2" t="b">
        <v>0</v>
      </c>
      <c r="AG154" s="2" t="b">
        <v>0</v>
      </c>
      <c r="AH154" s="2" t="b">
        <v>0</v>
      </c>
      <c r="AI154" s="2" t="b">
        <f>IF(AND(Table1938[[#This Row],[Double Check]]=TRUE,Table1938[[#This Row],[Inspected]]=TRUE,Table1938[[#This Row],[Relevant]]=TRUE),TRUE,FALSE)</f>
        <v>0</v>
      </c>
    </row>
    <row r="155" spans="1:35" ht="57.35" x14ac:dyDescent="0.5">
      <c r="A155" s="2">
        <v>154</v>
      </c>
      <c r="B155" s="20" t="s">
        <v>80</v>
      </c>
      <c r="C155" s="20" t="s">
        <v>2988</v>
      </c>
      <c r="D155" s="20" t="s">
        <v>522</v>
      </c>
      <c r="E155" s="20" t="s">
        <v>488</v>
      </c>
      <c r="F155" s="2" t="s">
        <v>599</v>
      </c>
      <c r="G155" s="20" t="s">
        <v>68</v>
      </c>
      <c r="H155" s="36">
        <v>44727</v>
      </c>
      <c r="I155" s="20">
        <v>2022</v>
      </c>
      <c r="J155" s="20" t="s">
        <v>61</v>
      </c>
      <c r="K155" s="20" t="s">
        <v>123</v>
      </c>
      <c r="L155" s="20" t="s">
        <v>2515</v>
      </c>
      <c r="M155" s="20" t="s">
        <v>568</v>
      </c>
      <c r="N155" s="20" t="b">
        <v>1</v>
      </c>
      <c r="O155" s="2" t="b">
        <f>IF(Table1938[[#This Row],[Title]]="",TRUE,FALSE)</f>
        <v>0</v>
      </c>
      <c r="P155" s="2" t="b">
        <f>IF(Table1938[[#This Row],[Author]]="",TRUE,FALSE)</f>
        <v>0</v>
      </c>
      <c r="Q155" s="2" t="b">
        <f>IF(Table1938[[#This Row],[DOI]]&lt;&gt;"", FALSE,TRUE)</f>
        <v>0</v>
      </c>
      <c r="R155" s="2" t="b">
        <f>IF(Table1938[[#This Row],[Abstract]]="",TRUE,FALSE)</f>
        <v>0</v>
      </c>
      <c r="S155" s="2" t="b">
        <f>IF(OR(Table1938[[#This Row],[Document Type]]="book",Table1938[[#This Row],[Document Type]]="bookSection"),TRUE,FALSE)</f>
        <v>0</v>
      </c>
      <c r="T155" s="2" t="b">
        <f>NOT(IF(OR(Table1938[[#This Row],[Language]]&lt;&gt;"en",Table1938[[#This Row],[Language]]&lt;&gt;"EN",Table1938[[#This Row],[Language]]&lt;&gt;"spa",Table1938[[#This Row],[Language]]&lt;&gt;"SPA"),TRUE,FALSE))</f>
        <v>0</v>
      </c>
      <c r="U155" s="2" t="b">
        <f>IF(AND(Table1938[[#This Row],[EC-01]]=FALSE,Table1938[[#This Row],[EC-02]]=FALSE,Table1938[[#This Row],[EC-03]]=FALSE,Table1938[[#This Row],[EC-04]]=FALSE,Table1938[[#This Row],[EC-05]]=FALSE,Table1938[[#This Row],[EC-06]]=FALSE),TRUE,FALSE)</f>
        <v>1</v>
      </c>
      <c r="V155" s="2" t="b">
        <f>IF(Table1938[[#This Row],[Date]]&lt;&gt;"",AND(YEAR(Table1938[[#This Row],[Date]])&gt;=2010, YEAR(Table1938[[#This Row],[Date]])&lt;=2024),FALSE)</f>
        <v>1</v>
      </c>
      <c r="W155" s="2" t="b">
        <f>IF(Table1938[[#This Row],[Date]]&lt;&gt;"",AND(YEAR(Table1938[[#This Row],[Date]])&gt;=2010, YEAR(Table1938[[#This Row],[Date]])&lt;=2020),FALSE)</f>
        <v>0</v>
      </c>
      <c r="X155" s="2" t="b">
        <f>IF(AND(Table1938[[#This Row],[Accesible]]=TRUE,Table1938[[#This Row],[DOI]]&lt;&gt;""),TRUE,FALSE)</f>
        <v>1</v>
      </c>
      <c r="Y155" s="2" t="b">
        <f>OR(Table1938[[#This Row],[Document Type]]="journalArticle",Table1938[[#This Row],[Document Type]]="conferencePaper",Table1938[[#This Row],[Document Type]]="review")</f>
        <v>1</v>
      </c>
      <c r="Z155" s="2" t="b" cm="1">
        <f t="array" ref="Z155">SUMPRODUCT(--ISNUMBER(SEARCH({"dimensional analysis","dimensionless coefficients","Π","Pi","theorem","software","design","tools","development","architecture","similar"}, LOWER(Table1938[[#This Row],[Title]]))))&gt;0</f>
        <v>1</v>
      </c>
      <c r="AA155" s="2" t="b" cm="1">
        <f t="array" ref="AA155">SUMPRODUCT(--ISNUMBER(SEARCH({"dimensional analysis","dimensionless coefficients","Π","Pi","theorem","software","design","tools","development","architecture","similar"}, LOWER(Table1938[[#This Row],[Abstract]]))))&gt;0</f>
        <v>1</v>
      </c>
      <c r="AB155" s="2" t="b">
        <f>AND(OR(Table1938[[#This Row],[IC-01 @2024]:[IC-01 @2020]])=TRUE,Table1938[[#This Row],[IC-02]]=TRUE,Table1938[[#This Row],[IC-03]]=TRUE,Table1938[[#This Row],[IC-04]]=TRUE,Table1938[[#This Row],[IC-05]]=TRUE)</f>
        <v>1</v>
      </c>
      <c r="AC155" s="2" t="b">
        <f>AND(Table1938[[#This Row],[Pass-IC]]=TRUE,Table1938[[#This Row],[Pass-EC]]=TRUE)</f>
        <v>1</v>
      </c>
      <c r="AD155" s="2" t="b">
        <f>COUNTIF($D$25:D155, Table1938[[#This Row],[Title]]) = 1</f>
        <v>1</v>
      </c>
      <c r="AE155" s="2" t="b">
        <f>AND(Table1938[[#This Row],[IC + EC]:[Unique]])</f>
        <v>1</v>
      </c>
      <c r="AF155" s="2" t="b">
        <v>1</v>
      </c>
      <c r="AG155" s="2" t="b">
        <v>0</v>
      </c>
      <c r="AH155" s="2" t="b">
        <v>0</v>
      </c>
      <c r="AI155" s="2" t="b">
        <f>IF(AND(Table1938[[#This Row],[Double Check]]=TRUE,Table1938[[#This Row],[Inspected]]=TRUE,Table1938[[#This Row],[Relevant]]=TRUE),TRUE,FALSE)</f>
        <v>0</v>
      </c>
    </row>
    <row r="156" spans="1:35" ht="57.35" x14ac:dyDescent="0.5">
      <c r="A156" s="2">
        <v>155</v>
      </c>
      <c r="B156" s="20" t="s">
        <v>80</v>
      </c>
      <c r="C156" s="20" t="s">
        <v>2989</v>
      </c>
      <c r="D156" s="20" t="s">
        <v>528</v>
      </c>
      <c r="E156" s="20" t="s">
        <v>494</v>
      </c>
      <c r="F156" s="2" t="s">
        <v>605</v>
      </c>
      <c r="G156" s="20" t="s">
        <v>545</v>
      </c>
      <c r="H156" s="36">
        <v>43509</v>
      </c>
      <c r="I156" s="20">
        <v>2019</v>
      </c>
      <c r="J156" s="20" t="s">
        <v>61</v>
      </c>
      <c r="K156" s="20" t="s">
        <v>123</v>
      </c>
      <c r="L156" s="20" t="s">
        <v>2515</v>
      </c>
      <c r="M156" s="20" t="s">
        <v>574</v>
      </c>
      <c r="N156" s="20" t="b">
        <v>1</v>
      </c>
      <c r="O156" s="2" t="b">
        <f>IF(Table1938[[#This Row],[Title]]="",TRUE,FALSE)</f>
        <v>0</v>
      </c>
      <c r="P156" s="2" t="b">
        <f>IF(Table1938[[#This Row],[Author]]="",TRUE,FALSE)</f>
        <v>0</v>
      </c>
      <c r="Q156" s="2" t="b">
        <f>IF(Table1938[[#This Row],[DOI]]&lt;&gt;"", FALSE,TRUE)</f>
        <v>0</v>
      </c>
      <c r="R156" s="2" t="b">
        <f>IF(Table1938[[#This Row],[Abstract]]="",TRUE,FALSE)</f>
        <v>0</v>
      </c>
      <c r="S156" s="2" t="b">
        <f>IF(OR(Table1938[[#This Row],[Document Type]]="book",Table1938[[#This Row],[Document Type]]="bookSection"),TRUE,FALSE)</f>
        <v>0</v>
      </c>
      <c r="T156" s="2" t="b">
        <f>NOT(IF(OR(Table1938[[#This Row],[Language]]&lt;&gt;"en",Table1938[[#This Row],[Language]]&lt;&gt;"EN",Table1938[[#This Row],[Language]]&lt;&gt;"spa",Table1938[[#This Row],[Language]]&lt;&gt;"SPA"),TRUE,FALSE))</f>
        <v>0</v>
      </c>
      <c r="U156" s="2" t="b">
        <f>IF(AND(Table1938[[#This Row],[EC-01]]=FALSE,Table1938[[#This Row],[EC-02]]=FALSE,Table1938[[#This Row],[EC-03]]=FALSE,Table1938[[#This Row],[EC-04]]=FALSE,Table1938[[#This Row],[EC-05]]=FALSE,Table1938[[#This Row],[EC-06]]=FALSE),TRUE,FALSE)</f>
        <v>1</v>
      </c>
      <c r="V156" s="2" t="b">
        <f>IF(Table1938[[#This Row],[Date]]&lt;&gt;"",AND(YEAR(Table1938[[#This Row],[Date]])&gt;=2010, YEAR(Table1938[[#This Row],[Date]])&lt;=2024),FALSE)</f>
        <v>1</v>
      </c>
      <c r="W156" s="2" t="b">
        <f>IF(Table1938[[#This Row],[Date]]&lt;&gt;"",AND(YEAR(Table1938[[#This Row],[Date]])&gt;=2010, YEAR(Table1938[[#This Row],[Date]])&lt;=2020),FALSE)</f>
        <v>1</v>
      </c>
      <c r="X156" s="2" t="b">
        <f>IF(AND(Table1938[[#This Row],[Accesible]]=TRUE,Table1938[[#This Row],[DOI]]&lt;&gt;""),TRUE,FALSE)</f>
        <v>1</v>
      </c>
      <c r="Y156" s="2" t="b">
        <f>OR(Table1938[[#This Row],[Document Type]]="journalArticle",Table1938[[#This Row],[Document Type]]="conferencePaper",Table1938[[#This Row],[Document Type]]="review")</f>
        <v>1</v>
      </c>
      <c r="Z156" s="2" t="b" cm="1">
        <f t="array" ref="Z156">SUMPRODUCT(--ISNUMBER(SEARCH({"dimensional analysis","dimensionless coefficients","Π","Pi","theorem","software","design","tools","development","architecture","similar"}, LOWER(Table1938[[#This Row],[Title]]))))&gt;0</f>
        <v>0</v>
      </c>
      <c r="AA156" s="2" t="b" cm="1">
        <f t="array" ref="AA156">SUMPRODUCT(--ISNUMBER(SEARCH({"dimensional analysis","dimensionless coefficients","Π","Pi","theorem","software","design","tools","development","architecture","similar"}, LOWER(Table1938[[#This Row],[Abstract]]))))&gt;0</f>
        <v>1</v>
      </c>
      <c r="AB156" s="2" t="b">
        <f>AND(OR(Table1938[[#This Row],[IC-01 @2024]:[IC-01 @2020]])=TRUE,Table1938[[#This Row],[IC-02]]=TRUE,Table1938[[#This Row],[IC-03]]=TRUE,Table1938[[#This Row],[IC-04]]=TRUE,Table1938[[#This Row],[IC-05]]=TRUE)</f>
        <v>0</v>
      </c>
      <c r="AC156" s="2" t="b">
        <f>AND(Table1938[[#This Row],[Pass-IC]]=TRUE,Table1938[[#This Row],[Pass-EC]]=TRUE)</f>
        <v>0</v>
      </c>
      <c r="AD156" s="2" t="b">
        <f>COUNTIF($D$25:D156, Table1938[[#This Row],[Title]]) = 1</f>
        <v>1</v>
      </c>
      <c r="AE156" s="2" t="b">
        <f>AND(Table1938[[#This Row],[IC + EC]:[Unique]])</f>
        <v>0</v>
      </c>
      <c r="AF156" s="2" t="b">
        <v>0</v>
      </c>
      <c r="AG156" s="2" t="b">
        <v>0</v>
      </c>
      <c r="AH156" s="2" t="b">
        <v>0</v>
      </c>
      <c r="AI156" s="2" t="b">
        <f>IF(AND(Table1938[[#This Row],[Double Check]]=TRUE,Table1938[[#This Row],[Inspected]]=TRUE,Table1938[[#This Row],[Relevant]]=TRUE),TRUE,FALSE)</f>
        <v>0</v>
      </c>
    </row>
    <row r="157" spans="1:35" ht="71.7" x14ac:dyDescent="0.5">
      <c r="A157" s="2">
        <v>156</v>
      </c>
      <c r="B157" s="20" t="s">
        <v>80</v>
      </c>
      <c r="C157" s="20" t="s">
        <v>2990</v>
      </c>
      <c r="D157" s="20" t="s">
        <v>515</v>
      </c>
      <c r="E157" s="20" t="s">
        <v>481</v>
      </c>
      <c r="F157" s="2" t="s">
        <v>594</v>
      </c>
      <c r="G157" s="20" t="s">
        <v>543</v>
      </c>
      <c r="H157" s="36">
        <v>43116</v>
      </c>
      <c r="I157" s="20">
        <v>2018</v>
      </c>
      <c r="J157" s="20" t="s">
        <v>61</v>
      </c>
      <c r="K157" s="20" t="s">
        <v>123</v>
      </c>
      <c r="L157" s="20" t="s">
        <v>2515</v>
      </c>
      <c r="M157" s="20" t="s">
        <v>561</v>
      </c>
      <c r="N157" s="20" t="b">
        <v>1</v>
      </c>
      <c r="O157" s="2" t="b">
        <f>IF(Table1938[[#This Row],[Title]]="",TRUE,FALSE)</f>
        <v>0</v>
      </c>
      <c r="P157" s="2" t="b">
        <f>IF(Table1938[[#This Row],[Author]]="",TRUE,FALSE)</f>
        <v>0</v>
      </c>
      <c r="Q157" s="2" t="b">
        <f>IF(Table1938[[#This Row],[DOI]]&lt;&gt;"", FALSE,TRUE)</f>
        <v>0</v>
      </c>
      <c r="R157" s="2" t="b">
        <f>IF(Table1938[[#This Row],[Abstract]]="",TRUE,FALSE)</f>
        <v>0</v>
      </c>
      <c r="S157" s="2" t="b">
        <f>IF(OR(Table1938[[#This Row],[Document Type]]="book",Table1938[[#This Row],[Document Type]]="bookSection"),TRUE,FALSE)</f>
        <v>0</v>
      </c>
      <c r="T157" s="2" t="b">
        <f>NOT(IF(OR(Table1938[[#This Row],[Language]]&lt;&gt;"en",Table1938[[#This Row],[Language]]&lt;&gt;"EN",Table1938[[#This Row],[Language]]&lt;&gt;"spa",Table1938[[#This Row],[Language]]&lt;&gt;"SPA"),TRUE,FALSE))</f>
        <v>0</v>
      </c>
      <c r="U157" s="2" t="b">
        <f>IF(AND(Table1938[[#This Row],[EC-01]]=FALSE,Table1938[[#This Row],[EC-02]]=FALSE,Table1938[[#This Row],[EC-03]]=FALSE,Table1938[[#This Row],[EC-04]]=FALSE,Table1938[[#This Row],[EC-05]]=FALSE,Table1938[[#This Row],[EC-06]]=FALSE),TRUE,FALSE)</f>
        <v>1</v>
      </c>
      <c r="V157" s="2" t="b">
        <f>IF(Table1938[[#This Row],[Date]]&lt;&gt;"",AND(YEAR(Table1938[[#This Row],[Date]])&gt;=2010, YEAR(Table1938[[#This Row],[Date]])&lt;=2024),FALSE)</f>
        <v>1</v>
      </c>
      <c r="W157" s="2" t="b">
        <f>IF(Table1938[[#This Row],[Date]]&lt;&gt;"",AND(YEAR(Table1938[[#This Row],[Date]])&gt;=2010, YEAR(Table1938[[#This Row],[Date]])&lt;=2020),FALSE)</f>
        <v>1</v>
      </c>
      <c r="X157" s="2" t="b">
        <f>IF(AND(Table1938[[#This Row],[Accesible]]=TRUE,Table1938[[#This Row],[DOI]]&lt;&gt;""),TRUE,FALSE)</f>
        <v>1</v>
      </c>
      <c r="Y157" s="2" t="b">
        <f>OR(Table1938[[#This Row],[Document Type]]="journalArticle",Table1938[[#This Row],[Document Type]]="conferencePaper",Table1938[[#This Row],[Document Type]]="review")</f>
        <v>1</v>
      </c>
      <c r="Z157" s="2" t="b" cm="1">
        <f t="array" ref="Z157">SUMPRODUCT(--ISNUMBER(SEARCH({"dimensional analysis","dimensionless coefficients","Π","Pi","theorem","software","design","tools","development","architecture","similar"}, LOWER(Table1938[[#This Row],[Title]]))))&gt;0</f>
        <v>0</v>
      </c>
      <c r="AA157" s="2" t="b" cm="1">
        <f t="array" ref="AA157">SUMPRODUCT(--ISNUMBER(SEARCH({"dimensional analysis","dimensionless coefficients","Π","Pi","theorem","software","design","tools","development","architecture","similar"}, LOWER(Table1938[[#This Row],[Abstract]]))))&gt;0</f>
        <v>1</v>
      </c>
      <c r="AB157" s="2" t="b">
        <f>AND(OR(Table1938[[#This Row],[IC-01 @2024]:[IC-01 @2020]])=TRUE,Table1938[[#This Row],[IC-02]]=TRUE,Table1938[[#This Row],[IC-03]]=TRUE,Table1938[[#This Row],[IC-04]]=TRUE,Table1938[[#This Row],[IC-05]]=TRUE)</f>
        <v>0</v>
      </c>
      <c r="AC157" s="2" t="b">
        <f>AND(Table1938[[#This Row],[Pass-IC]]=TRUE,Table1938[[#This Row],[Pass-EC]]=TRUE)</f>
        <v>0</v>
      </c>
      <c r="AD157" s="2" t="b">
        <f>COUNTIF($D$25:D157, Table1938[[#This Row],[Title]]) = 1</f>
        <v>1</v>
      </c>
      <c r="AE157" s="2" t="b">
        <f>AND(Table1938[[#This Row],[IC + EC]:[Unique]])</f>
        <v>0</v>
      </c>
      <c r="AF157" s="2" t="b">
        <v>0</v>
      </c>
      <c r="AG157" s="2" t="b">
        <v>0</v>
      </c>
      <c r="AH157" s="2" t="b">
        <v>0</v>
      </c>
      <c r="AI157" s="2" t="b">
        <f>IF(AND(Table1938[[#This Row],[Double Check]]=TRUE,Table1938[[#This Row],[Inspected]]=TRUE,Table1938[[#This Row],[Relevant]]=TRUE),TRUE,FALSE)</f>
        <v>0</v>
      </c>
    </row>
    <row r="158" spans="1:35" ht="71.7" x14ac:dyDescent="0.5">
      <c r="A158" s="2">
        <v>157</v>
      </c>
      <c r="B158" s="20" t="s">
        <v>80</v>
      </c>
      <c r="C158" s="20" t="s">
        <v>2991</v>
      </c>
      <c r="D158" s="20" t="s">
        <v>523</v>
      </c>
      <c r="E158" s="20" t="s">
        <v>489</v>
      </c>
      <c r="F158" s="2" t="s">
        <v>600</v>
      </c>
      <c r="G158" s="20" t="s">
        <v>543</v>
      </c>
      <c r="H158" s="36">
        <v>44050</v>
      </c>
      <c r="I158" s="20">
        <v>2020</v>
      </c>
      <c r="J158" s="20" t="s">
        <v>61</v>
      </c>
      <c r="K158" s="20" t="s">
        <v>123</v>
      </c>
      <c r="L158" s="20" t="s">
        <v>2515</v>
      </c>
      <c r="M158" s="20" t="s">
        <v>569</v>
      </c>
      <c r="N158" s="20" t="b">
        <v>1</v>
      </c>
      <c r="O158" s="2" t="b">
        <f>IF(Table1938[[#This Row],[Title]]="",TRUE,FALSE)</f>
        <v>0</v>
      </c>
      <c r="P158" s="2" t="b">
        <f>IF(Table1938[[#This Row],[Author]]="",TRUE,FALSE)</f>
        <v>0</v>
      </c>
      <c r="Q158" s="2" t="b">
        <f>IF(Table1938[[#This Row],[DOI]]&lt;&gt;"", FALSE,TRUE)</f>
        <v>0</v>
      </c>
      <c r="R158" s="2" t="b">
        <f>IF(Table1938[[#This Row],[Abstract]]="",TRUE,FALSE)</f>
        <v>0</v>
      </c>
      <c r="S158" s="2" t="b">
        <f>IF(OR(Table1938[[#This Row],[Document Type]]="book",Table1938[[#This Row],[Document Type]]="bookSection"),TRUE,FALSE)</f>
        <v>0</v>
      </c>
      <c r="T158" s="2" t="b">
        <f>NOT(IF(OR(Table1938[[#This Row],[Language]]&lt;&gt;"en",Table1938[[#This Row],[Language]]&lt;&gt;"EN",Table1938[[#This Row],[Language]]&lt;&gt;"spa",Table1938[[#This Row],[Language]]&lt;&gt;"SPA"),TRUE,FALSE))</f>
        <v>0</v>
      </c>
      <c r="U158" s="2" t="b">
        <f>IF(AND(Table1938[[#This Row],[EC-01]]=FALSE,Table1938[[#This Row],[EC-02]]=FALSE,Table1938[[#This Row],[EC-03]]=FALSE,Table1938[[#This Row],[EC-04]]=FALSE,Table1938[[#This Row],[EC-05]]=FALSE,Table1938[[#This Row],[EC-06]]=FALSE),TRUE,FALSE)</f>
        <v>1</v>
      </c>
      <c r="V158" s="2" t="b">
        <f>IF(Table1938[[#This Row],[Date]]&lt;&gt;"",AND(YEAR(Table1938[[#This Row],[Date]])&gt;=2010, YEAR(Table1938[[#This Row],[Date]])&lt;=2024),FALSE)</f>
        <v>1</v>
      </c>
      <c r="W158" s="2" t="b">
        <f>IF(Table1938[[#This Row],[Date]]&lt;&gt;"",AND(YEAR(Table1938[[#This Row],[Date]])&gt;=2010, YEAR(Table1938[[#This Row],[Date]])&lt;=2020),FALSE)</f>
        <v>1</v>
      </c>
      <c r="X158" s="2" t="b">
        <f>IF(AND(Table1938[[#This Row],[Accesible]]=TRUE,Table1938[[#This Row],[DOI]]&lt;&gt;""),TRUE,FALSE)</f>
        <v>1</v>
      </c>
      <c r="Y158" s="2" t="b">
        <f>OR(Table1938[[#This Row],[Document Type]]="journalArticle",Table1938[[#This Row],[Document Type]]="conferencePaper",Table1938[[#This Row],[Document Type]]="review")</f>
        <v>1</v>
      </c>
      <c r="Z158" s="2" t="b" cm="1">
        <f t="array" ref="Z158">SUMPRODUCT(--ISNUMBER(SEARCH({"dimensional analysis","dimensionless coefficients","Π","Pi","theorem","software","design","tools","development","architecture","similar"}, LOWER(Table1938[[#This Row],[Title]]))))&gt;0</f>
        <v>0</v>
      </c>
      <c r="AA158" s="2" t="b" cm="1">
        <f t="array" ref="AA158">SUMPRODUCT(--ISNUMBER(SEARCH({"dimensional analysis","dimensionless coefficients","Π","Pi","theorem","software","design","tools","development","architecture","similar"}, LOWER(Table1938[[#This Row],[Abstract]]))))&gt;0</f>
        <v>1</v>
      </c>
      <c r="AB158" s="2" t="b">
        <f>AND(OR(Table1938[[#This Row],[IC-01 @2024]:[IC-01 @2020]])=TRUE,Table1938[[#This Row],[IC-02]]=TRUE,Table1938[[#This Row],[IC-03]]=TRUE,Table1938[[#This Row],[IC-04]]=TRUE,Table1938[[#This Row],[IC-05]]=TRUE)</f>
        <v>0</v>
      </c>
      <c r="AC158" s="2" t="b">
        <f>AND(Table1938[[#This Row],[Pass-IC]]=TRUE,Table1938[[#This Row],[Pass-EC]]=TRUE)</f>
        <v>0</v>
      </c>
      <c r="AD158" s="2" t="b">
        <f>COUNTIF($D$25:D158, Table1938[[#This Row],[Title]]) = 1</f>
        <v>1</v>
      </c>
      <c r="AE158" s="2" t="b">
        <f>AND(Table1938[[#This Row],[IC + EC]:[Unique]])</f>
        <v>0</v>
      </c>
      <c r="AF158" s="2" t="b">
        <v>0</v>
      </c>
      <c r="AG158" s="2" t="b">
        <v>0</v>
      </c>
      <c r="AH158" s="2" t="b">
        <v>0</v>
      </c>
      <c r="AI158" s="2" t="b">
        <f>IF(AND(Table1938[[#This Row],[Double Check]]=TRUE,Table1938[[#This Row],[Inspected]]=TRUE,Table1938[[#This Row],[Relevant]]=TRUE),TRUE,FALSE)</f>
        <v>0</v>
      </c>
    </row>
    <row r="159" spans="1:35" ht="71.7" x14ac:dyDescent="0.5">
      <c r="A159" s="2">
        <v>158</v>
      </c>
      <c r="B159" s="20" t="s">
        <v>80</v>
      </c>
      <c r="C159" s="20" t="s">
        <v>2992</v>
      </c>
      <c r="D159" s="20" t="s">
        <v>532</v>
      </c>
      <c r="E159" s="20" t="s">
        <v>498</v>
      </c>
      <c r="F159" s="2" t="s">
        <v>609</v>
      </c>
      <c r="G159" s="20" t="s">
        <v>69</v>
      </c>
      <c r="H159" s="36">
        <v>43644</v>
      </c>
      <c r="I159" s="20">
        <v>2019</v>
      </c>
      <c r="J159" s="20" t="s">
        <v>61</v>
      </c>
      <c r="K159" s="20" t="s">
        <v>123</v>
      </c>
      <c r="L159" s="20" t="s">
        <v>2515</v>
      </c>
      <c r="M159" s="20" t="s">
        <v>578</v>
      </c>
      <c r="N159" s="20" t="b">
        <v>1</v>
      </c>
      <c r="O159" s="2" t="b">
        <f>IF(Table1938[[#This Row],[Title]]="",TRUE,FALSE)</f>
        <v>0</v>
      </c>
      <c r="P159" s="2" t="b">
        <f>IF(Table1938[[#This Row],[Author]]="",TRUE,FALSE)</f>
        <v>0</v>
      </c>
      <c r="Q159" s="2" t="b">
        <f>IF(Table1938[[#This Row],[DOI]]&lt;&gt;"", FALSE,TRUE)</f>
        <v>0</v>
      </c>
      <c r="R159" s="2" t="b">
        <f>IF(Table1938[[#This Row],[Abstract]]="",TRUE,FALSE)</f>
        <v>0</v>
      </c>
      <c r="S159" s="2" t="b">
        <f>IF(OR(Table1938[[#This Row],[Document Type]]="book",Table1938[[#This Row],[Document Type]]="bookSection"),TRUE,FALSE)</f>
        <v>0</v>
      </c>
      <c r="T159" s="2" t="b">
        <f>NOT(IF(OR(Table1938[[#This Row],[Language]]&lt;&gt;"en",Table1938[[#This Row],[Language]]&lt;&gt;"EN",Table1938[[#This Row],[Language]]&lt;&gt;"spa",Table1938[[#This Row],[Language]]&lt;&gt;"SPA"),TRUE,FALSE))</f>
        <v>0</v>
      </c>
      <c r="U159" s="2" t="b">
        <f>IF(AND(Table1938[[#This Row],[EC-01]]=FALSE,Table1938[[#This Row],[EC-02]]=FALSE,Table1938[[#This Row],[EC-03]]=FALSE,Table1938[[#This Row],[EC-04]]=FALSE,Table1938[[#This Row],[EC-05]]=FALSE,Table1938[[#This Row],[EC-06]]=FALSE),TRUE,FALSE)</f>
        <v>1</v>
      </c>
      <c r="V159" s="2" t="b">
        <f>IF(Table1938[[#This Row],[Date]]&lt;&gt;"",AND(YEAR(Table1938[[#This Row],[Date]])&gt;=2010, YEAR(Table1938[[#This Row],[Date]])&lt;=2024),FALSE)</f>
        <v>1</v>
      </c>
      <c r="W159" s="2" t="b">
        <f>IF(Table1938[[#This Row],[Date]]&lt;&gt;"",AND(YEAR(Table1938[[#This Row],[Date]])&gt;=2010, YEAR(Table1938[[#This Row],[Date]])&lt;=2020),FALSE)</f>
        <v>1</v>
      </c>
      <c r="X159" s="2" t="b">
        <f>IF(AND(Table1938[[#This Row],[Accesible]]=TRUE,Table1938[[#This Row],[DOI]]&lt;&gt;""),TRUE,FALSE)</f>
        <v>1</v>
      </c>
      <c r="Y159" s="2" t="b">
        <f>OR(Table1938[[#This Row],[Document Type]]="journalArticle",Table1938[[#This Row],[Document Type]]="conferencePaper",Table1938[[#This Row],[Document Type]]="review")</f>
        <v>1</v>
      </c>
      <c r="Z159" s="2" t="b" cm="1">
        <f t="array" ref="Z159">SUMPRODUCT(--ISNUMBER(SEARCH({"dimensional analysis","dimensionless coefficients","Π","Pi","theorem","software","design","tools","development","architecture","similar"}, LOWER(Table1938[[#This Row],[Title]]))))&gt;0</f>
        <v>0</v>
      </c>
      <c r="AA159" s="2" t="b" cm="1">
        <f t="array" ref="AA159">SUMPRODUCT(--ISNUMBER(SEARCH({"dimensional analysis","dimensionless coefficients","Π","Pi","theorem","software","design","tools","development","architecture","similar"}, LOWER(Table1938[[#This Row],[Abstract]]))))&gt;0</f>
        <v>0</v>
      </c>
      <c r="AB159" s="2" t="b">
        <f>AND(OR(Table1938[[#This Row],[IC-01 @2024]:[IC-01 @2020]])=TRUE,Table1938[[#This Row],[IC-02]]=TRUE,Table1938[[#This Row],[IC-03]]=TRUE,Table1938[[#This Row],[IC-04]]=TRUE,Table1938[[#This Row],[IC-05]]=TRUE)</f>
        <v>0</v>
      </c>
      <c r="AC159" s="2" t="b">
        <f>AND(Table1938[[#This Row],[Pass-IC]]=TRUE,Table1938[[#This Row],[Pass-EC]]=TRUE)</f>
        <v>0</v>
      </c>
      <c r="AD159" s="2" t="b">
        <f>COUNTIF($D$25:D159, Table1938[[#This Row],[Title]]) = 1</f>
        <v>1</v>
      </c>
      <c r="AE159" s="2" t="b">
        <f>AND(Table1938[[#This Row],[IC + EC]:[Unique]])</f>
        <v>0</v>
      </c>
      <c r="AF159" s="2" t="b">
        <v>0</v>
      </c>
      <c r="AG159" s="2" t="b">
        <v>0</v>
      </c>
      <c r="AH159" s="2" t="b">
        <v>0</v>
      </c>
      <c r="AI159" s="2" t="b">
        <f>IF(AND(Table1938[[#This Row],[Double Check]]=TRUE,Table1938[[#This Row],[Inspected]]=TRUE,Table1938[[#This Row],[Relevant]]=TRUE),TRUE,FALSE)</f>
        <v>0</v>
      </c>
    </row>
    <row r="160" spans="1:35" ht="43" x14ac:dyDescent="0.5">
      <c r="A160" s="2">
        <v>159</v>
      </c>
      <c r="B160" s="20" t="s">
        <v>80</v>
      </c>
      <c r="C160" s="20" t="s">
        <v>2993</v>
      </c>
      <c r="D160" s="20" t="s">
        <v>518</v>
      </c>
      <c r="E160" s="20" t="s">
        <v>484</v>
      </c>
      <c r="F160" s="2" t="s">
        <v>123</v>
      </c>
      <c r="G160" s="20" t="s">
        <v>538</v>
      </c>
      <c r="H160" s="36">
        <v>41095</v>
      </c>
      <c r="I160" s="20">
        <v>2012</v>
      </c>
      <c r="J160" s="20" t="s">
        <v>61</v>
      </c>
      <c r="K160" s="20" t="s">
        <v>123</v>
      </c>
      <c r="L160" s="20" t="s">
        <v>2515</v>
      </c>
      <c r="M160" s="20" t="s">
        <v>564</v>
      </c>
      <c r="N160" s="20" t="b">
        <v>1</v>
      </c>
      <c r="O160" s="2" t="b">
        <f>IF(Table1938[[#This Row],[Title]]="",TRUE,FALSE)</f>
        <v>0</v>
      </c>
      <c r="P160" s="2" t="b">
        <f>IF(Table1938[[#This Row],[Author]]="",TRUE,FALSE)</f>
        <v>0</v>
      </c>
      <c r="Q160" s="2" t="b">
        <f>IF(Table1938[[#This Row],[DOI]]&lt;&gt;"", FALSE,TRUE)</f>
        <v>0</v>
      </c>
      <c r="R160" s="2" t="b">
        <f>IF(Table1938[[#This Row],[Abstract]]="",TRUE,FALSE)</f>
        <v>1</v>
      </c>
      <c r="S160" s="2" t="b">
        <f>IF(OR(Table1938[[#This Row],[Document Type]]="book",Table1938[[#This Row],[Document Type]]="bookSection"),TRUE,FALSE)</f>
        <v>0</v>
      </c>
      <c r="T160" s="2" t="b">
        <f>NOT(IF(OR(Table1938[[#This Row],[Language]]&lt;&gt;"en",Table1938[[#This Row],[Language]]&lt;&gt;"EN",Table1938[[#This Row],[Language]]&lt;&gt;"spa",Table1938[[#This Row],[Language]]&lt;&gt;"SPA"),TRUE,FALSE))</f>
        <v>0</v>
      </c>
      <c r="U160" s="2" t="b">
        <f>IF(AND(Table1938[[#This Row],[EC-01]]=FALSE,Table1938[[#This Row],[EC-02]]=FALSE,Table1938[[#This Row],[EC-03]]=FALSE,Table1938[[#This Row],[EC-04]]=FALSE,Table1938[[#This Row],[EC-05]]=FALSE,Table1938[[#This Row],[EC-06]]=FALSE),TRUE,FALSE)</f>
        <v>0</v>
      </c>
      <c r="V160" s="2" t="b">
        <f>IF(Table1938[[#This Row],[Date]]&lt;&gt;"",AND(YEAR(Table1938[[#This Row],[Date]])&gt;=2010, YEAR(Table1938[[#This Row],[Date]])&lt;=2024),FALSE)</f>
        <v>1</v>
      </c>
      <c r="W160" s="2" t="b">
        <f>IF(Table1938[[#This Row],[Date]]&lt;&gt;"",AND(YEAR(Table1938[[#This Row],[Date]])&gt;=2010, YEAR(Table1938[[#This Row],[Date]])&lt;=2020),FALSE)</f>
        <v>1</v>
      </c>
      <c r="X160" s="2" t="b">
        <f>IF(AND(Table1938[[#This Row],[Accesible]]=TRUE,Table1938[[#This Row],[DOI]]&lt;&gt;""),TRUE,FALSE)</f>
        <v>1</v>
      </c>
      <c r="Y160" s="2" t="b">
        <f>OR(Table1938[[#This Row],[Document Type]]="journalArticle",Table1938[[#This Row],[Document Type]]="conferencePaper",Table1938[[#This Row],[Document Type]]="review")</f>
        <v>1</v>
      </c>
      <c r="Z160" s="2" t="b" cm="1">
        <f t="array" ref="Z160">SUMPRODUCT(--ISNUMBER(SEARCH({"dimensional analysis","dimensionless coefficients","Π","Pi","theorem","software","design","tools","development","architecture","similar"}, LOWER(Table1938[[#This Row],[Title]]))))&gt;0</f>
        <v>0</v>
      </c>
      <c r="AA160" s="2" t="b" cm="1">
        <f t="array" ref="AA160">SUMPRODUCT(--ISNUMBER(SEARCH({"dimensional analysis","dimensionless coefficients","Π","Pi","theorem","software","design","tools","development","architecture","similar"}, LOWER(Table1938[[#This Row],[Abstract]]))))&gt;0</f>
        <v>0</v>
      </c>
      <c r="AB160" s="2" t="b">
        <f>AND(OR(Table1938[[#This Row],[IC-01 @2024]:[IC-01 @2020]])=TRUE,Table1938[[#This Row],[IC-02]]=TRUE,Table1938[[#This Row],[IC-03]]=TRUE,Table1938[[#This Row],[IC-04]]=TRUE,Table1938[[#This Row],[IC-05]]=TRUE)</f>
        <v>0</v>
      </c>
      <c r="AC160" s="2" t="b">
        <f>AND(Table1938[[#This Row],[Pass-IC]]=TRUE,Table1938[[#This Row],[Pass-EC]]=TRUE)</f>
        <v>0</v>
      </c>
      <c r="AD160" s="2" t="b">
        <f>COUNTIF($D$25:D160, Table1938[[#This Row],[Title]]) = 1</f>
        <v>1</v>
      </c>
      <c r="AE160" s="2" t="b">
        <f>AND(Table1938[[#This Row],[IC + EC]:[Unique]])</f>
        <v>0</v>
      </c>
      <c r="AF160" s="2" t="b">
        <v>0</v>
      </c>
      <c r="AG160" s="2" t="b">
        <v>0</v>
      </c>
      <c r="AH160" s="2" t="b">
        <v>0</v>
      </c>
      <c r="AI160" s="2" t="b">
        <f>IF(AND(Table1938[[#This Row],[Double Check]]=TRUE,Table1938[[#This Row],[Inspected]]=TRUE,Table1938[[#This Row],[Relevant]]=TRUE),TRUE,FALSE)</f>
        <v>0</v>
      </c>
    </row>
    <row r="161" spans="1:35" ht="57.35" x14ac:dyDescent="0.5">
      <c r="A161" s="2">
        <v>160</v>
      </c>
      <c r="B161" s="20" t="s">
        <v>80</v>
      </c>
      <c r="C161" s="20" t="s">
        <v>2994</v>
      </c>
      <c r="D161" s="20" t="s">
        <v>517</v>
      </c>
      <c r="E161" s="20" t="s">
        <v>483</v>
      </c>
      <c r="F161" s="2" t="s">
        <v>596</v>
      </c>
      <c r="G161" s="20" t="s">
        <v>536</v>
      </c>
      <c r="H161" s="36">
        <v>44368</v>
      </c>
      <c r="I161" s="20">
        <v>2021</v>
      </c>
      <c r="J161" s="20" t="s">
        <v>61</v>
      </c>
      <c r="K161" s="20" t="s">
        <v>123</v>
      </c>
      <c r="L161" s="20" t="s">
        <v>2515</v>
      </c>
      <c r="M161" s="20" t="s">
        <v>563</v>
      </c>
      <c r="N161" s="20" t="b">
        <v>1</v>
      </c>
      <c r="O161" s="2" t="b">
        <f>IF(Table1938[[#This Row],[Title]]="",TRUE,FALSE)</f>
        <v>0</v>
      </c>
      <c r="P161" s="2" t="b">
        <f>IF(Table1938[[#This Row],[Author]]="",TRUE,FALSE)</f>
        <v>0</v>
      </c>
      <c r="Q161" s="2" t="b">
        <f>IF(Table1938[[#This Row],[DOI]]&lt;&gt;"", FALSE,TRUE)</f>
        <v>0</v>
      </c>
      <c r="R161" s="2" t="b">
        <f>IF(Table1938[[#This Row],[Abstract]]="",TRUE,FALSE)</f>
        <v>0</v>
      </c>
      <c r="S161" s="2" t="b">
        <f>IF(OR(Table1938[[#This Row],[Document Type]]="book",Table1938[[#This Row],[Document Type]]="bookSection"),TRUE,FALSE)</f>
        <v>0</v>
      </c>
      <c r="T161" s="2" t="b">
        <f>NOT(IF(OR(Table1938[[#This Row],[Language]]&lt;&gt;"en",Table1938[[#This Row],[Language]]&lt;&gt;"EN",Table1938[[#This Row],[Language]]&lt;&gt;"spa",Table1938[[#This Row],[Language]]&lt;&gt;"SPA"),TRUE,FALSE))</f>
        <v>0</v>
      </c>
      <c r="U161" s="2" t="b">
        <f>IF(AND(Table1938[[#This Row],[EC-01]]=FALSE,Table1938[[#This Row],[EC-02]]=FALSE,Table1938[[#This Row],[EC-03]]=FALSE,Table1938[[#This Row],[EC-04]]=FALSE,Table1938[[#This Row],[EC-05]]=FALSE,Table1938[[#This Row],[EC-06]]=FALSE),TRUE,FALSE)</f>
        <v>1</v>
      </c>
      <c r="V161" s="2" t="b">
        <f>IF(Table1938[[#This Row],[Date]]&lt;&gt;"",AND(YEAR(Table1938[[#This Row],[Date]])&gt;=2010, YEAR(Table1938[[#This Row],[Date]])&lt;=2024),FALSE)</f>
        <v>1</v>
      </c>
      <c r="W161" s="2" t="b">
        <f>IF(Table1938[[#This Row],[Date]]&lt;&gt;"",AND(YEAR(Table1938[[#This Row],[Date]])&gt;=2010, YEAR(Table1938[[#This Row],[Date]])&lt;=2020),FALSE)</f>
        <v>0</v>
      </c>
      <c r="X161" s="2" t="b">
        <f>IF(AND(Table1938[[#This Row],[Accesible]]=TRUE,Table1938[[#This Row],[DOI]]&lt;&gt;""),TRUE,FALSE)</f>
        <v>1</v>
      </c>
      <c r="Y161" s="2" t="b">
        <f>OR(Table1938[[#This Row],[Document Type]]="journalArticle",Table1938[[#This Row],[Document Type]]="conferencePaper",Table1938[[#This Row],[Document Type]]="review")</f>
        <v>1</v>
      </c>
      <c r="Z161" s="2" t="b" cm="1">
        <f t="array" ref="Z161">SUMPRODUCT(--ISNUMBER(SEARCH({"dimensional analysis","dimensionless coefficients","Π","Pi","theorem","software","design","tools","development","architecture","similar"}, LOWER(Table1938[[#This Row],[Title]]))))&gt;0</f>
        <v>1</v>
      </c>
      <c r="AA161" s="2" t="b" cm="1">
        <f t="array" ref="AA161">SUMPRODUCT(--ISNUMBER(SEARCH({"dimensional analysis","dimensionless coefficients","Π","Pi","theorem","software","design","tools","development","architecture","similar"}, LOWER(Table1938[[#This Row],[Abstract]]))))&gt;0</f>
        <v>1</v>
      </c>
      <c r="AB161" s="2" t="b">
        <f>AND(OR(Table1938[[#This Row],[IC-01 @2024]:[IC-01 @2020]])=TRUE,Table1938[[#This Row],[IC-02]]=TRUE,Table1938[[#This Row],[IC-03]]=TRUE,Table1938[[#This Row],[IC-04]]=TRUE,Table1938[[#This Row],[IC-05]]=TRUE)</f>
        <v>1</v>
      </c>
      <c r="AC161" s="2" t="b">
        <f>AND(Table1938[[#This Row],[Pass-IC]]=TRUE,Table1938[[#This Row],[Pass-EC]]=TRUE)</f>
        <v>1</v>
      </c>
      <c r="AD161" s="2" t="b">
        <f>COUNTIF($D$25:D161, Table1938[[#This Row],[Title]]) = 1</f>
        <v>1</v>
      </c>
      <c r="AE161" s="2" t="b">
        <f>AND(Table1938[[#This Row],[IC + EC]:[Unique]])</f>
        <v>1</v>
      </c>
      <c r="AF161" s="2" t="b">
        <v>1</v>
      </c>
      <c r="AG161" s="2" t="b">
        <v>0</v>
      </c>
      <c r="AH161" s="2" t="b">
        <v>0</v>
      </c>
      <c r="AI161" s="2" t="b">
        <f>IF(AND(Table1938[[#This Row],[Double Check]]=TRUE,Table1938[[#This Row],[Inspected]]=TRUE,Table1938[[#This Row],[Relevant]]=TRUE),TRUE,FALSE)</f>
        <v>0</v>
      </c>
    </row>
    <row r="162" spans="1:35" ht="43" x14ac:dyDescent="0.5">
      <c r="A162" s="2">
        <v>161</v>
      </c>
      <c r="B162" s="20" t="s">
        <v>80</v>
      </c>
      <c r="C162" s="20" t="s">
        <v>2995</v>
      </c>
      <c r="D162" s="20" t="s">
        <v>852</v>
      </c>
      <c r="E162" s="20" t="s">
        <v>851</v>
      </c>
      <c r="F162" s="2" t="s">
        <v>854</v>
      </c>
      <c r="G162" s="20" t="s">
        <v>70</v>
      </c>
      <c r="H162" s="36">
        <v>45111</v>
      </c>
      <c r="I162" s="20">
        <v>2023</v>
      </c>
      <c r="J162" s="20" t="s">
        <v>61</v>
      </c>
      <c r="K162" s="20" t="s">
        <v>2996</v>
      </c>
      <c r="L162" s="20" t="s">
        <v>2515</v>
      </c>
      <c r="M162" s="20" t="s">
        <v>853</v>
      </c>
      <c r="N162" s="20" t="b">
        <v>1</v>
      </c>
      <c r="O162" s="2" t="b">
        <f>IF(Table1938[[#This Row],[Title]]="",TRUE,FALSE)</f>
        <v>0</v>
      </c>
      <c r="P162" s="2" t="b">
        <f>IF(Table1938[[#This Row],[Author]]="",TRUE,FALSE)</f>
        <v>0</v>
      </c>
      <c r="Q162" s="2" t="b">
        <f>IF(Table1938[[#This Row],[DOI]]&lt;&gt;"", FALSE,TRUE)</f>
        <v>0</v>
      </c>
      <c r="R162" s="2" t="b">
        <f>IF(Table1938[[#This Row],[Abstract]]="",TRUE,FALSE)</f>
        <v>0</v>
      </c>
      <c r="S162" s="2" t="b">
        <f>IF(OR(Table1938[[#This Row],[Document Type]]="book",Table1938[[#This Row],[Document Type]]="bookSection"),TRUE,FALSE)</f>
        <v>0</v>
      </c>
      <c r="T162" s="2" t="b">
        <f>NOT(IF(OR(Table1938[[#This Row],[Language]]&lt;&gt;"en",Table1938[[#This Row],[Language]]&lt;&gt;"EN",Table1938[[#This Row],[Language]]&lt;&gt;"spa",Table1938[[#This Row],[Language]]&lt;&gt;"SPA"),TRUE,FALSE))</f>
        <v>0</v>
      </c>
      <c r="U162" s="2" t="b">
        <f>IF(AND(Table1938[[#This Row],[EC-01]]=FALSE,Table1938[[#This Row],[EC-02]]=FALSE,Table1938[[#This Row],[EC-03]]=FALSE,Table1938[[#This Row],[EC-04]]=FALSE,Table1938[[#This Row],[EC-05]]=FALSE,Table1938[[#This Row],[EC-06]]=FALSE),TRUE,FALSE)</f>
        <v>1</v>
      </c>
      <c r="V162" s="2" t="b">
        <f>IF(Table1938[[#This Row],[Date]]&lt;&gt;"",AND(YEAR(Table1938[[#This Row],[Date]])&gt;=2010, YEAR(Table1938[[#This Row],[Date]])&lt;=2024),FALSE)</f>
        <v>1</v>
      </c>
      <c r="W162" s="2" t="b">
        <f>IF(Table1938[[#This Row],[Date]]&lt;&gt;"",AND(YEAR(Table1938[[#This Row],[Date]])&gt;=2010, YEAR(Table1938[[#This Row],[Date]])&lt;=2020),FALSE)</f>
        <v>0</v>
      </c>
      <c r="X162" s="2" t="b">
        <f>IF(AND(Table1938[[#This Row],[Accesible]]=TRUE,Table1938[[#This Row],[DOI]]&lt;&gt;""),TRUE,FALSE)</f>
        <v>1</v>
      </c>
      <c r="Y162" s="2" t="b">
        <f>OR(Table1938[[#This Row],[Document Type]]="journalArticle",Table1938[[#This Row],[Document Type]]="conferencePaper",Table1938[[#This Row],[Document Type]]="review")</f>
        <v>1</v>
      </c>
      <c r="Z162" s="2" t="b" cm="1">
        <f t="array" ref="Z162">SUMPRODUCT(--ISNUMBER(SEARCH({"dimensional analysis","dimensionless coefficients","Π","Pi","theorem","software","design","tools","development","architecture","similar"}, LOWER(Table1938[[#This Row],[Title]]))))&gt;0</f>
        <v>0</v>
      </c>
      <c r="AA162" s="2" t="b" cm="1">
        <f t="array" ref="AA162">SUMPRODUCT(--ISNUMBER(SEARCH({"dimensional analysis","dimensionless coefficients","Π","Pi","theorem","software","design","tools","development","architecture","similar"}, LOWER(Table1938[[#This Row],[Abstract]]))))&gt;0</f>
        <v>1</v>
      </c>
      <c r="AB162" s="2" t="b">
        <f>AND(OR(Table1938[[#This Row],[IC-01 @2024]:[IC-01 @2020]])=TRUE,Table1938[[#This Row],[IC-02]]=TRUE,Table1938[[#This Row],[IC-03]]=TRUE,Table1938[[#This Row],[IC-04]]=TRUE,Table1938[[#This Row],[IC-05]]=TRUE)</f>
        <v>0</v>
      </c>
      <c r="AC162" s="2" t="b">
        <f>AND(Table1938[[#This Row],[Pass-IC]]=TRUE,Table1938[[#This Row],[Pass-EC]]=TRUE)</f>
        <v>0</v>
      </c>
      <c r="AD162" s="2" t="b">
        <f>COUNTIF($D$25:D162, Table1938[[#This Row],[Title]]) = 1</f>
        <v>1</v>
      </c>
      <c r="AE162" s="2" t="b">
        <f>AND(Table1938[[#This Row],[IC + EC]:[Unique]])</f>
        <v>0</v>
      </c>
      <c r="AF162" s="2" t="b">
        <v>0</v>
      </c>
      <c r="AG162" s="2" t="b">
        <v>0</v>
      </c>
      <c r="AH162" s="2" t="b">
        <v>0</v>
      </c>
      <c r="AI162" s="2" t="b">
        <f>IF(AND(Table1938[[#This Row],[Double Check]]=TRUE,Table1938[[#This Row],[Inspected]]=TRUE,Table1938[[#This Row],[Relevant]]=TRUE),TRUE,FALSE)</f>
        <v>0</v>
      </c>
    </row>
    <row r="163" spans="1:35" ht="43" x14ac:dyDescent="0.5">
      <c r="A163" s="2">
        <v>162</v>
      </c>
      <c r="B163" s="20" t="s">
        <v>80</v>
      </c>
      <c r="C163" s="20" t="s">
        <v>2997</v>
      </c>
      <c r="D163" s="20" t="s">
        <v>525</v>
      </c>
      <c r="E163" s="20" t="s">
        <v>491</v>
      </c>
      <c r="F163" s="2" t="s">
        <v>602</v>
      </c>
      <c r="G163" s="20" t="s">
        <v>544</v>
      </c>
      <c r="H163" s="36">
        <v>43284</v>
      </c>
      <c r="I163" s="20">
        <v>2018</v>
      </c>
      <c r="J163" s="20" t="s">
        <v>61</v>
      </c>
      <c r="K163" s="20" t="s">
        <v>123</v>
      </c>
      <c r="L163" s="20" t="s">
        <v>2515</v>
      </c>
      <c r="M163" s="20" t="s">
        <v>571</v>
      </c>
      <c r="N163" s="20" t="b">
        <v>1</v>
      </c>
      <c r="O163" s="2" t="b">
        <f>IF(Table1938[[#This Row],[Title]]="",TRUE,FALSE)</f>
        <v>0</v>
      </c>
      <c r="P163" s="2" t="b">
        <f>IF(Table1938[[#This Row],[Author]]="",TRUE,FALSE)</f>
        <v>0</v>
      </c>
      <c r="Q163" s="2" t="b">
        <f>IF(Table1938[[#This Row],[DOI]]&lt;&gt;"", FALSE,TRUE)</f>
        <v>0</v>
      </c>
      <c r="R163" s="2" t="b">
        <f>IF(Table1938[[#This Row],[Abstract]]="",TRUE,FALSE)</f>
        <v>0</v>
      </c>
      <c r="S163" s="2" t="b">
        <f>IF(OR(Table1938[[#This Row],[Document Type]]="book",Table1938[[#This Row],[Document Type]]="bookSection"),TRUE,FALSE)</f>
        <v>0</v>
      </c>
      <c r="T163" s="2" t="b">
        <f>NOT(IF(OR(Table1938[[#This Row],[Language]]&lt;&gt;"en",Table1938[[#This Row],[Language]]&lt;&gt;"EN",Table1938[[#This Row],[Language]]&lt;&gt;"spa",Table1938[[#This Row],[Language]]&lt;&gt;"SPA"),TRUE,FALSE))</f>
        <v>0</v>
      </c>
      <c r="U163" s="2" t="b">
        <f>IF(AND(Table1938[[#This Row],[EC-01]]=FALSE,Table1938[[#This Row],[EC-02]]=FALSE,Table1938[[#This Row],[EC-03]]=FALSE,Table1938[[#This Row],[EC-04]]=FALSE,Table1938[[#This Row],[EC-05]]=FALSE,Table1938[[#This Row],[EC-06]]=FALSE),TRUE,FALSE)</f>
        <v>1</v>
      </c>
      <c r="V163" s="2" t="b">
        <f>IF(Table1938[[#This Row],[Date]]&lt;&gt;"",AND(YEAR(Table1938[[#This Row],[Date]])&gt;=2010, YEAR(Table1938[[#This Row],[Date]])&lt;=2024),FALSE)</f>
        <v>1</v>
      </c>
      <c r="W163" s="2" t="b">
        <f>IF(Table1938[[#This Row],[Date]]&lt;&gt;"",AND(YEAR(Table1938[[#This Row],[Date]])&gt;=2010, YEAR(Table1938[[#This Row],[Date]])&lt;=2020),FALSE)</f>
        <v>1</v>
      </c>
      <c r="X163" s="2" t="b">
        <f>IF(AND(Table1938[[#This Row],[Accesible]]=TRUE,Table1938[[#This Row],[DOI]]&lt;&gt;""),TRUE,FALSE)</f>
        <v>1</v>
      </c>
      <c r="Y163" s="2" t="b">
        <f>OR(Table1938[[#This Row],[Document Type]]="journalArticle",Table1938[[#This Row],[Document Type]]="conferencePaper",Table1938[[#This Row],[Document Type]]="review")</f>
        <v>1</v>
      </c>
      <c r="Z163" s="2" t="b" cm="1">
        <f t="array" ref="Z163">SUMPRODUCT(--ISNUMBER(SEARCH({"dimensional analysis","dimensionless coefficients","Π","Pi","theorem","software","design","tools","development","architecture","similar"}, LOWER(Table1938[[#This Row],[Title]]))))&gt;0</f>
        <v>0</v>
      </c>
      <c r="AA163" s="2" t="b" cm="1">
        <f t="array" ref="AA163">SUMPRODUCT(--ISNUMBER(SEARCH({"dimensional analysis","dimensionless coefficients","Π","Pi","theorem","software","design","tools","development","architecture","similar"}, LOWER(Table1938[[#This Row],[Abstract]]))))&gt;0</f>
        <v>0</v>
      </c>
      <c r="AB163" s="2" t="b">
        <f>AND(OR(Table1938[[#This Row],[IC-01 @2024]:[IC-01 @2020]])=TRUE,Table1938[[#This Row],[IC-02]]=TRUE,Table1938[[#This Row],[IC-03]]=TRUE,Table1938[[#This Row],[IC-04]]=TRUE,Table1938[[#This Row],[IC-05]]=TRUE)</f>
        <v>0</v>
      </c>
      <c r="AC163" s="2" t="b">
        <f>AND(Table1938[[#This Row],[Pass-IC]]=TRUE,Table1938[[#This Row],[Pass-EC]]=TRUE)</f>
        <v>0</v>
      </c>
      <c r="AD163" s="2" t="b">
        <f>COUNTIF($D$25:D163, Table1938[[#This Row],[Title]]) = 1</f>
        <v>1</v>
      </c>
      <c r="AE163" s="2" t="b">
        <f>AND(Table1938[[#This Row],[IC + EC]:[Unique]])</f>
        <v>0</v>
      </c>
      <c r="AF163" s="2" t="b">
        <v>0</v>
      </c>
      <c r="AG163" s="2" t="b">
        <v>0</v>
      </c>
      <c r="AH163" s="2" t="b">
        <v>0</v>
      </c>
      <c r="AI163" s="2" t="b">
        <f>IF(AND(Table1938[[#This Row],[Double Check]]=TRUE,Table1938[[#This Row],[Inspected]]=TRUE,Table1938[[#This Row],[Relevant]]=TRUE),TRUE,FALSE)</f>
        <v>0</v>
      </c>
    </row>
    <row r="164" spans="1:35" ht="57.35" x14ac:dyDescent="0.5">
      <c r="A164" s="2">
        <v>163</v>
      </c>
      <c r="B164" s="20" t="s">
        <v>80</v>
      </c>
      <c r="C164" s="20" t="s">
        <v>2998</v>
      </c>
      <c r="D164" s="20" t="s">
        <v>527</v>
      </c>
      <c r="E164" s="20" t="s">
        <v>493</v>
      </c>
      <c r="F164" s="2" t="s">
        <v>604</v>
      </c>
      <c r="G164" s="20" t="s">
        <v>70</v>
      </c>
      <c r="H164" s="36">
        <v>42633</v>
      </c>
      <c r="I164" s="20">
        <v>2016</v>
      </c>
      <c r="J164" s="20" t="s">
        <v>61</v>
      </c>
      <c r="K164" s="20" t="s">
        <v>123</v>
      </c>
      <c r="L164" s="20" t="s">
        <v>2515</v>
      </c>
      <c r="M164" s="20" t="s">
        <v>573</v>
      </c>
      <c r="N164" s="20" t="b">
        <v>1</v>
      </c>
      <c r="O164" s="2" t="b">
        <f>IF(Table1938[[#This Row],[Title]]="",TRUE,FALSE)</f>
        <v>0</v>
      </c>
      <c r="P164" s="2" t="b">
        <f>IF(Table1938[[#This Row],[Author]]="",TRUE,FALSE)</f>
        <v>0</v>
      </c>
      <c r="Q164" s="2" t="b">
        <f>IF(Table1938[[#This Row],[DOI]]&lt;&gt;"", FALSE,TRUE)</f>
        <v>0</v>
      </c>
      <c r="R164" s="2" t="b">
        <f>IF(Table1938[[#This Row],[Abstract]]="",TRUE,FALSE)</f>
        <v>0</v>
      </c>
      <c r="S164" s="2" t="b">
        <f>IF(OR(Table1938[[#This Row],[Document Type]]="book",Table1938[[#This Row],[Document Type]]="bookSection"),TRUE,FALSE)</f>
        <v>0</v>
      </c>
      <c r="T164" s="2" t="b">
        <f>NOT(IF(OR(Table1938[[#This Row],[Language]]&lt;&gt;"en",Table1938[[#This Row],[Language]]&lt;&gt;"EN",Table1938[[#This Row],[Language]]&lt;&gt;"spa",Table1938[[#This Row],[Language]]&lt;&gt;"SPA"),TRUE,FALSE))</f>
        <v>0</v>
      </c>
      <c r="U164" s="2" t="b">
        <f>IF(AND(Table1938[[#This Row],[EC-01]]=FALSE,Table1938[[#This Row],[EC-02]]=FALSE,Table1938[[#This Row],[EC-03]]=FALSE,Table1938[[#This Row],[EC-04]]=FALSE,Table1938[[#This Row],[EC-05]]=FALSE,Table1938[[#This Row],[EC-06]]=FALSE),TRUE,FALSE)</f>
        <v>1</v>
      </c>
      <c r="V164" s="2" t="b">
        <f>IF(Table1938[[#This Row],[Date]]&lt;&gt;"",AND(YEAR(Table1938[[#This Row],[Date]])&gt;=2010, YEAR(Table1938[[#This Row],[Date]])&lt;=2024),FALSE)</f>
        <v>1</v>
      </c>
      <c r="W164" s="2" t="b">
        <f>IF(Table1938[[#This Row],[Date]]&lt;&gt;"",AND(YEAR(Table1938[[#This Row],[Date]])&gt;=2010, YEAR(Table1938[[#This Row],[Date]])&lt;=2020),FALSE)</f>
        <v>1</v>
      </c>
      <c r="X164" s="2" t="b">
        <f>IF(AND(Table1938[[#This Row],[Accesible]]=TRUE,Table1938[[#This Row],[DOI]]&lt;&gt;""),TRUE,FALSE)</f>
        <v>1</v>
      </c>
      <c r="Y164" s="2" t="b">
        <f>OR(Table1938[[#This Row],[Document Type]]="journalArticle",Table1938[[#This Row],[Document Type]]="conferencePaper",Table1938[[#This Row],[Document Type]]="review")</f>
        <v>1</v>
      </c>
      <c r="Z164" s="2" t="b" cm="1">
        <f t="array" ref="Z164">SUMPRODUCT(--ISNUMBER(SEARCH({"dimensional analysis","dimensionless coefficients","Π","Pi","theorem","software","design","tools","development","architecture","similar"}, LOWER(Table1938[[#This Row],[Title]]))))&gt;0</f>
        <v>0</v>
      </c>
      <c r="AA164" s="2" t="b" cm="1">
        <f t="array" ref="AA164">SUMPRODUCT(--ISNUMBER(SEARCH({"dimensional analysis","dimensionless coefficients","Π","Pi","theorem","software","design","tools","development","architecture","similar"}, LOWER(Table1938[[#This Row],[Abstract]]))))&gt;0</f>
        <v>1</v>
      </c>
      <c r="AB164" s="2" t="b">
        <f>AND(OR(Table1938[[#This Row],[IC-01 @2024]:[IC-01 @2020]])=TRUE,Table1938[[#This Row],[IC-02]]=TRUE,Table1938[[#This Row],[IC-03]]=TRUE,Table1938[[#This Row],[IC-04]]=TRUE,Table1938[[#This Row],[IC-05]]=TRUE)</f>
        <v>0</v>
      </c>
      <c r="AC164" s="2" t="b">
        <f>AND(Table1938[[#This Row],[Pass-IC]]=TRUE,Table1938[[#This Row],[Pass-EC]]=TRUE)</f>
        <v>0</v>
      </c>
      <c r="AD164" s="2" t="b">
        <f>COUNTIF($D$25:D164, Table1938[[#This Row],[Title]]) = 1</f>
        <v>1</v>
      </c>
      <c r="AE164" s="2" t="b">
        <f>AND(Table1938[[#This Row],[IC + EC]:[Unique]])</f>
        <v>0</v>
      </c>
      <c r="AF164" s="2" t="b">
        <v>0</v>
      </c>
      <c r="AG164" s="2" t="b">
        <v>0</v>
      </c>
      <c r="AH164" s="2" t="b">
        <v>0</v>
      </c>
      <c r="AI164" s="2" t="b">
        <f>IF(AND(Table1938[[#This Row],[Double Check]]=TRUE,Table1938[[#This Row],[Inspected]]=TRUE,Table1938[[#This Row],[Relevant]]=TRUE),TRUE,FALSE)</f>
        <v>0</v>
      </c>
    </row>
    <row r="165" spans="1:35" ht="57.35" x14ac:dyDescent="0.5">
      <c r="A165" s="2">
        <v>164</v>
      </c>
      <c r="B165" s="20" t="s">
        <v>80</v>
      </c>
      <c r="C165" s="20" t="s">
        <v>2999</v>
      </c>
      <c r="D165" s="20" t="s">
        <v>513</v>
      </c>
      <c r="E165" s="20" t="s">
        <v>479</v>
      </c>
      <c r="F165" s="2" t="s">
        <v>592</v>
      </c>
      <c r="G165" s="20" t="s">
        <v>540</v>
      </c>
      <c r="H165" s="36">
        <v>44536</v>
      </c>
      <c r="I165" s="20">
        <v>2021</v>
      </c>
      <c r="J165" s="20" t="s">
        <v>61</v>
      </c>
      <c r="K165" s="20" t="s">
        <v>123</v>
      </c>
      <c r="L165" s="20" t="s">
        <v>2515</v>
      </c>
      <c r="M165" s="20" t="s">
        <v>559</v>
      </c>
      <c r="N165" s="20" t="b">
        <v>1</v>
      </c>
      <c r="O165" s="2" t="b">
        <f>IF(Table1938[[#This Row],[Title]]="",TRUE,FALSE)</f>
        <v>0</v>
      </c>
      <c r="P165" s="2" t="b">
        <f>IF(Table1938[[#This Row],[Author]]="",TRUE,FALSE)</f>
        <v>0</v>
      </c>
      <c r="Q165" s="2" t="b">
        <f>IF(Table1938[[#This Row],[DOI]]&lt;&gt;"", FALSE,TRUE)</f>
        <v>0</v>
      </c>
      <c r="R165" s="2" t="b">
        <f>IF(Table1938[[#This Row],[Abstract]]="",TRUE,FALSE)</f>
        <v>0</v>
      </c>
      <c r="S165" s="2" t="b">
        <f>IF(OR(Table1938[[#This Row],[Document Type]]="book",Table1938[[#This Row],[Document Type]]="bookSection"),TRUE,FALSE)</f>
        <v>0</v>
      </c>
      <c r="T165" s="2" t="b">
        <f>NOT(IF(OR(Table1938[[#This Row],[Language]]&lt;&gt;"en",Table1938[[#This Row],[Language]]&lt;&gt;"EN",Table1938[[#This Row],[Language]]&lt;&gt;"spa",Table1938[[#This Row],[Language]]&lt;&gt;"SPA"),TRUE,FALSE))</f>
        <v>0</v>
      </c>
      <c r="U165" s="2" t="b">
        <f>IF(AND(Table1938[[#This Row],[EC-01]]=FALSE,Table1938[[#This Row],[EC-02]]=FALSE,Table1938[[#This Row],[EC-03]]=FALSE,Table1938[[#This Row],[EC-04]]=FALSE,Table1938[[#This Row],[EC-05]]=FALSE,Table1938[[#This Row],[EC-06]]=FALSE),TRUE,FALSE)</f>
        <v>1</v>
      </c>
      <c r="V165" s="2" t="b">
        <f>IF(Table1938[[#This Row],[Date]]&lt;&gt;"",AND(YEAR(Table1938[[#This Row],[Date]])&gt;=2010, YEAR(Table1938[[#This Row],[Date]])&lt;=2024),FALSE)</f>
        <v>1</v>
      </c>
      <c r="W165" s="2" t="b">
        <f>IF(Table1938[[#This Row],[Date]]&lt;&gt;"",AND(YEAR(Table1938[[#This Row],[Date]])&gt;=2010, YEAR(Table1938[[#This Row],[Date]])&lt;=2020),FALSE)</f>
        <v>0</v>
      </c>
      <c r="X165" s="2" t="b">
        <f>IF(AND(Table1938[[#This Row],[Accesible]]=TRUE,Table1938[[#This Row],[DOI]]&lt;&gt;""),TRUE,FALSE)</f>
        <v>1</v>
      </c>
      <c r="Y165" s="2" t="b">
        <f>OR(Table1938[[#This Row],[Document Type]]="journalArticle",Table1938[[#This Row],[Document Type]]="conferencePaper",Table1938[[#This Row],[Document Type]]="review")</f>
        <v>1</v>
      </c>
      <c r="Z165" s="2" t="b" cm="1">
        <f t="array" ref="Z165">SUMPRODUCT(--ISNUMBER(SEARCH({"dimensional analysis","dimensionless coefficients","Π","Pi","theorem","software","design","tools","development","architecture","similar"}, LOWER(Table1938[[#This Row],[Title]]))))&gt;0</f>
        <v>0</v>
      </c>
      <c r="AA165" s="2" t="b" cm="1">
        <f t="array" ref="AA165">SUMPRODUCT(--ISNUMBER(SEARCH({"dimensional analysis","dimensionless coefficients","Π","Pi","theorem","software","design","tools","development","architecture","similar"}, LOWER(Table1938[[#This Row],[Abstract]]))))&gt;0</f>
        <v>1</v>
      </c>
      <c r="AB165" s="2" t="b">
        <f>AND(OR(Table1938[[#This Row],[IC-01 @2024]:[IC-01 @2020]])=TRUE,Table1938[[#This Row],[IC-02]]=TRUE,Table1938[[#This Row],[IC-03]]=TRUE,Table1938[[#This Row],[IC-04]]=TRUE,Table1938[[#This Row],[IC-05]]=TRUE)</f>
        <v>0</v>
      </c>
      <c r="AC165" s="2" t="b">
        <f>AND(Table1938[[#This Row],[Pass-IC]]=TRUE,Table1938[[#This Row],[Pass-EC]]=TRUE)</f>
        <v>0</v>
      </c>
      <c r="AD165" s="2" t="b">
        <f>COUNTIF($D$25:D165, Table1938[[#This Row],[Title]]) = 1</f>
        <v>1</v>
      </c>
      <c r="AE165" s="2" t="b">
        <f>AND(Table1938[[#This Row],[IC + EC]:[Unique]])</f>
        <v>0</v>
      </c>
      <c r="AF165" s="2" t="b">
        <v>0</v>
      </c>
      <c r="AG165" s="2" t="b">
        <v>0</v>
      </c>
      <c r="AH165" s="2" t="b">
        <v>0</v>
      </c>
      <c r="AI165" s="2" t="b">
        <f>IF(AND(Table1938[[#This Row],[Double Check]]=TRUE,Table1938[[#This Row],[Inspected]]=TRUE,Table1938[[#This Row],[Relevant]]=TRUE),TRUE,FALSE)</f>
        <v>0</v>
      </c>
    </row>
    <row r="166" spans="1:35" ht="71.7" x14ac:dyDescent="0.5">
      <c r="A166" s="2">
        <v>165</v>
      </c>
      <c r="B166" s="20" t="s">
        <v>80</v>
      </c>
      <c r="C166" s="20" t="s">
        <v>3000</v>
      </c>
      <c r="D166" s="20" t="s">
        <v>507</v>
      </c>
      <c r="E166" s="20" t="s">
        <v>473</v>
      </c>
      <c r="F166" s="2" t="s">
        <v>586</v>
      </c>
      <c r="G166" s="20" t="s">
        <v>69</v>
      </c>
      <c r="H166" s="36">
        <v>44876</v>
      </c>
      <c r="I166" s="20">
        <v>2022</v>
      </c>
      <c r="J166" s="20" t="s">
        <v>61</v>
      </c>
      <c r="K166" s="20" t="s">
        <v>3001</v>
      </c>
      <c r="L166" s="20" t="s">
        <v>2515</v>
      </c>
      <c r="M166" s="20" t="s">
        <v>553</v>
      </c>
      <c r="N166" s="20" t="b">
        <v>1</v>
      </c>
      <c r="O166" s="2" t="b">
        <f>IF(Table1938[[#This Row],[Title]]="",TRUE,FALSE)</f>
        <v>0</v>
      </c>
      <c r="P166" s="2" t="b">
        <f>IF(Table1938[[#This Row],[Author]]="",TRUE,FALSE)</f>
        <v>0</v>
      </c>
      <c r="Q166" s="2" t="b">
        <f>IF(Table1938[[#This Row],[DOI]]&lt;&gt;"", FALSE,TRUE)</f>
        <v>0</v>
      </c>
      <c r="R166" s="2" t="b">
        <f>IF(Table1938[[#This Row],[Abstract]]="",TRUE,FALSE)</f>
        <v>0</v>
      </c>
      <c r="S166" s="2" t="b">
        <f>IF(OR(Table1938[[#This Row],[Document Type]]="book",Table1938[[#This Row],[Document Type]]="bookSection"),TRUE,FALSE)</f>
        <v>0</v>
      </c>
      <c r="T166" s="2" t="b">
        <f>NOT(IF(OR(Table1938[[#This Row],[Language]]&lt;&gt;"en",Table1938[[#This Row],[Language]]&lt;&gt;"EN",Table1938[[#This Row],[Language]]&lt;&gt;"spa",Table1938[[#This Row],[Language]]&lt;&gt;"SPA"),TRUE,FALSE))</f>
        <v>0</v>
      </c>
      <c r="U166" s="2" t="b">
        <f>IF(AND(Table1938[[#This Row],[EC-01]]=FALSE,Table1938[[#This Row],[EC-02]]=FALSE,Table1938[[#This Row],[EC-03]]=FALSE,Table1938[[#This Row],[EC-04]]=FALSE,Table1938[[#This Row],[EC-05]]=FALSE,Table1938[[#This Row],[EC-06]]=FALSE),TRUE,FALSE)</f>
        <v>1</v>
      </c>
      <c r="V166" s="2" t="b">
        <f>IF(Table1938[[#This Row],[Date]]&lt;&gt;"",AND(YEAR(Table1938[[#This Row],[Date]])&gt;=2010, YEAR(Table1938[[#This Row],[Date]])&lt;=2024),FALSE)</f>
        <v>1</v>
      </c>
      <c r="W166" s="2" t="b">
        <f>IF(Table1938[[#This Row],[Date]]&lt;&gt;"",AND(YEAR(Table1938[[#This Row],[Date]])&gt;=2010, YEAR(Table1938[[#This Row],[Date]])&lt;=2020),FALSE)</f>
        <v>0</v>
      </c>
      <c r="X166" s="2" t="b">
        <f>IF(AND(Table1938[[#This Row],[Accesible]]=TRUE,Table1938[[#This Row],[DOI]]&lt;&gt;""),TRUE,FALSE)</f>
        <v>1</v>
      </c>
      <c r="Y166" s="2" t="b">
        <f>OR(Table1938[[#This Row],[Document Type]]="journalArticle",Table1938[[#This Row],[Document Type]]="conferencePaper",Table1938[[#This Row],[Document Type]]="review")</f>
        <v>1</v>
      </c>
      <c r="Z166" s="2" t="b" cm="1">
        <f t="array" ref="Z166">SUMPRODUCT(--ISNUMBER(SEARCH({"dimensional analysis","dimensionless coefficients","Π","Pi","theorem","software","design","tools","development","architecture","similar"}, LOWER(Table1938[[#This Row],[Title]]))))&gt;0</f>
        <v>1</v>
      </c>
      <c r="AA166" s="2" t="b" cm="1">
        <f t="array" ref="AA166">SUMPRODUCT(--ISNUMBER(SEARCH({"dimensional analysis","dimensionless coefficients","Π","Pi","theorem","software","design","tools","development","architecture","similar"}, LOWER(Table1938[[#This Row],[Abstract]]))))&gt;0</f>
        <v>1</v>
      </c>
      <c r="AB166" s="2" t="b">
        <f>AND(OR(Table1938[[#This Row],[IC-01 @2024]:[IC-01 @2020]])=TRUE,Table1938[[#This Row],[IC-02]]=TRUE,Table1938[[#This Row],[IC-03]]=TRUE,Table1938[[#This Row],[IC-04]]=TRUE,Table1938[[#This Row],[IC-05]]=TRUE)</f>
        <v>1</v>
      </c>
      <c r="AC166" s="2" t="b">
        <f>AND(Table1938[[#This Row],[Pass-IC]]=TRUE,Table1938[[#This Row],[Pass-EC]]=TRUE)</f>
        <v>1</v>
      </c>
      <c r="AD166" s="2" t="b">
        <f>COUNTIF($D$25:D166, Table1938[[#This Row],[Title]]) = 1</f>
        <v>1</v>
      </c>
      <c r="AE166" s="2" t="b">
        <f>AND(Table1938[[#This Row],[IC + EC]:[Unique]])</f>
        <v>1</v>
      </c>
      <c r="AF166" s="2" t="b">
        <v>1</v>
      </c>
      <c r="AG166" s="2" t="b">
        <v>0</v>
      </c>
      <c r="AH166" s="2" t="b">
        <v>0</v>
      </c>
      <c r="AI166" s="2" t="b">
        <f>IF(AND(Table1938[[#This Row],[Double Check]]=TRUE,Table1938[[#This Row],[Inspected]]=TRUE,Table1938[[#This Row],[Relevant]]=TRUE),TRUE,FALSE)</f>
        <v>0</v>
      </c>
    </row>
    <row r="167" spans="1:35" ht="57.35" x14ac:dyDescent="0.5">
      <c r="A167" s="2">
        <v>166</v>
      </c>
      <c r="B167" s="20" t="s">
        <v>80</v>
      </c>
      <c r="C167" s="20" t="s">
        <v>3002</v>
      </c>
      <c r="D167" s="20" t="s">
        <v>506</v>
      </c>
      <c r="E167" s="20" t="s">
        <v>472</v>
      </c>
      <c r="F167" s="2" t="s">
        <v>585</v>
      </c>
      <c r="G167" s="20" t="s">
        <v>536</v>
      </c>
      <c r="H167" s="36">
        <v>44693</v>
      </c>
      <c r="I167" s="20">
        <v>2022</v>
      </c>
      <c r="J167" s="20" t="s">
        <v>61</v>
      </c>
      <c r="K167" s="20" t="s">
        <v>123</v>
      </c>
      <c r="L167" s="20" t="s">
        <v>2515</v>
      </c>
      <c r="M167" s="20" t="s">
        <v>552</v>
      </c>
      <c r="N167" s="20" t="b">
        <v>1</v>
      </c>
      <c r="O167" s="2" t="b">
        <f>IF(Table1938[[#This Row],[Title]]="",TRUE,FALSE)</f>
        <v>0</v>
      </c>
      <c r="P167" s="2" t="b">
        <f>IF(Table1938[[#This Row],[Author]]="",TRUE,FALSE)</f>
        <v>0</v>
      </c>
      <c r="Q167" s="2" t="b">
        <f>IF(Table1938[[#This Row],[DOI]]&lt;&gt;"", FALSE,TRUE)</f>
        <v>0</v>
      </c>
      <c r="R167" s="2" t="b">
        <f>IF(Table1938[[#This Row],[Abstract]]="",TRUE,FALSE)</f>
        <v>0</v>
      </c>
      <c r="S167" s="2" t="b">
        <f>IF(OR(Table1938[[#This Row],[Document Type]]="book",Table1938[[#This Row],[Document Type]]="bookSection"),TRUE,FALSE)</f>
        <v>0</v>
      </c>
      <c r="T167" s="2" t="b">
        <f>NOT(IF(OR(Table1938[[#This Row],[Language]]&lt;&gt;"en",Table1938[[#This Row],[Language]]&lt;&gt;"EN",Table1938[[#This Row],[Language]]&lt;&gt;"spa",Table1938[[#This Row],[Language]]&lt;&gt;"SPA"),TRUE,FALSE))</f>
        <v>0</v>
      </c>
      <c r="U167" s="2" t="b">
        <f>IF(AND(Table1938[[#This Row],[EC-01]]=FALSE,Table1938[[#This Row],[EC-02]]=FALSE,Table1938[[#This Row],[EC-03]]=FALSE,Table1938[[#This Row],[EC-04]]=FALSE,Table1938[[#This Row],[EC-05]]=FALSE,Table1938[[#This Row],[EC-06]]=FALSE),TRUE,FALSE)</f>
        <v>1</v>
      </c>
      <c r="V167" s="2" t="b">
        <f>IF(Table1938[[#This Row],[Date]]&lt;&gt;"",AND(YEAR(Table1938[[#This Row],[Date]])&gt;=2010, YEAR(Table1938[[#This Row],[Date]])&lt;=2024),FALSE)</f>
        <v>1</v>
      </c>
      <c r="W167" s="2" t="b">
        <f>IF(Table1938[[#This Row],[Date]]&lt;&gt;"",AND(YEAR(Table1938[[#This Row],[Date]])&gt;=2010, YEAR(Table1938[[#This Row],[Date]])&lt;=2020),FALSE)</f>
        <v>0</v>
      </c>
      <c r="X167" s="2" t="b">
        <f>IF(AND(Table1938[[#This Row],[Accesible]]=TRUE,Table1938[[#This Row],[DOI]]&lt;&gt;""),TRUE,FALSE)</f>
        <v>1</v>
      </c>
      <c r="Y167" s="2" t="b">
        <f>OR(Table1938[[#This Row],[Document Type]]="journalArticle",Table1938[[#This Row],[Document Type]]="conferencePaper",Table1938[[#This Row],[Document Type]]="review")</f>
        <v>1</v>
      </c>
      <c r="Z167" s="2" t="b" cm="1">
        <f t="array" ref="Z167">SUMPRODUCT(--ISNUMBER(SEARCH({"dimensional analysis","dimensionless coefficients","Π","Pi","theorem","software","design","tools","development","architecture","similar"}, LOWER(Table1938[[#This Row],[Title]]))))&gt;0</f>
        <v>1</v>
      </c>
      <c r="AA167" s="2" t="b" cm="1">
        <f t="array" ref="AA167">SUMPRODUCT(--ISNUMBER(SEARCH({"dimensional analysis","dimensionless coefficients","Π","Pi","theorem","software","design","tools","development","architecture","similar"}, LOWER(Table1938[[#This Row],[Abstract]]))))&gt;0</f>
        <v>1</v>
      </c>
      <c r="AB167" s="2" t="b">
        <f>AND(OR(Table1938[[#This Row],[IC-01 @2024]:[IC-01 @2020]])=TRUE,Table1938[[#This Row],[IC-02]]=TRUE,Table1938[[#This Row],[IC-03]]=TRUE,Table1938[[#This Row],[IC-04]]=TRUE,Table1938[[#This Row],[IC-05]]=TRUE)</f>
        <v>1</v>
      </c>
      <c r="AC167" s="2" t="b">
        <f>AND(Table1938[[#This Row],[Pass-IC]]=TRUE,Table1938[[#This Row],[Pass-EC]]=TRUE)</f>
        <v>1</v>
      </c>
      <c r="AD167" s="2" t="b">
        <f>COUNTIF($D$25:D167, Table1938[[#This Row],[Title]]) = 1</f>
        <v>1</v>
      </c>
      <c r="AE167" s="2" t="b">
        <f>AND(Table1938[[#This Row],[IC + EC]:[Unique]])</f>
        <v>1</v>
      </c>
      <c r="AF167" s="2" t="b">
        <v>1</v>
      </c>
      <c r="AG167" s="2" t="b">
        <v>0</v>
      </c>
      <c r="AH167" s="2" t="b">
        <v>0</v>
      </c>
      <c r="AI167" s="2" t="b">
        <f>IF(AND(Table1938[[#This Row],[Double Check]]=TRUE,Table1938[[#This Row],[Inspected]]=TRUE,Table1938[[#This Row],[Relevant]]=TRUE),TRUE,FALSE)</f>
        <v>0</v>
      </c>
    </row>
    <row r="168" spans="1:35" ht="71.7" x14ac:dyDescent="0.5">
      <c r="A168" s="2">
        <v>167</v>
      </c>
      <c r="B168" s="20" t="s">
        <v>80</v>
      </c>
      <c r="C168" s="20" t="s">
        <v>3003</v>
      </c>
      <c r="D168" s="20" t="s">
        <v>511</v>
      </c>
      <c r="E168" s="20" t="s">
        <v>477</v>
      </c>
      <c r="F168" s="2" t="s">
        <v>590</v>
      </c>
      <c r="G168" s="20" t="s">
        <v>538</v>
      </c>
      <c r="H168" s="36">
        <v>44232</v>
      </c>
      <c r="I168" s="20">
        <v>2021</v>
      </c>
      <c r="J168" s="20" t="s">
        <v>61</v>
      </c>
      <c r="K168" s="20" t="s">
        <v>123</v>
      </c>
      <c r="L168" s="20" t="s">
        <v>2515</v>
      </c>
      <c r="M168" s="20" t="s">
        <v>557</v>
      </c>
      <c r="N168" s="20" t="b">
        <v>1</v>
      </c>
      <c r="O168" s="2" t="b">
        <f>IF(Table1938[[#This Row],[Title]]="",TRUE,FALSE)</f>
        <v>0</v>
      </c>
      <c r="P168" s="2" t="b">
        <f>IF(Table1938[[#This Row],[Author]]="",TRUE,FALSE)</f>
        <v>0</v>
      </c>
      <c r="Q168" s="2" t="b">
        <f>IF(Table1938[[#This Row],[DOI]]&lt;&gt;"", FALSE,TRUE)</f>
        <v>0</v>
      </c>
      <c r="R168" s="2" t="b">
        <f>IF(Table1938[[#This Row],[Abstract]]="",TRUE,FALSE)</f>
        <v>0</v>
      </c>
      <c r="S168" s="2" t="b">
        <f>IF(OR(Table1938[[#This Row],[Document Type]]="book",Table1938[[#This Row],[Document Type]]="bookSection"),TRUE,FALSE)</f>
        <v>0</v>
      </c>
      <c r="T168" s="2" t="b">
        <f>NOT(IF(OR(Table1938[[#This Row],[Language]]&lt;&gt;"en",Table1938[[#This Row],[Language]]&lt;&gt;"EN",Table1938[[#This Row],[Language]]&lt;&gt;"spa",Table1938[[#This Row],[Language]]&lt;&gt;"SPA"),TRUE,FALSE))</f>
        <v>0</v>
      </c>
      <c r="U168" s="2" t="b">
        <f>IF(AND(Table1938[[#This Row],[EC-01]]=FALSE,Table1938[[#This Row],[EC-02]]=FALSE,Table1938[[#This Row],[EC-03]]=FALSE,Table1938[[#This Row],[EC-04]]=FALSE,Table1938[[#This Row],[EC-05]]=FALSE,Table1938[[#This Row],[EC-06]]=FALSE),TRUE,FALSE)</f>
        <v>1</v>
      </c>
      <c r="V168" s="2" t="b">
        <f>IF(Table1938[[#This Row],[Date]]&lt;&gt;"",AND(YEAR(Table1938[[#This Row],[Date]])&gt;=2010, YEAR(Table1938[[#This Row],[Date]])&lt;=2024),FALSE)</f>
        <v>1</v>
      </c>
      <c r="W168" s="2" t="b">
        <f>IF(Table1938[[#This Row],[Date]]&lt;&gt;"",AND(YEAR(Table1938[[#This Row],[Date]])&gt;=2010, YEAR(Table1938[[#This Row],[Date]])&lt;=2020),FALSE)</f>
        <v>0</v>
      </c>
      <c r="X168" s="2" t="b">
        <f>IF(AND(Table1938[[#This Row],[Accesible]]=TRUE,Table1938[[#This Row],[DOI]]&lt;&gt;""),TRUE,FALSE)</f>
        <v>1</v>
      </c>
      <c r="Y168" s="2" t="b">
        <f>OR(Table1938[[#This Row],[Document Type]]="journalArticle",Table1938[[#This Row],[Document Type]]="conferencePaper",Table1938[[#This Row],[Document Type]]="review")</f>
        <v>1</v>
      </c>
      <c r="Z168" s="2" t="b" cm="1">
        <f t="array" ref="Z168">SUMPRODUCT(--ISNUMBER(SEARCH({"dimensional analysis","dimensionless coefficients","Π","Pi","theorem","software","design","tools","development","architecture","similar"}, LOWER(Table1938[[#This Row],[Title]]))))&gt;0</f>
        <v>0</v>
      </c>
      <c r="AA168" s="2" t="b" cm="1">
        <f t="array" ref="AA168">SUMPRODUCT(--ISNUMBER(SEARCH({"dimensional analysis","dimensionless coefficients","Π","Pi","theorem","software","design","tools","development","architecture","similar"}, LOWER(Table1938[[#This Row],[Abstract]]))))&gt;0</f>
        <v>1</v>
      </c>
      <c r="AB168" s="2" t="b">
        <f>AND(OR(Table1938[[#This Row],[IC-01 @2024]:[IC-01 @2020]])=TRUE,Table1938[[#This Row],[IC-02]]=TRUE,Table1938[[#This Row],[IC-03]]=TRUE,Table1938[[#This Row],[IC-04]]=TRUE,Table1938[[#This Row],[IC-05]]=TRUE)</f>
        <v>0</v>
      </c>
      <c r="AC168" s="2" t="b">
        <f>AND(Table1938[[#This Row],[Pass-IC]]=TRUE,Table1938[[#This Row],[Pass-EC]]=TRUE)</f>
        <v>0</v>
      </c>
      <c r="AD168" s="2" t="b">
        <f>COUNTIF($D$25:D168, Table1938[[#This Row],[Title]]) = 1</f>
        <v>1</v>
      </c>
      <c r="AE168" s="2" t="b">
        <f>AND(Table1938[[#This Row],[IC + EC]:[Unique]])</f>
        <v>0</v>
      </c>
      <c r="AF168" s="2" t="b">
        <v>0</v>
      </c>
      <c r="AG168" s="2" t="b">
        <v>0</v>
      </c>
      <c r="AH168" s="2" t="b">
        <v>0</v>
      </c>
      <c r="AI168" s="2" t="b">
        <f>IF(AND(Table1938[[#This Row],[Double Check]]=TRUE,Table1938[[#This Row],[Inspected]]=TRUE,Table1938[[#This Row],[Relevant]]=TRUE),TRUE,FALSE)</f>
        <v>0</v>
      </c>
    </row>
    <row r="169" spans="1:35" ht="71.7" x14ac:dyDescent="0.5">
      <c r="A169" s="2">
        <v>168</v>
      </c>
      <c r="B169" s="20" t="s">
        <v>80</v>
      </c>
      <c r="C169" s="20" t="s">
        <v>3004</v>
      </c>
      <c r="D169" s="20" t="s">
        <v>510</v>
      </c>
      <c r="E169" s="20" t="s">
        <v>476</v>
      </c>
      <c r="F169" s="2" t="s">
        <v>589</v>
      </c>
      <c r="G169" s="20" t="s">
        <v>69</v>
      </c>
      <c r="H169" s="36">
        <v>44497</v>
      </c>
      <c r="I169" s="20">
        <v>2021</v>
      </c>
      <c r="J169" s="20" t="s">
        <v>61</v>
      </c>
      <c r="K169" s="20" t="s">
        <v>123</v>
      </c>
      <c r="L169" s="20" t="s">
        <v>2515</v>
      </c>
      <c r="M169" s="20" t="s">
        <v>556</v>
      </c>
      <c r="N169" s="20" t="b">
        <v>1</v>
      </c>
      <c r="O169" s="2" t="b">
        <f>IF(Table1938[[#This Row],[Title]]="",TRUE,FALSE)</f>
        <v>0</v>
      </c>
      <c r="P169" s="2" t="b">
        <f>IF(Table1938[[#This Row],[Author]]="",TRUE,FALSE)</f>
        <v>0</v>
      </c>
      <c r="Q169" s="2" t="b">
        <f>IF(Table1938[[#This Row],[DOI]]&lt;&gt;"", FALSE,TRUE)</f>
        <v>0</v>
      </c>
      <c r="R169" s="2" t="b">
        <f>IF(Table1938[[#This Row],[Abstract]]="",TRUE,FALSE)</f>
        <v>0</v>
      </c>
      <c r="S169" s="2" t="b">
        <f>IF(OR(Table1938[[#This Row],[Document Type]]="book",Table1938[[#This Row],[Document Type]]="bookSection"),TRUE,FALSE)</f>
        <v>0</v>
      </c>
      <c r="T169" s="2" t="b">
        <f>NOT(IF(OR(Table1938[[#This Row],[Language]]&lt;&gt;"en",Table1938[[#This Row],[Language]]&lt;&gt;"EN",Table1938[[#This Row],[Language]]&lt;&gt;"spa",Table1938[[#This Row],[Language]]&lt;&gt;"SPA"),TRUE,FALSE))</f>
        <v>0</v>
      </c>
      <c r="U169" s="2" t="b">
        <f>IF(AND(Table1938[[#This Row],[EC-01]]=FALSE,Table1938[[#This Row],[EC-02]]=FALSE,Table1938[[#This Row],[EC-03]]=FALSE,Table1938[[#This Row],[EC-04]]=FALSE,Table1938[[#This Row],[EC-05]]=FALSE,Table1938[[#This Row],[EC-06]]=FALSE),TRUE,FALSE)</f>
        <v>1</v>
      </c>
      <c r="V169" s="2" t="b">
        <f>IF(Table1938[[#This Row],[Date]]&lt;&gt;"",AND(YEAR(Table1938[[#This Row],[Date]])&gt;=2010, YEAR(Table1938[[#This Row],[Date]])&lt;=2024),FALSE)</f>
        <v>1</v>
      </c>
      <c r="W169" s="2" t="b">
        <f>IF(Table1938[[#This Row],[Date]]&lt;&gt;"",AND(YEAR(Table1938[[#This Row],[Date]])&gt;=2010, YEAR(Table1938[[#This Row],[Date]])&lt;=2020),FALSE)</f>
        <v>0</v>
      </c>
      <c r="X169" s="2" t="b">
        <f>IF(AND(Table1938[[#This Row],[Accesible]]=TRUE,Table1938[[#This Row],[DOI]]&lt;&gt;""),TRUE,FALSE)</f>
        <v>1</v>
      </c>
      <c r="Y169" s="2" t="b">
        <f>OR(Table1938[[#This Row],[Document Type]]="journalArticle",Table1938[[#This Row],[Document Type]]="conferencePaper",Table1938[[#This Row],[Document Type]]="review")</f>
        <v>1</v>
      </c>
      <c r="Z169" s="2" t="b" cm="1">
        <f t="array" ref="Z169">SUMPRODUCT(--ISNUMBER(SEARCH({"dimensional analysis","dimensionless coefficients","Π","Pi","theorem","software","design","tools","development","architecture","similar"}, LOWER(Table1938[[#This Row],[Title]]))))&gt;0</f>
        <v>0</v>
      </c>
      <c r="AA169" s="2" t="b" cm="1">
        <f t="array" ref="AA169">SUMPRODUCT(--ISNUMBER(SEARCH({"dimensional analysis","dimensionless coefficients","Π","Pi","theorem","software","design","tools","development","architecture","similar"}, LOWER(Table1938[[#This Row],[Abstract]]))))&gt;0</f>
        <v>1</v>
      </c>
      <c r="AB169" s="2" t="b">
        <f>AND(OR(Table1938[[#This Row],[IC-01 @2024]:[IC-01 @2020]])=TRUE,Table1938[[#This Row],[IC-02]]=TRUE,Table1938[[#This Row],[IC-03]]=TRUE,Table1938[[#This Row],[IC-04]]=TRUE,Table1938[[#This Row],[IC-05]]=TRUE)</f>
        <v>0</v>
      </c>
      <c r="AC169" s="2" t="b">
        <f>AND(Table1938[[#This Row],[Pass-IC]]=TRUE,Table1938[[#This Row],[Pass-EC]]=TRUE)</f>
        <v>0</v>
      </c>
      <c r="AD169" s="2" t="b">
        <f>COUNTIF($D$25:D169, Table1938[[#This Row],[Title]]) = 1</f>
        <v>1</v>
      </c>
      <c r="AE169" s="2" t="b">
        <f>AND(Table1938[[#This Row],[IC + EC]:[Unique]])</f>
        <v>0</v>
      </c>
      <c r="AF169" s="2" t="b">
        <v>0</v>
      </c>
      <c r="AG169" s="2" t="b">
        <v>0</v>
      </c>
      <c r="AH169" s="2" t="b">
        <v>0</v>
      </c>
      <c r="AI169" s="2" t="b">
        <f>IF(AND(Table1938[[#This Row],[Double Check]]=TRUE,Table1938[[#This Row],[Inspected]]=TRUE,Table1938[[#This Row],[Relevant]]=TRUE),TRUE,FALSE)</f>
        <v>0</v>
      </c>
    </row>
    <row r="170" spans="1:35" ht="57.35" x14ac:dyDescent="0.5">
      <c r="A170" s="2">
        <v>169</v>
      </c>
      <c r="B170" s="20" t="s">
        <v>80</v>
      </c>
      <c r="C170" s="20" t="s">
        <v>3005</v>
      </c>
      <c r="D170" s="20" t="s">
        <v>520</v>
      </c>
      <c r="E170" s="20" t="s">
        <v>486</v>
      </c>
      <c r="F170" s="2" t="s">
        <v>597</v>
      </c>
      <c r="G170" s="20" t="s">
        <v>68</v>
      </c>
      <c r="H170" s="36">
        <v>43236</v>
      </c>
      <c r="I170" s="20">
        <v>2018</v>
      </c>
      <c r="J170" s="20" t="s">
        <v>61</v>
      </c>
      <c r="K170" s="20" t="s">
        <v>123</v>
      </c>
      <c r="L170" s="20" t="s">
        <v>2515</v>
      </c>
      <c r="M170" s="20" t="s">
        <v>566</v>
      </c>
      <c r="N170" s="20" t="b">
        <v>1</v>
      </c>
      <c r="O170" s="2" t="b">
        <f>IF(Table1938[[#This Row],[Title]]="",TRUE,FALSE)</f>
        <v>0</v>
      </c>
      <c r="P170" s="2" t="b">
        <f>IF(Table1938[[#This Row],[Author]]="",TRUE,FALSE)</f>
        <v>0</v>
      </c>
      <c r="Q170" s="2" t="b">
        <f>IF(Table1938[[#This Row],[DOI]]&lt;&gt;"", FALSE,TRUE)</f>
        <v>0</v>
      </c>
      <c r="R170" s="2" t="b">
        <f>IF(Table1938[[#This Row],[Abstract]]="",TRUE,FALSE)</f>
        <v>0</v>
      </c>
      <c r="S170" s="2" t="b">
        <f>IF(OR(Table1938[[#This Row],[Document Type]]="book",Table1938[[#This Row],[Document Type]]="bookSection"),TRUE,FALSE)</f>
        <v>0</v>
      </c>
      <c r="T170" s="2" t="b">
        <f>NOT(IF(OR(Table1938[[#This Row],[Language]]&lt;&gt;"en",Table1938[[#This Row],[Language]]&lt;&gt;"EN",Table1938[[#This Row],[Language]]&lt;&gt;"spa",Table1938[[#This Row],[Language]]&lt;&gt;"SPA"),TRUE,FALSE))</f>
        <v>0</v>
      </c>
      <c r="U170" s="2" t="b">
        <f>IF(AND(Table1938[[#This Row],[EC-01]]=FALSE,Table1938[[#This Row],[EC-02]]=FALSE,Table1938[[#This Row],[EC-03]]=FALSE,Table1938[[#This Row],[EC-04]]=FALSE,Table1938[[#This Row],[EC-05]]=FALSE,Table1938[[#This Row],[EC-06]]=FALSE),TRUE,FALSE)</f>
        <v>1</v>
      </c>
      <c r="V170" s="2" t="b">
        <f>IF(Table1938[[#This Row],[Date]]&lt;&gt;"",AND(YEAR(Table1938[[#This Row],[Date]])&gt;=2010, YEAR(Table1938[[#This Row],[Date]])&lt;=2024),FALSE)</f>
        <v>1</v>
      </c>
      <c r="W170" s="2" t="b">
        <f>IF(Table1938[[#This Row],[Date]]&lt;&gt;"",AND(YEAR(Table1938[[#This Row],[Date]])&gt;=2010, YEAR(Table1938[[#This Row],[Date]])&lt;=2020),FALSE)</f>
        <v>1</v>
      </c>
      <c r="X170" s="2" t="b">
        <f>IF(AND(Table1938[[#This Row],[Accesible]]=TRUE,Table1938[[#This Row],[DOI]]&lt;&gt;""),TRUE,FALSE)</f>
        <v>1</v>
      </c>
      <c r="Y170" s="2" t="b">
        <f>OR(Table1938[[#This Row],[Document Type]]="journalArticle",Table1938[[#This Row],[Document Type]]="conferencePaper",Table1938[[#This Row],[Document Type]]="review")</f>
        <v>1</v>
      </c>
      <c r="Z170" s="2" t="b" cm="1">
        <f t="array" ref="Z170">SUMPRODUCT(--ISNUMBER(SEARCH({"dimensional analysis","dimensionless coefficients","Π","Pi","theorem","software","design","tools","development","architecture","similar"}, LOWER(Table1938[[#This Row],[Title]]))))&gt;0</f>
        <v>1</v>
      </c>
      <c r="AA170" s="2" t="b" cm="1">
        <f t="array" ref="AA170">SUMPRODUCT(--ISNUMBER(SEARCH({"dimensional analysis","dimensionless coefficients","Π","Pi","theorem","software","design","tools","development","architecture","similar"}, LOWER(Table1938[[#This Row],[Abstract]]))))&gt;0</f>
        <v>1</v>
      </c>
      <c r="AB170" s="2" t="b">
        <f>AND(OR(Table1938[[#This Row],[IC-01 @2024]:[IC-01 @2020]])=TRUE,Table1938[[#This Row],[IC-02]]=TRUE,Table1938[[#This Row],[IC-03]]=TRUE,Table1938[[#This Row],[IC-04]]=TRUE,Table1938[[#This Row],[IC-05]]=TRUE)</f>
        <v>1</v>
      </c>
      <c r="AC170" s="2" t="b">
        <f>AND(Table1938[[#This Row],[Pass-IC]]=TRUE,Table1938[[#This Row],[Pass-EC]]=TRUE)</f>
        <v>1</v>
      </c>
      <c r="AD170" s="2" t="b">
        <f>COUNTIF($D$25:D170, Table1938[[#This Row],[Title]]) = 1</f>
        <v>1</v>
      </c>
      <c r="AE170" s="2" t="b">
        <f>AND(Table1938[[#This Row],[IC + EC]:[Unique]])</f>
        <v>1</v>
      </c>
      <c r="AF170" s="2" t="b">
        <v>1</v>
      </c>
      <c r="AG170" s="2" t="b">
        <v>0</v>
      </c>
      <c r="AH170" s="2" t="b">
        <v>0</v>
      </c>
      <c r="AI170" s="2" t="b">
        <f>IF(AND(Table1938[[#This Row],[Double Check]]=TRUE,Table1938[[#This Row],[Inspected]]=TRUE,Table1938[[#This Row],[Relevant]]=TRUE),TRUE,FALSE)</f>
        <v>0</v>
      </c>
    </row>
    <row r="171" spans="1:35" ht="43" x14ac:dyDescent="0.5">
      <c r="A171" s="2">
        <v>170</v>
      </c>
      <c r="B171" s="20" t="s">
        <v>0</v>
      </c>
      <c r="C171" s="20" t="s">
        <v>2924</v>
      </c>
      <c r="D171" s="20" t="s">
        <v>884</v>
      </c>
      <c r="E171" s="20" t="s">
        <v>123</v>
      </c>
      <c r="F171" s="2" t="s">
        <v>123</v>
      </c>
      <c r="G171" s="20" t="s">
        <v>885</v>
      </c>
      <c r="H171" s="36">
        <v>45512</v>
      </c>
      <c r="I171" s="20">
        <v>2024</v>
      </c>
      <c r="J171" s="20" t="s">
        <v>62</v>
      </c>
      <c r="K171" s="20" t="s">
        <v>123</v>
      </c>
      <c r="L171" s="20" t="s">
        <v>2515</v>
      </c>
      <c r="M171" s="20" t="s">
        <v>886</v>
      </c>
      <c r="N171" s="20" t="b">
        <v>1</v>
      </c>
      <c r="O171" s="2" t="b">
        <f>IF(Table1938[[#This Row],[Title]]="",TRUE,FALSE)</f>
        <v>0</v>
      </c>
      <c r="P171" s="2" t="b">
        <f>IF(Table1938[[#This Row],[Author]]="",TRUE,FALSE)</f>
        <v>1</v>
      </c>
      <c r="Q171" s="2" t="b">
        <f>IF(Table1938[[#This Row],[DOI]]&lt;&gt;"", FALSE,TRUE)</f>
        <v>0</v>
      </c>
      <c r="R171" s="2" t="b">
        <f>IF(Table1938[[#This Row],[Abstract]]="",TRUE,FALSE)</f>
        <v>1</v>
      </c>
      <c r="S171" s="2" t="b">
        <f>IF(OR(Table1938[[#This Row],[Document Type]]="book",Table1938[[#This Row],[Document Type]]="bookSection"),TRUE,FALSE)</f>
        <v>0</v>
      </c>
      <c r="T171" s="2" t="b">
        <f>NOT(IF(OR(Table1938[[#This Row],[Language]]&lt;&gt;"en",Table1938[[#This Row],[Language]]&lt;&gt;"EN",Table1938[[#This Row],[Language]]&lt;&gt;"spa",Table1938[[#This Row],[Language]]&lt;&gt;"SPA"),TRUE,FALSE))</f>
        <v>0</v>
      </c>
      <c r="U171" s="2" t="b">
        <f>IF(AND(Table1938[[#This Row],[EC-01]]=FALSE,Table1938[[#This Row],[EC-02]]=FALSE,Table1938[[#This Row],[EC-03]]=FALSE,Table1938[[#This Row],[EC-04]]=FALSE,Table1938[[#This Row],[EC-05]]=FALSE,Table1938[[#This Row],[EC-06]]=FALSE),TRUE,FALSE)</f>
        <v>0</v>
      </c>
      <c r="V171" s="2" t="b">
        <f>IF(Table1938[[#This Row],[Date]]&lt;&gt;"",AND(YEAR(Table1938[[#This Row],[Date]])&gt;=2010, YEAR(Table1938[[#This Row],[Date]])&lt;=2024),FALSE)</f>
        <v>1</v>
      </c>
      <c r="W171" s="2" t="b">
        <f>IF(Table1938[[#This Row],[Date]]&lt;&gt;"",AND(YEAR(Table1938[[#This Row],[Date]])&gt;=2010, YEAR(Table1938[[#This Row],[Date]])&lt;=2020),FALSE)</f>
        <v>0</v>
      </c>
      <c r="X171" s="2" t="b">
        <f>IF(AND(Table1938[[#This Row],[Accesible]]=TRUE,Table1938[[#This Row],[DOI]]&lt;&gt;""),TRUE,FALSE)</f>
        <v>1</v>
      </c>
      <c r="Y171" s="2" t="b">
        <f>OR(Table1938[[#This Row],[Document Type]]="journalArticle",Table1938[[#This Row],[Document Type]]="conferencePaper",Table1938[[#This Row],[Document Type]]="review")</f>
        <v>1</v>
      </c>
      <c r="Z171" s="2" t="b" cm="1">
        <f t="array" ref="Z171">SUMPRODUCT(--ISNUMBER(SEARCH({"dimensional analysis","dimensionless coefficients","Π","Pi","theorem","software","design","tools","development","architecture","similar"}, LOWER(Table1938[[#This Row],[Title]]))))&gt;0</f>
        <v>0</v>
      </c>
      <c r="AA171" s="2" t="b" cm="1">
        <f t="array" ref="AA171">SUMPRODUCT(--ISNUMBER(SEARCH({"dimensional analysis","dimensionless coefficients","Π","Pi","theorem","software","design","tools","development","architecture","similar"}, LOWER(Table1938[[#This Row],[Abstract]]))))&gt;0</f>
        <v>0</v>
      </c>
      <c r="AB171" s="2" t="b">
        <f>AND(OR(Table1938[[#This Row],[IC-01 @2024]:[IC-01 @2020]])=TRUE,Table1938[[#This Row],[IC-02]]=TRUE,Table1938[[#This Row],[IC-03]]=TRUE,Table1938[[#This Row],[IC-04]]=TRUE,Table1938[[#This Row],[IC-05]]=TRUE)</f>
        <v>0</v>
      </c>
      <c r="AC171" s="2" t="b">
        <f>AND(Table1938[[#This Row],[Pass-IC]]=TRUE,Table1938[[#This Row],[Pass-EC]]=TRUE)</f>
        <v>0</v>
      </c>
      <c r="AD171" s="2" t="b">
        <f>COUNTIF($D$25:D171, Table1938[[#This Row],[Title]]) = 1</f>
        <v>1</v>
      </c>
      <c r="AE171" s="2" t="b">
        <f>AND(Table1938[[#This Row],[IC + EC]:[Unique]])</f>
        <v>0</v>
      </c>
      <c r="AF171" s="2" t="b">
        <v>0</v>
      </c>
      <c r="AG171" s="2" t="b">
        <v>0</v>
      </c>
      <c r="AH171" s="2" t="b">
        <v>0</v>
      </c>
      <c r="AI171" s="2" t="b">
        <f>IF(AND(Table1938[[#This Row],[Double Check]]=TRUE,Table1938[[#This Row],[Inspected]]=TRUE,Table1938[[#This Row],[Relevant]]=TRUE),TRUE,FALSE)</f>
        <v>0</v>
      </c>
    </row>
    <row r="172" spans="1:35" ht="28.7" x14ac:dyDescent="0.5">
      <c r="A172" s="2">
        <v>171</v>
      </c>
      <c r="B172" s="20" t="s">
        <v>0</v>
      </c>
      <c r="C172" s="20" t="s">
        <v>2925</v>
      </c>
      <c r="D172" s="20" t="s">
        <v>413</v>
      </c>
      <c r="E172" s="20" t="s">
        <v>123</v>
      </c>
      <c r="F172" s="2" t="s">
        <v>427</v>
      </c>
      <c r="G172" s="20" t="s">
        <v>915</v>
      </c>
      <c r="H172" s="36">
        <v>44811</v>
      </c>
      <c r="I172" s="20">
        <v>2022</v>
      </c>
      <c r="J172" s="20" t="s">
        <v>62</v>
      </c>
      <c r="K172" s="20" t="s">
        <v>123</v>
      </c>
      <c r="L172" s="20" t="s">
        <v>2515</v>
      </c>
      <c r="M172" s="20" t="s">
        <v>440</v>
      </c>
      <c r="N172" s="20" t="b">
        <v>1</v>
      </c>
      <c r="O172" s="2" t="b">
        <f>IF(Table1938[[#This Row],[Title]]="",TRUE,FALSE)</f>
        <v>0</v>
      </c>
      <c r="P172" s="2" t="b">
        <f>IF(Table1938[[#This Row],[Author]]="",TRUE,FALSE)</f>
        <v>1</v>
      </c>
      <c r="Q172" s="2" t="b">
        <f>IF(Table1938[[#This Row],[DOI]]&lt;&gt;"", FALSE,TRUE)</f>
        <v>0</v>
      </c>
      <c r="R172" s="2" t="b">
        <f>IF(Table1938[[#This Row],[Abstract]]="",TRUE,FALSE)</f>
        <v>0</v>
      </c>
      <c r="S172" s="2" t="b">
        <f>IF(OR(Table1938[[#This Row],[Document Type]]="book",Table1938[[#This Row],[Document Type]]="bookSection"),TRUE,FALSE)</f>
        <v>0</v>
      </c>
      <c r="T172" s="2" t="b">
        <f>NOT(IF(OR(Table1938[[#This Row],[Language]]&lt;&gt;"en",Table1938[[#This Row],[Language]]&lt;&gt;"EN",Table1938[[#This Row],[Language]]&lt;&gt;"spa",Table1938[[#This Row],[Language]]&lt;&gt;"SPA"),TRUE,FALSE))</f>
        <v>0</v>
      </c>
      <c r="U172" s="2" t="b">
        <f>IF(AND(Table1938[[#This Row],[EC-01]]=FALSE,Table1938[[#This Row],[EC-02]]=FALSE,Table1938[[#This Row],[EC-03]]=FALSE,Table1938[[#This Row],[EC-04]]=FALSE,Table1938[[#This Row],[EC-05]]=FALSE,Table1938[[#This Row],[EC-06]]=FALSE),TRUE,FALSE)</f>
        <v>0</v>
      </c>
      <c r="V172" s="2" t="b">
        <f>IF(Table1938[[#This Row],[Date]]&lt;&gt;"",AND(YEAR(Table1938[[#This Row],[Date]])&gt;=2010, YEAR(Table1938[[#This Row],[Date]])&lt;=2024),FALSE)</f>
        <v>1</v>
      </c>
      <c r="W172" s="2" t="b">
        <f>IF(Table1938[[#This Row],[Date]]&lt;&gt;"",AND(YEAR(Table1938[[#This Row],[Date]])&gt;=2010, YEAR(Table1938[[#This Row],[Date]])&lt;=2020),FALSE)</f>
        <v>0</v>
      </c>
      <c r="X172" s="2" t="b">
        <f>IF(AND(Table1938[[#This Row],[Accesible]]=TRUE,Table1938[[#This Row],[DOI]]&lt;&gt;""),TRUE,FALSE)</f>
        <v>1</v>
      </c>
      <c r="Y172" s="2" t="b">
        <f>OR(Table1938[[#This Row],[Document Type]]="journalArticle",Table1938[[#This Row],[Document Type]]="conferencePaper",Table1938[[#This Row],[Document Type]]="review")</f>
        <v>1</v>
      </c>
      <c r="Z172" s="2" t="b" cm="1">
        <f t="array" ref="Z172">SUMPRODUCT(--ISNUMBER(SEARCH({"dimensional analysis","dimensionless coefficients","Π","Pi","theorem","software","design","tools","development","architecture","similar"}, LOWER(Table1938[[#This Row],[Title]]))))&gt;0</f>
        <v>0</v>
      </c>
      <c r="AA172" s="2" t="b" cm="1">
        <f t="array" ref="AA172">SUMPRODUCT(--ISNUMBER(SEARCH({"dimensional analysis","dimensionless coefficients","Π","Pi","theorem","software","design","tools","development","architecture","similar"}, LOWER(Table1938[[#This Row],[Abstract]]))))&gt;0</f>
        <v>0</v>
      </c>
      <c r="AB172" s="2" t="b">
        <f>AND(OR(Table1938[[#This Row],[IC-01 @2024]:[IC-01 @2020]])=TRUE,Table1938[[#This Row],[IC-02]]=TRUE,Table1938[[#This Row],[IC-03]]=TRUE,Table1938[[#This Row],[IC-04]]=TRUE,Table1938[[#This Row],[IC-05]]=TRUE)</f>
        <v>0</v>
      </c>
      <c r="AC172" s="2" t="b">
        <f>AND(Table1938[[#This Row],[Pass-IC]]=TRUE,Table1938[[#This Row],[Pass-EC]]=TRUE)</f>
        <v>0</v>
      </c>
      <c r="AD172" s="2" t="b">
        <f>COUNTIF($D$25:D172, Table1938[[#This Row],[Title]]) = 1</f>
        <v>1</v>
      </c>
      <c r="AE172" s="2" t="b">
        <f>AND(Table1938[[#This Row],[IC + EC]:[Unique]])</f>
        <v>0</v>
      </c>
      <c r="AF172" s="2" t="b">
        <v>0</v>
      </c>
      <c r="AG172" s="2" t="b">
        <v>0</v>
      </c>
      <c r="AH172" s="2" t="b">
        <v>0</v>
      </c>
      <c r="AI172" s="2" t="b">
        <f>IF(AND(Table1938[[#This Row],[Double Check]]=TRUE,Table1938[[#This Row],[Inspected]]=TRUE,Table1938[[#This Row],[Relevant]]=TRUE),TRUE,FALSE)</f>
        <v>0</v>
      </c>
    </row>
    <row r="173" spans="1:35" ht="28.7" x14ac:dyDescent="0.5">
      <c r="A173" s="2">
        <v>172</v>
      </c>
      <c r="B173" s="20" t="s">
        <v>0</v>
      </c>
      <c r="C173" s="20" t="s">
        <v>2926</v>
      </c>
      <c r="D173" s="20" t="s">
        <v>410</v>
      </c>
      <c r="E173" s="20" t="s">
        <v>123</v>
      </c>
      <c r="F173" s="2" t="s">
        <v>423</v>
      </c>
      <c r="G173" s="20" t="s">
        <v>861</v>
      </c>
      <c r="H173" s="36">
        <v>43317</v>
      </c>
      <c r="I173" s="20">
        <v>2018</v>
      </c>
      <c r="J173" s="20" t="s">
        <v>62</v>
      </c>
      <c r="K173" s="20" t="s">
        <v>123</v>
      </c>
      <c r="L173" s="20" t="s">
        <v>2515</v>
      </c>
      <c r="M173" s="20" t="s">
        <v>437</v>
      </c>
      <c r="N173" s="20" t="b">
        <v>1</v>
      </c>
      <c r="O173" s="2" t="b">
        <f>IF(Table1938[[#This Row],[Title]]="",TRUE,FALSE)</f>
        <v>0</v>
      </c>
      <c r="P173" s="2" t="b">
        <f>IF(Table1938[[#This Row],[Author]]="",TRUE,FALSE)</f>
        <v>1</v>
      </c>
      <c r="Q173" s="2" t="b">
        <f>IF(Table1938[[#This Row],[DOI]]&lt;&gt;"", FALSE,TRUE)</f>
        <v>0</v>
      </c>
      <c r="R173" s="2" t="b">
        <f>IF(Table1938[[#This Row],[Abstract]]="",TRUE,FALSE)</f>
        <v>0</v>
      </c>
      <c r="S173" s="2" t="b">
        <f>IF(OR(Table1938[[#This Row],[Document Type]]="book",Table1938[[#This Row],[Document Type]]="bookSection"),TRUE,FALSE)</f>
        <v>0</v>
      </c>
      <c r="T173" s="2" t="b">
        <f>NOT(IF(OR(Table1938[[#This Row],[Language]]&lt;&gt;"en",Table1938[[#This Row],[Language]]&lt;&gt;"EN",Table1938[[#This Row],[Language]]&lt;&gt;"spa",Table1938[[#This Row],[Language]]&lt;&gt;"SPA"),TRUE,FALSE))</f>
        <v>0</v>
      </c>
      <c r="U173" s="2" t="b">
        <f>IF(AND(Table1938[[#This Row],[EC-01]]=FALSE,Table1938[[#This Row],[EC-02]]=FALSE,Table1938[[#This Row],[EC-03]]=FALSE,Table1938[[#This Row],[EC-04]]=FALSE,Table1938[[#This Row],[EC-05]]=FALSE,Table1938[[#This Row],[EC-06]]=FALSE),TRUE,FALSE)</f>
        <v>0</v>
      </c>
      <c r="V173" s="2" t="b">
        <f>IF(Table1938[[#This Row],[Date]]&lt;&gt;"",AND(YEAR(Table1938[[#This Row],[Date]])&gt;=2010, YEAR(Table1938[[#This Row],[Date]])&lt;=2024),FALSE)</f>
        <v>1</v>
      </c>
      <c r="W173" s="2" t="b">
        <f>IF(Table1938[[#This Row],[Date]]&lt;&gt;"",AND(YEAR(Table1938[[#This Row],[Date]])&gt;=2010, YEAR(Table1938[[#This Row],[Date]])&lt;=2020),FALSE)</f>
        <v>1</v>
      </c>
      <c r="X173" s="2" t="b">
        <f>IF(AND(Table1938[[#This Row],[Accesible]]=TRUE,Table1938[[#This Row],[DOI]]&lt;&gt;""),TRUE,FALSE)</f>
        <v>1</v>
      </c>
      <c r="Y173" s="2" t="b">
        <f>OR(Table1938[[#This Row],[Document Type]]="journalArticle",Table1938[[#This Row],[Document Type]]="conferencePaper",Table1938[[#This Row],[Document Type]]="review")</f>
        <v>1</v>
      </c>
      <c r="Z173" s="2" t="b" cm="1">
        <f t="array" ref="Z173">SUMPRODUCT(--ISNUMBER(SEARCH({"dimensional analysis","dimensionless coefficients","Π","Pi","theorem","software","design","tools","development","architecture","similar"}, LOWER(Table1938[[#This Row],[Title]]))))&gt;0</f>
        <v>0</v>
      </c>
      <c r="AA173" s="2" t="b" cm="1">
        <f t="array" ref="AA173">SUMPRODUCT(--ISNUMBER(SEARCH({"dimensional analysis","dimensionless coefficients","Π","Pi","theorem","software","design","tools","development","architecture","similar"}, LOWER(Table1938[[#This Row],[Abstract]]))))&gt;0</f>
        <v>0</v>
      </c>
      <c r="AB173" s="2" t="b">
        <f>AND(OR(Table1938[[#This Row],[IC-01 @2024]:[IC-01 @2020]])=TRUE,Table1938[[#This Row],[IC-02]]=TRUE,Table1938[[#This Row],[IC-03]]=TRUE,Table1938[[#This Row],[IC-04]]=TRUE,Table1938[[#This Row],[IC-05]]=TRUE)</f>
        <v>0</v>
      </c>
      <c r="AC173" s="2" t="b">
        <f>AND(Table1938[[#This Row],[Pass-IC]]=TRUE,Table1938[[#This Row],[Pass-EC]]=TRUE)</f>
        <v>0</v>
      </c>
      <c r="AD173" s="2" t="b">
        <f>COUNTIF($D$25:D173, Table1938[[#This Row],[Title]]) = 1</f>
        <v>1</v>
      </c>
      <c r="AE173" s="2" t="b">
        <f>AND(Table1938[[#This Row],[IC + EC]:[Unique]])</f>
        <v>0</v>
      </c>
      <c r="AF173" s="2" t="b">
        <v>0</v>
      </c>
      <c r="AG173" s="2" t="b">
        <v>0</v>
      </c>
      <c r="AH173" s="2" t="b">
        <v>0</v>
      </c>
      <c r="AI173" s="2" t="b">
        <f>IF(AND(Table1938[[#This Row],[Double Check]]=TRUE,Table1938[[#This Row],[Inspected]]=TRUE,Table1938[[#This Row],[Relevant]]=TRUE),TRUE,FALSE)</f>
        <v>0</v>
      </c>
    </row>
    <row r="174" spans="1:35" ht="43" x14ac:dyDescent="0.5">
      <c r="A174" s="2">
        <v>173</v>
      </c>
      <c r="B174" s="20" t="s">
        <v>0</v>
      </c>
      <c r="C174" s="20" t="s">
        <v>2927</v>
      </c>
      <c r="D174" s="20" t="s">
        <v>902</v>
      </c>
      <c r="E174" s="20" t="s">
        <v>123</v>
      </c>
      <c r="F174" s="2" t="s">
        <v>123</v>
      </c>
      <c r="G174" s="20" t="s">
        <v>903</v>
      </c>
      <c r="H174" s="36">
        <v>45299</v>
      </c>
      <c r="I174" s="20">
        <v>2024</v>
      </c>
      <c r="J174" s="20" t="s">
        <v>62</v>
      </c>
      <c r="K174" s="20" t="s">
        <v>123</v>
      </c>
      <c r="L174" s="20" t="s">
        <v>2515</v>
      </c>
      <c r="M174" s="20" t="s">
        <v>904</v>
      </c>
      <c r="N174" s="20" t="b">
        <v>1</v>
      </c>
      <c r="O174" s="2" t="b">
        <f>IF(Table1938[[#This Row],[Title]]="",TRUE,FALSE)</f>
        <v>0</v>
      </c>
      <c r="P174" s="2" t="b">
        <f>IF(Table1938[[#This Row],[Author]]="",TRUE,FALSE)</f>
        <v>1</v>
      </c>
      <c r="Q174" s="2" t="b">
        <f>IF(Table1938[[#This Row],[DOI]]&lt;&gt;"", FALSE,TRUE)</f>
        <v>0</v>
      </c>
      <c r="R174" s="2" t="b">
        <f>IF(Table1938[[#This Row],[Abstract]]="",TRUE,FALSE)</f>
        <v>1</v>
      </c>
      <c r="S174" s="2" t="b">
        <f>IF(OR(Table1938[[#This Row],[Document Type]]="book",Table1938[[#This Row],[Document Type]]="bookSection"),TRUE,FALSE)</f>
        <v>0</v>
      </c>
      <c r="T174" s="2" t="b">
        <f>NOT(IF(OR(Table1938[[#This Row],[Language]]&lt;&gt;"en",Table1938[[#This Row],[Language]]&lt;&gt;"EN",Table1938[[#This Row],[Language]]&lt;&gt;"spa",Table1938[[#This Row],[Language]]&lt;&gt;"SPA"),TRUE,FALSE))</f>
        <v>0</v>
      </c>
      <c r="U174" s="2" t="b">
        <f>IF(AND(Table1938[[#This Row],[EC-01]]=FALSE,Table1938[[#This Row],[EC-02]]=FALSE,Table1938[[#This Row],[EC-03]]=FALSE,Table1938[[#This Row],[EC-04]]=FALSE,Table1938[[#This Row],[EC-05]]=FALSE,Table1938[[#This Row],[EC-06]]=FALSE),TRUE,FALSE)</f>
        <v>0</v>
      </c>
      <c r="V174" s="2" t="b">
        <f>IF(Table1938[[#This Row],[Date]]&lt;&gt;"",AND(YEAR(Table1938[[#This Row],[Date]])&gt;=2010, YEAR(Table1938[[#This Row],[Date]])&lt;=2024),FALSE)</f>
        <v>1</v>
      </c>
      <c r="W174" s="2" t="b">
        <f>IF(Table1938[[#This Row],[Date]]&lt;&gt;"",AND(YEAR(Table1938[[#This Row],[Date]])&gt;=2010, YEAR(Table1938[[#This Row],[Date]])&lt;=2020),FALSE)</f>
        <v>0</v>
      </c>
      <c r="X174" s="2" t="b">
        <f>IF(AND(Table1938[[#This Row],[Accesible]]=TRUE,Table1938[[#This Row],[DOI]]&lt;&gt;""),TRUE,FALSE)</f>
        <v>1</v>
      </c>
      <c r="Y174" s="2" t="b">
        <f>OR(Table1938[[#This Row],[Document Type]]="journalArticle",Table1938[[#This Row],[Document Type]]="conferencePaper",Table1938[[#This Row],[Document Type]]="review")</f>
        <v>1</v>
      </c>
      <c r="Z174" s="2" t="b" cm="1">
        <f t="array" ref="Z174">SUMPRODUCT(--ISNUMBER(SEARCH({"dimensional analysis","dimensionless coefficients","Π","Pi","theorem","software","design","tools","development","architecture","similar"}, LOWER(Table1938[[#This Row],[Title]]))))&gt;0</f>
        <v>0</v>
      </c>
      <c r="AA174" s="2" t="b" cm="1">
        <f t="array" ref="AA174">SUMPRODUCT(--ISNUMBER(SEARCH({"dimensional analysis","dimensionless coefficients","Π","Pi","theorem","software","design","tools","development","architecture","similar"}, LOWER(Table1938[[#This Row],[Abstract]]))))&gt;0</f>
        <v>0</v>
      </c>
      <c r="AB174" s="2" t="b">
        <f>AND(OR(Table1938[[#This Row],[IC-01 @2024]:[IC-01 @2020]])=TRUE,Table1938[[#This Row],[IC-02]]=TRUE,Table1938[[#This Row],[IC-03]]=TRUE,Table1938[[#This Row],[IC-04]]=TRUE,Table1938[[#This Row],[IC-05]]=TRUE)</f>
        <v>0</v>
      </c>
      <c r="AC174" s="2" t="b">
        <f>AND(Table1938[[#This Row],[Pass-IC]]=TRUE,Table1938[[#This Row],[Pass-EC]]=TRUE)</f>
        <v>0</v>
      </c>
      <c r="AD174" s="2" t="b">
        <f>COUNTIF($D$25:D174, Table1938[[#This Row],[Title]]) = 1</f>
        <v>1</v>
      </c>
      <c r="AE174" s="2" t="b">
        <f>AND(Table1938[[#This Row],[IC + EC]:[Unique]])</f>
        <v>0</v>
      </c>
      <c r="AF174" s="2" t="b">
        <v>0</v>
      </c>
      <c r="AG174" s="2" t="b">
        <v>0</v>
      </c>
      <c r="AH174" s="2" t="b">
        <v>0</v>
      </c>
      <c r="AI174" s="2" t="b">
        <f>IF(AND(Table1938[[#This Row],[Double Check]]=TRUE,Table1938[[#This Row],[Inspected]]=TRUE,Table1938[[#This Row],[Relevant]]=TRUE),TRUE,FALSE)</f>
        <v>0</v>
      </c>
    </row>
    <row r="175" spans="1:35" ht="28.7" x14ac:dyDescent="0.5">
      <c r="A175" s="2">
        <v>174</v>
      </c>
      <c r="B175" s="20" t="s">
        <v>0</v>
      </c>
      <c r="C175" s="20" t="s">
        <v>2928</v>
      </c>
      <c r="D175" s="20" t="s">
        <v>878</v>
      </c>
      <c r="E175" s="20" t="s">
        <v>123</v>
      </c>
      <c r="F175" s="2" t="s">
        <v>123</v>
      </c>
      <c r="G175" s="20" t="s">
        <v>879</v>
      </c>
      <c r="H175" s="36">
        <v>45124</v>
      </c>
      <c r="I175" s="20">
        <v>2023</v>
      </c>
      <c r="J175" s="20" t="s">
        <v>62</v>
      </c>
      <c r="K175" s="20" t="s">
        <v>123</v>
      </c>
      <c r="L175" s="20" t="s">
        <v>2515</v>
      </c>
      <c r="M175" s="20" t="s">
        <v>880</v>
      </c>
      <c r="N175" s="20" t="b">
        <v>1</v>
      </c>
      <c r="O175" s="2" t="b">
        <f>IF(Table1938[[#This Row],[Title]]="",TRUE,FALSE)</f>
        <v>0</v>
      </c>
      <c r="P175" s="2" t="b">
        <f>IF(Table1938[[#This Row],[Author]]="",TRUE,FALSE)</f>
        <v>1</v>
      </c>
      <c r="Q175" s="2" t="b">
        <f>IF(Table1938[[#This Row],[DOI]]&lt;&gt;"", FALSE,TRUE)</f>
        <v>0</v>
      </c>
      <c r="R175" s="2" t="b">
        <f>IF(Table1938[[#This Row],[Abstract]]="",TRUE,FALSE)</f>
        <v>1</v>
      </c>
      <c r="S175" s="2" t="b">
        <f>IF(OR(Table1938[[#This Row],[Document Type]]="book",Table1938[[#This Row],[Document Type]]="bookSection"),TRUE,FALSE)</f>
        <v>0</v>
      </c>
      <c r="T175" s="2" t="b">
        <f>NOT(IF(OR(Table1938[[#This Row],[Language]]&lt;&gt;"en",Table1938[[#This Row],[Language]]&lt;&gt;"EN",Table1938[[#This Row],[Language]]&lt;&gt;"spa",Table1938[[#This Row],[Language]]&lt;&gt;"SPA"),TRUE,FALSE))</f>
        <v>0</v>
      </c>
      <c r="U175" s="2" t="b">
        <f>IF(AND(Table1938[[#This Row],[EC-01]]=FALSE,Table1938[[#This Row],[EC-02]]=FALSE,Table1938[[#This Row],[EC-03]]=FALSE,Table1938[[#This Row],[EC-04]]=FALSE,Table1938[[#This Row],[EC-05]]=FALSE,Table1938[[#This Row],[EC-06]]=FALSE),TRUE,FALSE)</f>
        <v>0</v>
      </c>
      <c r="V175" s="2" t="b">
        <f>IF(Table1938[[#This Row],[Date]]&lt;&gt;"",AND(YEAR(Table1938[[#This Row],[Date]])&gt;=2010, YEAR(Table1938[[#This Row],[Date]])&lt;=2024),FALSE)</f>
        <v>1</v>
      </c>
      <c r="W175" s="2" t="b">
        <f>IF(Table1938[[#This Row],[Date]]&lt;&gt;"",AND(YEAR(Table1938[[#This Row],[Date]])&gt;=2010, YEAR(Table1938[[#This Row],[Date]])&lt;=2020),FALSE)</f>
        <v>0</v>
      </c>
      <c r="X175" s="2" t="b">
        <f>IF(AND(Table1938[[#This Row],[Accesible]]=TRUE,Table1938[[#This Row],[DOI]]&lt;&gt;""),TRUE,FALSE)</f>
        <v>1</v>
      </c>
      <c r="Y175" s="2" t="b">
        <f>OR(Table1938[[#This Row],[Document Type]]="journalArticle",Table1938[[#This Row],[Document Type]]="conferencePaper",Table1938[[#This Row],[Document Type]]="review")</f>
        <v>1</v>
      </c>
      <c r="Z175" s="2" t="b" cm="1">
        <f t="array" ref="Z175">SUMPRODUCT(--ISNUMBER(SEARCH({"dimensional analysis","dimensionless coefficients","Π","Pi","theorem","software","design","tools","development","architecture","similar"}, LOWER(Table1938[[#This Row],[Title]]))))&gt;0</f>
        <v>0</v>
      </c>
      <c r="AA175" s="2" t="b" cm="1">
        <f t="array" ref="AA175">SUMPRODUCT(--ISNUMBER(SEARCH({"dimensional analysis","dimensionless coefficients","Π","Pi","theorem","software","design","tools","development","architecture","similar"}, LOWER(Table1938[[#This Row],[Abstract]]))))&gt;0</f>
        <v>0</v>
      </c>
      <c r="AB175" s="2" t="b">
        <f>AND(OR(Table1938[[#This Row],[IC-01 @2024]:[IC-01 @2020]])=TRUE,Table1938[[#This Row],[IC-02]]=TRUE,Table1938[[#This Row],[IC-03]]=TRUE,Table1938[[#This Row],[IC-04]]=TRUE,Table1938[[#This Row],[IC-05]]=TRUE)</f>
        <v>0</v>
      </c>
      <c r="AC175" s="2" t="b">
        <f>AND(Table1938[[#This Row],[Pass-IC]]=TRUE,Table1938[[#This Row],[Pass-EC]]=TRUE)</f>
        <v>0</v>
      </c>
      <c r="AD175" s="2" t="b">
        <f>COUNTIF($D$25:D175, Table1938[[#This Row],[Title]]) = 1</f>
        <v>1</v>
      </c>
      <c r="AE175" s="2" t="b">
        <f>AND(Table1938[[#This Row],[IC + EC]:[Unique]])</f>
        <v>0</v>
      </c>
      <c r="AF175" s="2" t="b">
        <v>0</v>
      </c>
      <c r="AG175" s="2" t="b">
        <v>0</v>
      </c>
      <c r="AH175" s="2" t="b">
        <v>0</v>
      </c>
      <c r="AI175" s="2" t="b">
        <f>IF(AND(Table1938[[#This Row],[Double Check]]=TRUE,Table1938[[#This Row],[Inspected]]=TRUE,Table1938[[#This Row],[Relevant]]=TRUE),TRUE,FALSE)</f>
        <v>0</v>
      </c>
    </row>
    <row r="176" spans="1:35" ht="71.7" x14ac:dyDescent="0.5">
      <c r="A176" s="2">
        <v>175</v>
      </c>
      <c r="B176" s="20" t="s">
        <v>0</v>
      </c>
      <c r="C176" s="20" t="s">
        <v>2929</v>
      </c>
      <c r="D176" s="20" t="s">
        <v>874</v>
      </c>
      <c r="E176" s="20" t="s">
        <v>873</v>
      </c>
      <c r="F176" s="2" t="s">
        <v>876</v>
      </c>
      <c r="G176" s="20" t="s">
        <v>855</v>
      </c>
      <c r="H176" s="36">
        <v>44927</v>
      </c>
      <c r="I176" s="20">
        <v>2023</v>
      </c>
      <c r="J176" s="20" t="s">
        <v>61</v>
      </c>
      <c r="K176" s="20" t="s">
        <v>2930</v>
      </c>
      <c r="L176" s="20" t="s">
        <v>2515</v>
      </c>
      <c r="M176" s="20" t="s">
        <v>875</v>
      </c>
      <c r="N176" s="20" t="b">
        <v>1</v>
      </c>
      <c r="O176" s="2" t="b">
        <f>IF(Table1938[[#This Row],[Title]]="",TRUE,FALSE)</f>
        <v>0</v>
      </c>
      <c r="P176" s="2" t="b">
        <f>IF(Table1938[[#This Row],[Author]]="",TRUE,FALSE)</f>
        <v>0</v>
      </c>
      <c r="Q176" s="2" t="b">
        <f>IF(Table1938[[#This Row],[DOI]]&lt;&gt;"", FALSE,TRUE)</f>
        <v>0</v>
      </c>
      <c r="R176" s="2" t="b">
        <f>IF(Table1938[[#This Row],[Abstract]]="",TRUE,FALSE)</f>
        <v>0</v>
      </c>
      <c r="S176" s="2" t="b">
        <f>IF(OR(Table1938[[#This Row],[Document Type]]="book",Table1938[[#This Row],[Document Type]]="bookSection"),TRUE,FALSE)</f>
        <v>0</v>
      </c>
      <c r="T176" s="2" t="b">
        <f>NOT(IF(OR(Table1938[[#This Row],[Language]]&lt;&gt;"en",Table1938[[#This Row],[Language]]&lt;&gt;"EN",Table1938[[#This Row],[Language]]&lt;&gt;"spa",Table1938[[#This Row],[Language]]&lt;&gt;"SPA"),TRUE,FALSE))</f>
        <v>0</v>
      </c>
      <c r="U176" s="2" t="b">
        <f>IF(AND(Table1938[[#This Row],[EC-01]]=FALSE,Table1938[[#This Row],[EC-02]]=FALSE,Table1938[[#This Row],[EC-03]]=FALSE,Table1938[[#This Row],[EC-04]]=FALSE,Table1938[[#This Row],[EC-05]]=FALSE,Table1938[[#This Row],[EC-06]]=FALSE),TRUE,FALSE)</f>
        <v>1</v>
      </c>
      <c r="V176" s="2" t="b">
        <f>IF(Table1938[[#This Row],[Date]]&lt;&gt;"",AND(YEAR(Table1938[[#This Row],[Date]])&gt;=2010, YEAR(Table1938[[#This Row],[Date]])&lt;=2024),FALSE)</f>
        <v>1</v>
      </c>
      <c r="W176" s="2" t="b">
        <f>IF(Table1938[[#This Row],[Date]]&lt;&gt;"",AND(YEAR(Table1938[[#This Row],[Date]])&gt;=2010, YEAR(Table1938[[#This Row],[Date]])&lt;=2020),FALSE)</f>
        <v>0</v>
      </c>
      <c r="X176" s="2" t="b">
        <f>IF(AND(Table1938[[#This Row],[Accesible]]=TRUE,Table1938[[#This Row],[DOI]]&lt;&gt;""),TRUE,FALSE)</f>
        <v>1</v>
      </c>
      <c r="Y176" s="2" t="b">
        <f>OR(Table1938[[#This Row],[Document Type]]="journalArticle",Table1938[[#This Row],[Document Type]]="conferencePaper",Table1938[[#This Row],[Document Type]]="review")</f>
        <v>1</v>
      </c>
      <c r="Z176" s="2" t="b" cm="1">
        <f t="array" ref="Z176">SUMPRODUCT(--ISNUMBER(SEARCH({"dimensional analysis","dimensionless coefficients","Π","Pi","theorem","software","design","tools","development","architecture","similar"}, LOWER(Table1938[[#This Row],[Title]]))))&gt;0</f>
        <v>0</v>
      </c>
      <c r="AA176" s="2" t="b" cm="1">
        <f t="array" ref="AA176">SUMPRODUCT(--ISNUMBER(SEARCH({"dimensional analysis","dimensionless coefficients","Π","Pi","theorem","software","design","tools","development","architecture","similar"}, LOWER(Table1938[[#This Row],[Abstract]]))))&gt;0</f>
        <v>1</v>
      </c>
      <c r="AB176" s="2" t="b">
        <f>AND(OR(Table1938[[#This Row],[IC-01 @2024]:[IC-01 @2020]])=TRUE,Table1938[[#This Row],[IC-02]]=TRUE,Table1938[[#This Row],[IC-03]]=TRUE,Table1938[[#This Row],[IC-04]]=TRUE,Table1938[[#This Row],[IC-05]]=TRUE)</f>
        <v>0</v>
      </c>
      <c r="AC176" s="2" t="b">
        <f>AND(Table1938[[#This Row],[Pass-IC]]=TRUE,Table1938[[#This Row],[Pass-EC]]=TRUE)</f>
        <v>0</v>
      </c>
      <c r="AD176" s="2" t="b">
        <f>COUNTIF($D$25:D176, Table1938[[#This Row],[Title]]) = 1</f>
        <v>1</v>
      </c>
      <c r="AE176" s="2" t="b">
        <f>AND(Table1938[[#This Row],[IC + EC]:[Unique]])</f>
        <v>0</v>
      </c>
      <c r="AF176" s="2" t="b">
        <v>0</v>
      </c>
      <c r="AG176" s="2" t="b">
        <v>0</v>
      </c>
      <c r="AH176" s="2" t="b">
        <v>0</v>
      </c>
      <c r="AI176" s="2" t="b">
        <f>IF(AND(Table1938[[#This Row],[Double Check]]=TRUE,Table1938[[#This Row],[Inspected]]=TRUE,Table1938[[#This Row],[Relevant]]=TRUE),TRUE,FALSE)</f>
        <v>0</v>
      </c>
    </row>
    <row r="177" spans="1:35" ht="43" x14ac:dyDescent="0.5">
      <c r="A177" s="2">
        <v>176</v>
      </c>
      <c r="B177" s="20" t="s">
        <v>0</v>
      </c>
      <c r="C177" s="20" t="s">
        <v>2931</v>
      </c>
      <c r="D177" s="20" t="s">
        <v>906</v>
      </c>
      <c r="E177" s="20" t="s">
        <v>123</v>
      </c>
      <c r="F177" s="2" t="s">
        <v>123</v>
      </c>
      <c r="G177" s="20" t="s">
        <v>907</v>
      </c>
      <c r="H177" s="36">
        <v>45537</v>
      </c>
      <c r="I177" s="20">
        <v>2024</v>
      </c>
      <c r="J177" s="20" t="s">
        <v>62</v>
      </c>
      <c r="K177" s="20" t="s">
        <v>123</v>
      </c>
      <c r="L177" s="20" t="s">
        <v>2515</v>
      </c>
      <c r="M177" s="20" t="s">
        <v>908</v>
      </c>
      <c r="N177" s="20" t="b">
        <v>1</v>
      </c>
      <c r="O177" s="2" t="b">
        <f>IF(Table1938[[#This Row],[Title]]="",TRUE,FALSE)</f>
        <v>0</v>
      </c>
      <c r="P177" s="2" t="b">
        <f>IF(Table1938[[#This Row],[Author]]="",TRUE,FALSE)</f>
        <v>1</v>
      </c>
      <c r="Q177" s="2" t="b">
        <f>IF(Table1938[[#This Row],[DOI]]&lt;&gt;"", FALSE,TRUE)</f>
        <v>0</v>
      </c>
      <c r="R177" s="2" t="b">
        <f>IF(Table1938[[#This Row],[Abstract]]="",TRUE,FALSE)</f>
        <v>1</v>
      </c>
      <c r="S177" s="2" t="b">
        <f>IF(OR(Table1938[[#This Row],[Document Type]]="book",Table1938[[#This Row],[Document Type]]="bookSection"),TRUE,FALSE)</f>
        <v>0</v>
      </c>
      <c r="T177" s="2" t="b">
        <f>NOT(IF(OR(Table1938[[#This Row],[Language]]&lt;&gt;"en",Table1938[[#This Row],[Language]]&lt;&gt;"EN",Table1938[[#This Row],[Language]]&lt;&gt;"spa",Table1938[[#This Row],[Language]]&lt;&gt;"SPA"),TRUE,FALSE))</f>
        <v>0</v>
      </c>
      <c r="U177" s="2" t="b">
        <f>IF(AND(Table1938[[#This Row],[EC-01]]=FALSE,Table1938[[#This Row],[EC-02]]=FALSE,Table1938[[#This Row],[EC-03]]=FALSE,Table1938[[#This Row],[EC-04]]=FALSE,Table1938[[#This Row],[EC-05]]=FALSE,Table1938[[#This Row],[EC-06]]=FALSE),TRUE,FALSE)</f>
        <v>0</v>
      </c>
      <c r="V177" s="2" t="b">
        <f>IF(Table1938[[#This Row],[Date]]&lt;&gt;"",AND(YEAR(Table1938[[#This Row],[Date]])&gt;=2010, YEAR(Table1938[[#This Row],[Date]])&lt;=2024),FALSE)</f>
        <v>1</v>
      </c>
      <c r="W177" s="2" t="b">
        <f>IF(Table1938[[#This Row],[Date]]&lt;&gt;"",AND(YEAR(Table1938[[#This Row],[Date]])&gt;=2010, YEAR(Table1938[[#This Row],[Date]])&lt;=2020),FALSE)</f>
        <v>0</v>
      </c>
      <c r="X177" s="2" t="b">
        <f>IF(AND(Table1938[[#This Row],[Accesible]]=TRUE,Table1938[[#This Row],[DOI]]&lt;&gt;""),TRUE,FALSE)</f>
        <v>1</v>
      </c>
      <c r="Y177" s="2" t="b">
        <f>OR(Table1938[[#This Row],[Document Type]]="journalArticle",Table1938[[#This Row],[Document Type]]="conferencePaper",Table1938[[#This Row],[Document Type]]="review")</f>
        <v>1</v>
      </c>
      <c r="Z177" s="2" t="b" cm="1">
        <f t="array" ref="Z177">SUMPRODUCT(--ISNUMBER(SEARCH({"dimensional analysis","dimensionless coefficients","Π","Pi","theorem","software","design","tools","development","architecture","similar"}, LOWER(Table1938[[#This Row],[Title]]))))&gt;0</f>
        <v>0</v>
      </c>
      <c r="AA177" s="2" t="b" cm="1">
        <f t="array" ref="AA177">SUMPRODUCT(--ISNUMBER(SEARCH({"dimensional analysis","dimensionless coefficients","Π","Pi","theorem","software","design","tools","development","architecture","similar"}, LOWER(Table1938[[#This Row],[Abstract]]))))&gt;0</f>
        <v>0</v>
      </c>
      <c r="AB177" s="2" t="b">
        <f>AND(OR(Table1938[[#This Row],[IC-01 @2024]:[IC-01 @2020]])=TRUE,Table1938[[#This Row],[IC-02]]=TRUE,Table1938[[#This Row],[IC-03]]=TRUE,Table1938[[#This Row],[IC-04]]=TRUE,Table1938[[#This Row],[IC-05]]=TRUE)</f>
        <v>0</v>
      </c>
      <c r="AC177" s="2" t="b">
        <f>AND(Table1938[[#This Row],[Pass-IC]]=TRUE,Table1938[[#This Row],[Pass-EC]]=TRUE)</f>
        <v>0</v>
      </c>
      <c r="AD177" s="2" t="b">
        <f>COUNTIF($D$25:D177, Table1938[[#This Row],[Title]]) = 1</f>
        <v>1</v>
      </c>
      <c r="AE177" s="2" t="b">
        <f>AND(Table1938[[#This Row],[IC + EC]:[Unique]])</f>
        <v>0</v>
      </c>
      <c r="AF177" s="2" t="b">
        <v>0</v>
      </c>
      <c r="AG177" s="2" t="b">
        <v>0</v>
      </c>
      <c r="AH177" s="2" t="b">
        <v>0</v>
      </c>
      <c r="AI177" s="2" t="b">
        <f>IF(AND(Table1938[[#This Row],[Double Check]]=TRUE,Table1938[[#This Row],[Inspected]]=TRUE,Table1938[[#This Row],[Relevant]]=TRUE),TRUE,FALSE)</f>
        <v>0</v>
      </c>
    </row>
    <row r="178" spans="1:35" ht="28.7" x14ac:dyDescent="0.5">
      <c r="A178" s="2">
        <v>177</v>
      </c>
      <c r="B178" s="20" t="s">
        <v>0</v>
      </c>
      <c r="C178" s="20" t="s">
        <v>2932</v>
      </c>
      <c r="D178" s="20" t="s">
        <v>893</v>
      </c>
      <c r="E178" s="20" t="s">
        <v>123</v>
      </c>
      <c r="F178" s="2" t="s">
        <v>123</v>
      </c>
      <c r="G178" s="20" t="s">
        <v>894</v>
      </c>
      <c r="H178" s="36">
        <v>45522</v>
      </c>
      <c r="I178" s="20">
        <v>2024</v>
      </c>
      <c r="J178" s="20" t="s">
        <v>62</v>
      </c>
      <c r="K178" s="20" t="s">
        <v>123</v>
      </c>
      <c r="L178" s="20" t="s">
        <v>2515</v>
      </c>
      <c r="M178" s="20" t="s">
        <v>895</v>
      </c>
      <c r="N178" s="20" t="b">
        <v>1</v>
      </c>
      <c r="O178" s="2" t="b">
        <f>IF(Table1938[[#This Row],[Title]]="",TRUE,FALSE)</f>
        <v>0</v>
      </c>
      <c r="P178" s="2" t="b">
        <f>IF(Table1938[[#This Row],[Author]]="",TRUE,FALSE)</f>
        <v>1</v>
      </c>
      <c r="Q178" s="2" t="b">
        <f>IF(Table1938[[#This Row],[DOI]]&lt;&gt;"", FALSE,TRUE)</f>
        <v>0</v>
      </c>
      <c r="R178" s="2" t="b">
        <f>IF(Table1938[[#This Row],[Abstract]]="",TRUE,FALSE)</f>
        <v>1</v>
      </c>
      <c r="S178" s="2" t="b">
        <f>IF(OR(Table1938[[#This Row],[Document Type]]="book",Table1938[[#This Row],[Document Type]]="bookSection"),TRUE,FALSE)</f>
        <v>0</v>
      </c>
      <c r="T178" s="2" t="b">
        <f>NOT(IF(OR(Table1938[[#This Row],[Language]]&lt;&gt;"en",Table1938[[#This Row],[Language]]&lt;&gt;"EN",Table1938[[#This Row],[Language]]&lt;&gt;"spa",Table1938[[#This Row],[Language]]&lt;&gt;"SPA"),TRUE,FALSE))</f>
        <v>0</v>
      </c>
      <c r="U178" s="2" t="b">
        <f>IF(AND(Table1938[[#This Row],[EC-01]]=FALSE,Table1938[[#This Row],[EC-02]]=FALSE,Table1938[[#This Row],[EC-03]]=FALSE,Table1938[[#This Row],[EC-04]]=FALSE,Table1938[[#This Row],[EC-05]]=FALSE,Table1938[[#This Row],[EC-06]]=FALSE),TRUE,FALSE)</f>
        <v>0</v>
      </c>
      <c r="V178" s="2" t="b">
        <f>IF(Table1938[[#This Row],[Date]]&lt;&gt;"",AND(YEAR(Table1938[[#This Row],[Date]])&gt;=2010, YEAR(Table1938[[#This Row],[Date]])&lt;=2024),FALSE)</f>
        <v>1</v>
      </c>
      <c r="W178" s="2" t="b">
        <f>IF(Table1938[[#This Row],[Date]]&lt;&gt;"",AND(YEAR(Table1938[[#This Row],[Date]])&gt;=2010, YEAR(Table1938[[#This Row],[Date]])&lt;=2020),FALSE)</f>
        <v>0</v>
      </c>
      <c r="X178" s="2" t="b">
        <f>IF(AND(Table1938[[#This Row],[Accesible]]=TRUE,Table1938[[#This Row],[DOI]]&lt;&gt;""),TRUE,FALSE)</f>
        <v>1</v>
      </c>
      <c r="Y178" s="2" t="b">
        <f>OR(Table1938[[#This Row],[Document Type]]="journalArticle",Table1938[[#This Row],[Document Type]]="conferencePaper",Table1938[[#This Row],[Document Type]]="review")</f>
        <v>1</v>
      </c>
      <c r="Z178" s="2" t="b" cm="1">
        <f t="array" ref="Z178">SUMPRODUCT(--ISNUMBER(SEARCH({"dimensional analysis","dimensionless coefficients","Π","Pi","theorem","software","design","tools","development","architecture","similar"}, LOWER(Table1938[[#This Row],[Title]]))))&gt;0</f>
        <v>0</v>
      </c>
      <c r="AA178" s="2" t="b" cm="1">
        <f t="array" ref="AA178">SUMPRODUCT(--ISNUMBER(SEARCH({"dimensional analysis","dimensionless coefficients","Π","Pi","theorem","software","design","tools","development","architecture","similar"}, LOWER(Table1938[[#This Row],[Abstract]]))))&gt;0</f>
        <v>0</v>
      </c>
      <c r="AB178" s="2" t="b">
        <f>AND(OR(Table1938[[#This Row],[IC-01 @2024]:[IC-01 @2020]])=TRUE,Table1938[[#This Row],[IC-02]]=TRUE,Table1938[[#This Row],[IC-03]]=TRUE,Table1938[[#This Row],[IC-04]]=TRUE,Table1938[[#This Row],[IC-05]]=TRUE)</f>
        <v>0</v>
      </c>
      <c r="AC178" s="2" t="b">
        <f>AND(Table1938[[#This Row],[Pass-IC]]=TRUE,Table1938[[#This Row],[Pass-EC]]=TRUE)</f>
        <v>0</v>
      </c>
      <c r="AD178" s="2" t="b">
        <f>COUNTIF($D$25:D178, Table1938[[#This Row],[Title]]) = 1</f>
        <v>1</v>
      </c>
      <c r="AE178" s="2" t="b">
        <f>AND(Table1938[[#This Row],[IC + EC]:[Unique]])</f>
        <v>0</v>
      </c>
      <c r="AF178" s="2" t="b">
        <v>0</v>
      </c>
      <c r="AG178" s="2" t="b">
        <v>0</v>
      </c>
      <c r="AH178" s="2" t="b">
        <v>0</v>
      </c>
      <c r="AI178" s="2" t="b">
        <f>IF(AND(Table1938[[#This Row],[Double Check]]=TRUE,Table1938[[#This Row],[Inspected]]=TRUE,Table1938[[#This Row],[Relevant]]=TRUE),TRUE,FALSE)</f>
        <v>0</v>
      </c>
    </row>
    <row r="179" spans="1:35" ht="28.7" x14ac:dyDescent="0.5">
      <c r="A179" s="2">
        <v>178</v>
      </c>
      <c r="B179" s="20" t="s">
        <v>0</v>
      </c>
      <c r="C179" s="20" t="s">
        <v>2933</v>
      </c>
      <c r="D179" s="20" t="s">
        <v>912</v>
      </c>
      <c r="E179" s="20" t="s">
        <v>123</v>
      </c>
      <c r="F179" s="2" t="s">
        <v>123</v>
      </c>
      <c r="G179" s="20" t="s">
        <v>913</v>
      </c>
      <c r="H179" s="36">
        <v>45418</v>
      </c>
      <c r="I179" s="20">
        <v>2024</v>
      </c>
      <c r="J179" s="20" t="s">
        <v>62</v>
      </c>
      <c r="K179" s="20" t="s">
        <v>123</v>
      </c>
      <c r="L179" s="20" t="s">
        <v>2515</v>
      </c>
      <c r="M179" s="20" t="s">
        <v>914</v>
      </c>
      <c r="N179" s="20" t="b">
        <v>1</v>
      </c>
      <c r="O179" s="2" t="b">
        <f>IF(Table1938[[#This Row],[Title]]="",TRUE,FALSE)</f>
        <v>0</v>
      </c>
      <c r="P179" s="2" t="b">
        <f>IF(Table1938[[#This Row],[Author]]="",TRUE,FALSE)</f>
        <v>1</v>
      </c>
      <c r="Q179" s="2" t="b">
        <f>IF(Table1938[[#This Row],[DOI]]&lt;&gt;"", FALSE,TRUE)</f>
        <v>0</v>
      </c>
      <c r="R179" s="2" t="b">
        <f>IF(Table1938[[#This Row],[Abstract]]="",TRUE,FALSE)</f>
        <v>1</v>
      </c>
      <c r="S179" s="2" t="b">
        <f>IF(OR(Table1938[[#This Row],[Document Type]]="book",Table1938[[#This Row],[Document Type]]="bookSection"),TRUE,FALSE)</f>
        <v>0</v>
      </c>
      <c r="T179" s="2" t="b">
        <f>NOT(IF(OR(Table1938[[#This Row],[Language]]&lt;&gt;"en",Table1938[[#This Row],[Language]]&lt;&gt;"EN",Table1938[[#This Row],[Language]]&lt;&gt;"spa",Table1938[[#This Row],[Language]]&lt;&gt;"SPA"),TRUE,FALSE))</f>
        <v>0</v>
      </c>
      <c r="U179" s="2" t="b">
        <f>IF(AND(Table1938[[#This Row],[EC-01]]=FALSE,Table1938[[#This Row],[EC-02]]=FALSE,Table1938[[#This Row],[EC-03]]=FALSE,Table1938[[#This Row],[EC-04]]=FALSE,Table1938[[#This Row],[EC-05]]=FALSE,Table1938[[#This Row],[EC-06]]=FALSE),TRUE,FALSE)</f>
        <v>0</v>
      </c>
      <c r="V179" s="2" t="b">
        <f>IF(Table1938[[#This Row],[Date]]&lt;&gt;"",AND(YEAR(Table1938[[#This Row],[Date]])&gt;=2010, YEAR(Table1938[[#This Row],[Date]])&lt;=2024),FALSE)</f>
        <v>1</v>
      </c>
      <c r="W179" s="2" t="b">
        <f>IF(Table1938[[#This Row],[Date]]&lt;&gt;"",AND(YEAR(Table1938[[#This Row],[Date]])&gt;=2010, YEAR(Table1938[[#This Row],[Date]])&lt;=2020),FALSE)</f>
        <v>0</v>
      </c>
      <c r="X179" s="2" t="b">
        <f>IF(AND(Table1938[[#This Row],[Accesible]]=TRUE,Table1938[[#This Row],[DOI]]&lt;&gt;""),TRUE,FALSE)</f>
        <v>1</v>
      </c>
      <c r="Y179" s="2" t="b">
        <f>OR(Table1938[[#This Row],[Document Type]]="journalArticle",Table1938[[#This Row],[Document Type]]="conferencePaper",Table1938[[#This Row],[Document Type]]="review")</f>
        <v>1</v>
      </c>
      <c r="Z179" s="2" t="b" cm="1">
        <f t="array" ref="Z179">SUMPRODUCT(--ISNUMBER(SEARCH({"dimensional analysis","dimensionless coefficients","Π","Pi","theorem","software","design","tools","development","architecture","similar"}, LOWER(Table1938[[#This Row],[Title]]))))&gt;0</f>
        <v>0</v>
      </c>
      <c r="AA179" s="2" t="b" cm="1">
        <f t="array" ref="AA179">SUMPRODUCT(--ISNUMBER(SEARCH({"dimensional analysis","dimensionless coefficients","Π","Pi","theorem","software","design","tools","development","architecture","similar"}, LOWER(Table1938[[#This Row],[Abstract]]))))&gt;0</f>
        <v>0</v>
      </c>
      <c r="AB179" s="2" t="b">
        <f>AND(OR(Table1938[[#This Row],[IC-01 @2024]:[IC-01 @2020]])=TRUE,Table1938[[#This Row],[IC-02]]=TRUE,Table1938[[#This Row],[IC-03]]=TRUE,Table1938[[#This Row],[IC-04]]=TRUE,Table1938[[#This Row],[IC-05]]=TRUE)</f>
        <v>0</v>
      </c>
      <c r="AC179" s="2" t="b">
        <f>AND(Table1938[[#This Row],[Pass-IC]]=TRUE,Table1938[[#This Row],[Pass-EC]]=TRUE)</f>
        <v>0</v>
      </c>
      <c r="AD179" s="2" t="b">
        <f>COUNTIF($D$25:D179, Table1938[[#This Row],[Title]]) = 1</f>
        <v>1</v>
      </c>
      <c r="AE179" s="2" t="b">
        <f>AND(Table1938[[#This Row],[IC + EC]:[Unique]])</f>
        <v>0</v>
      </c>
      <c r="AF179" s="2" t="b">
        <v>0</v>
      </c>
      <c r="AG179" s="2" t="b">
        <v>0</v>
      </c>
      <c r="AH179" s="2" t="b">
        <v>0</v>
      </c>
      <c r="AI179" s="2" t="b">
        <f>IF(AND(Table1938[[#This Row],[Double Check]]=TRUE,Table1938[[#This Row],[Inspected]]=TRUE,Table1938[[#This Row],[Relevant]]=TRUE),TRUE,FALSE)</f>
        <v>0</v>
      </c>
    </row>
    <row r="180" spans="1:35" ht="57.35" x14ac:dyDescent="0.5">
      <c r="A180" s="2">
        <v>179</v>
      </c>
      <c r="B180" s="20" t="s">
        <v>0</v>
      </c>
      <c r="C180" s="20" t="s">
        <v>2934</v>
      </c>
      <c r="D180" s="20" t="s">
        <v>865</v>
      </c>
      <c r="E180" s="20" t="s">
        <v>864</v>
      </c>
      <c r="F180" s="2" t="s">
        <v>867</v>
      </c>
      <c r="G180" s="20" t="s">
        <v>855</v>
      </c>
      <c r="H180" s="36">
        <v>45292</v>
      </c>
      <c r="I180" s="20">
        <v>2024</v>
      </c>
      <c r="J180" s="20" t="s">
        <v>61</v>
      </c>
      <c r="K180" s="20" t="s">
        <v>2935</v>
      </c>
      <c r="L180" s="20" t="s">
        <v>2515</v>
      </c>
      <c r="M180" s="20" t="s">
        <v>866</v>
      </c>
      <c r="N180" s="20" t="b">
        <v>1</v>
      </c>
      <c r="O180" s="2" t="b">
        <f>IF(Table1938[[#This Row],[Title]]="",TRUE,FALSE)</f>
        <v>0</v>
      </c>
      <c r="P180" s="2" t="b">
        <f>IF(Table1938[[#This Row],[Author]]="",TRUE,FALSE)</f>
        <v>0</v>
      </c>
      <c r="Q180" s="2" t="b">
        <f>IF(Table1938[[#This Row],[DOI]]&lt;&gt;"", FALSE,TRUE)</f>
        <v>0</v>
      </c>
      <c r="R180" s="2" t="b">
        <f>IF(Table1938[[#This Row],[Abstract]]="",TRUE,FALSE)</f>
        <v>0</v>
      </c>
      <c r="S180" s="2" t="b">
        <f>IF(OR(Table1938[[#This Row],[Document Type]]="book",Table1938[[#This Row],[Document Type]]="bookSection"),TRUE,FALSE)</f>
        <v>0</v>
      </c>
      <c r="T180" s="2" t="b">
        <f>NOT(IF(OR(Table1938[[#This Row],[Language]]&lt;&gt;"en",Table1938[[#This Row],[Language]]&lt;&gt;"EN",Table1938[[#This Row],[Language]]&lt;&gt;"spa",Table1938[[#This Row],[Language]]&lt;&gt;"SPA"),TRUE,FALSE))</f>
        <v>0</v>
      </c>
      <c r="U180" s="2" t="b">
        <f>IF(AND(Table1938[[#This Row],[EC-01]]=FALSE,Table1938[[#This Row],[EC-02]]=FALSE,Table1938[[#This Row],[EC-03]]=FALSE,Table1938[[#This Row],[EC-04]]=FALSE,Table1938[[#This Row],[EC-05]]=FALSE,Table1938[[#This Row],[EC-06]]=FALSE),TRUE,FALSE)</f>
        <v>1</v>
      </c>
      <c r="V180" s="2" t="b">
        <f>IF(Table1938[[#This Row],[Date]]&lt;&gt;"",AND(YEAR(Table1938[[#This Row],[Date]])&gt;=2010, YEAR(Table1938[[#This Row],[Date]])&lt;=2024),FALSE)</f>
        <v>1</v>
      </c>
      <c r="W180" s="2" t="b">
        <f>IF(Table1938[[#This Row],[Date]]&lt;&gt;"",AND(YEAR(Table1938[[#This Row],[Date]])&gt;=2010, YEAR(Table1938[[#This Row],[Date]])&lt;=2020),FALSE)</f>
        <v>0</v>
      </c>
      <c r="X180" s="2" t="b">
        <f>IF(AND(Table1938[[#This Row],[Accesible]]=TRUE,Table1938[[#This Row],[DOI]]&lt;&gt;""),TRUE,FALSE)</f>
        <v>1</v>
      </c>
      <c r="Y180" s="2" t="b">
        <f>OR(Table1938[[#This Row],[Document Type]]="journalArticle",Table1938[[#This Row],[Document Type]]="conferencePaper",Table1938[[#This Row],[Document Type]]="review")</f>
        <v>1</v>
      </c>
      <c r="Z180" s="2" t="b" cm="1">
        <f t="array" ref="Z180">SUMPRODUCT(--ISNUMBER(SEARCH({"dimensional analysis","dimensionless coefficients","Π","Pi","theorem","software","design","tools","development","architecture","similar"}, LOWER(Table1938[[#This Row],[Title]]))))&gt;0</f>
        <v>0</v>
      </c>
      <c r="AA180" s="2" t="b" cm="1">
        <f t="array" ref="AA180">SUMPRODUCT(--ISNUMBER(SEARCH({"dimensional analysis","dimensionless coefficients","Π","Pi","theorem","software","design","tools","development","architecture","similar"}, LOWER(Table1938[[#This Row],[Abstract]]))))&gt;0</f>
        <v>1</v>
      </c>
      <c r="AB180" s="2" t="b">
        <f>AND(OR(Table1938[[#This Row],[IC-01 @2024]:[IC-01 @2020]])=TRUE,Table1938[[#This Row],[IC-02]]=TRUE,Table1938[[#This Row],[IC-03]]=TRUE,Table1938[[#This Row],[IC-04]]=TRUE,Table1938[[#This Row],[IC-05]]=TRUE)</f>
        <v>0</v>
      </c>
      <c r="AC180" s="2" t="b">
        <f>AND(Table1938[[#This Row],[Pass-IC]]=TRUE,Table1938[[#This Row],[Pass-EC]]=TRUE)</f>
        <v>0</v>
      </c>
      <c r="AD180" s="2" t="b">
        <f>COUNTIF($D$25:D180, Table1938[[#This Row],[Title]]) = 1</f>
        <v>1</v>
      </c>
      <c r="AE180" s="2" t="b">
        <f>AND(Table1938[[#This Row],[IC + EC]:[Unique]])</f>
        <v>0</v>
      </c>
      <c r="AF180" s="2" t="b">
        <v>0</v>
      </c>
      <c r="AG180" s="2" t="b">
        <v>0</v>
      </c>
      <c r="AH180" s="2" t="b">
        <v>0</v>
      </c>
      <c r="AI180" s="2" t="b">
        <f>IF(AND(Table1938[[#This Row],[Double Check]]=TRUE,Table1938[[#This Row],[Inspected]]=TRUE,Table1938[[#This Row],[Relevant]]=TRUE),TRUE,FALSE)</f>
        <v>0</v>
      </c>
    </row>
    <row r="181" spans="1:35" ht="71.7" x14ac:dyDescent="0.5">
      <c r="A181" s="2">
        <v>180</v>
      </c>
      <c r="B181" s="20" t="s">
        <v>0</v>
      </c>
      <c r="C181" s="20" t="s">
        <v>2936</v>
      </c>
      <c r="D181" s="20" t="s">
        <v>870</v>
      </c>
      <c r="E181" s="20" t="s">
        <v>869</v>
      </c>
      <c r="F181" s="2" t="s">
        <v>872</v>
      </c>
      <c r="G181" s="20" t="s">
        <v>855</v>
      </c>
      <c r="H181" s="36">
        <v>45292</v>
      </c>
      <c r="I181" s="20">
        <v>2024</v>
      </c>
      <c r="J181" s="20" t="s">
        <v>61</v>
      </c>
      <c r="K181" s="20" t="s">
        <v>2937</v>
      </c>
      <c r="L181" s="20" t="s">
        <v>2515</v>
      </c>
      <c r="M181" s="20" t="s">
        <v>871</v>
      </c>
      <c r="N181" s="20" t="b">
        <v>1</v>
      </c>
      <c r="O181" s="2" t="b">
        <f>IF(Table1938[[#This Row],[Title]]="",TRUE,FALSE)</f>
        <v>0</v>
      </c>
      <c r="P181" s="2" t="b">
        <f>IF(Table1938[[#This Row],[Author]]="",TRUE,FALSE)</f>
        <v>0</v>
      </c>
      <c r="Q181" s="2" t="b">
        <f>IF(Table1938[[#This Row],[DOI]]&lt;&gt;"", FALSE,TRUE)</f>
        <v>0</v>
      </c>
      <c r="R181" s="2" t="b">
        <f>IF(Table1938[[#This Row],[Abstract]]="",TRUE,FALSE)</f>
        <v>0</v>
      </c>
      <c r="S181" s="2" t="b">
        <f>IF(OR(Table1938[[#This Row],[Document Type]]="book",Table1938[[#This Row],[Document Type]]="bookSection"),TRUE,FALSE)</f>
        <v>0</v>
      </c>
      <c r="T181" s="2" t="b">
        <f>NOT(IF(OR(Table1938[[#This Row],[Language]]&lt;&gt;"en",Table1938[[#This Row],[Language]]&lt;&gt;"EN",Table1938[[#This Row],[Language]]&lt;&gt;"spa",Table1938[[#This Row],[Language]]&lt;&gt;"SPA"),TRUE,FALSE))</f>
        <v>0</v>
      </c>
      <c r="U181" s="2" t="b">
        <f>IF(AND(Table1938[[#This Row],[EC-01]]=FALSE,Table1938[[#This Row],[EC-02]]=FALSE,Table1938[[#This Row],[EC-03]]=FALSE,Table1938[[#This Row],[EC-04]]=FALSE,Table1938[[#This Row],[EC-05]]=FALSE,Table1938[[#This Row],[EC-06]]=FALSE),TRUE,FALSE)</f>
        <v>1</v>
      </c>
      <c r="V181" s="2" t="b">
        <f>IF(Table1938[[#This Row],[Date]]&lt;&gt;"",AND(YEAR(Table1938[[#This Row],[Date]])&gt;=2010, YEAR(Table1938[[#This Row],[Date]])&lt;=2024),FALSE)</f>
        <v>1</v>
      </c>
      <c r="W181" s="2" t="b">
        <f>IF(Table1938[[#This Row],[Date]]&lt;&gt;"",AND(YEAR(Table1938[[#This Row],[Date]])&gt;=2010, YEAR(Table1938[[#This Row],[Date]])&lt;=2020),FALSE)</f>
        <v>0</v>
      </c>
      <c r="X181" s="2" t="b">
        <f>IF(AND(Table1938[[#This Row],[Accesible]]=TRUE,Table1938[[#This Row],[DOI]]&lt;&gt;""),TRUE,FALSE)</f>
        <v>1</v>
      </c>
      <c r="Y181" s="2" t="b">
        <f>OR(Table1938[[#This Row],[Document Type]]="journalArticle",Table1938[[#This Row],[Document Type]]="conferencePaper",Table1938[[#This Row],[Document Type]]="review")</f>
        <v>1</v>
      </c>
      <c r="Z181" s="2" t="b" cm="1">
        <f t="array" ref="Z181">SUMPRODUCT(--ISNUMBER(SEARCH({"dimensional analysis","dimensionless coefficients","Π","Pi","theorem","software","design","tools","development","architecture","similar"}, LOWER(Table1938[[#This Row],[Title]]))))&gt;0</f>
        <v>0</v>
      </c>
      <c r="AA181" s="2" t="b" cm="1">
        <f t="array" ref="AA181">SUMPRODUCT(--ISNUMBER(SEARCH({"dimensional analysis","dimensionless coefficients","Π","Pi","theorem","software","design","tools","development","architecture","similar"}, LOWER(Table1938[[#This Row],[Abstract]]))))&gt;0</f>
        <v>1</v>
      </c>
      <c r="AB181" s="2" t="b">
        <f>AND(OR(Table1938[[#This Row],[IC-01 @2024]:[IC-01 @2020]])=TRUE,Table1938[[#This Row],[IC-02]]=TRUE,Table1938[[#This Row],[IC-03]]=TRUE,Table1938[[#This Row],[IC-04]]=TRUE,Table1938[[#This Row],[IC-05]]=TRUE)</f>
        <v>0</v>
      </c>
      <c r="AC181" s="2" t="b">
        <f>AND(Table1938[[#This Row],[Pass-IC]]=TRUE,Table1938[[#This Row],[Pass-EC]]=TRUE)</f>
        <v>0</v>
      </c>
      <c r="AD181" s="2" t="b">
        <f>COUNTIF($D$25:D181, Table1938[[#This Row],[Title]]) = 1</f>
        <v>1</v>
      </c>
      <c r="AE181" s="2" t="b">
        <f>AND(Table1938[[#This Row],[IC + EC]:[Unique]])</f>
        <v>0</v>
      </c>
      <c r="AF181" s="2" t="b">
        <v>0</v>
      </c>
      <c r="AG181" s="2" t="b">
        <v>0</v>
      </c>
      <c r="AH181" s="2" t="b">
        <v>0</v>
      </c>
      <c r="AI181" s="2" t="b">
        <f>IF(AND(Table1938[[#This Row],[Double Check]]=TRUE,Table1938[[#This Row],[Inspected]]=TRUE,Table1938[[#This Row],[Relevant]]=TRUE),TRUE,FALSE)</f>
        <v>0</v>
      </c>
    </row>
    <row r="182" spans="1:35" ht="86" x14ac:dyDescent="0.5">
      <c r="A182" s="2">
        <v>181</v>
      </c>
      <c r="B182" s="20" t="s">
        <v>0</v>
      </c>
      <c r="C182" s="20" t="s">
        <v>2938</v>
      </c>
      <c r="D182" s="20" t="s">
        <v>408</v>
      </c>
      <c r="E182" s="20" t="s">
        <v>123</v>
      </c>
      <c r="F182" s="2" t="s">
        <v>423</v>
      </c>
      <c r="G182" s="20" t="s">
        <v>859</v>
      </c>
      <c r="H182" s="36">
        <v>44182</v>
      </c>
      <c r="I182" s="20">
        <v>2020</v>
      </c>
      <c r="J182" s="20" t="s">
        <v>62</v>
      </c>
      <c r="K182" s="20" t="s">
        <v>123</v>
      </c>
      <c r="L182" s="20" t="s">
        <v>2515</v>
      </c>
      <c r="M182" s="20" t="s">
        <v>435</v>
      </c>
      <c r="N182" s="20" t="b">
        <v>1</v>
      </c>
      <c r="O182" s="2" t="b">
        <f>IF(Table1938[[#This Row],[Title]]="",TRUE,FALSE)</f>
        <v>0</v>
      </c>
      <c r="P182" s="2" t="b">
        <f>IF(Table1938[[#This Row],[Author]]="",TRUE,FALSE)</f>
        <v>1</v>
      </c>
      <c r="Q182" s="2" t="b">
        <f>IF(Table1938[[#This Row],[DOI]]&lt;&gt;"", FALSE,TRUE)</f>
        <v>0</v>
      </c>
      <c r="R182" s="2" t="b">
        <f>IF(Table1938[[#This Row],[Abstract]]="",TRUE,FALSE)</f>
        <v>0</v>
      </c>
      <c r="S182" s="2" t="b">
        <f>IF(OR(Table1938[[#This Row],[Document Type]]="book",Table1938[[#This Row],[Document Type]]="bookSection"),TRUE,FALSE)</f>
        <v>0</v>
      </c>
      <c r="T182" s="2" t="b">
        <f>NOT(IF(OR(Table1938[[#This Row],[Language]]&lt;&gt;"en",Table1938[[#This Row],[Language]]&lt;&gt;"EN",Table1938[[#This Row],[Language]]&lt;&gt;"spa",Table1938[[#This Row],[Language]]&lt;&gt;"SPA"),TRUE,FALSE))</f>
        <v>0</v>
      </c>
      <c r="U182" s="2" t="b">
        <f>IF(AND(Table1938[[#This Row],[EC-01]]=FALSE,Table1938[[#This Row],[EC-02]]=FALSE,Table1938[[#This Row],[EC-03]]=FALSE,Table1938[[#This Row],[EC-04]]=FALSE,Table1938[[#This Row],[EC-05]]=FALSE,Table1938[[#This Row],[EC-06]]=FALSE),TRUE,FALSE)</f>
        <v>0</v>
      </c>
      <c r="V182" s="2" t="b">
        <f>IF(Table1938[[#This Row],[Date]]&lt;&gt;"",AND(YEAR(Table1938[[#This Row],[Date]])&gt;=2010, YEAR(Table1938[[#This Row],[Date]])&lt;=2024),FALSE)</f>
        <v>1</v>
      </c>
      <c r="W182" s="2" t="b">
        <f>IF(Table1938[[#This Row],[Date]]&lt;&gt;"",AND(YEAR(Table1938[[#This Row],[Date]])&gt;=2010, YEAR(Table1938[[#This Row],[Date]])&lt;=2020),FALSE)</f>
        <v>1</v>
      </c>
      <c r="X182" s="2" t="b">
        <f>IF(AND(Table1938[[#This Row],[Accesible]]=TRUE,Table1938[[#This Row],[DOI]]&lt;&gt;""),TRUE,FALSE)</f>
        <v>1</v>
      </c>
      <c r="Y182" s="2" t="b">
        <f>OR(Table1938[[#This Row],[Document Type]]="journalArticle",Table1938[[#This Row],[Document Type]]="conferencePaper",Table1938[[#This Row],[Document Type]]="review")</f>
        <v>1</v>
      </c>
      <c r="Z182" s="2" t="b" cm="1">
        <f t="array" ref="Z182">SUMPRODUCT(--ISNUMBER(SEARCH({"dimensional analysis","dimensionless coefficients","Π","Pi","theorem","software","design","tools","development","architecture","similar"}, LOWER(Table1938[[#This Row],[Title]]))))&gt;0</f>
        <v>0</v>
      </c>
      <c r="AA182" s="2" t="b" cm="1">
        <f t="array" ref="AA182">SUMPRODUCT(--ISNUMBER(SEARCH({"dimensional analysis","dimensionless coefficients","Π","Pi","theorem","software","design","tools","development","architecture","similar"}, LOWER(Table1938[[#This Row],[Abstract]]))))&gt;0</f>
        <v>0</v>
      </c>
      <c r="AB182" s="2" t="b">
        <f>AND(OR(Table1938[[#This Row],[IC-01 @2024]:[IC-01 @2020]])=TRUE,Table1938[[#This Row],[IC-02]]=TRUE,Table1938[[#This Row],[IC-03]]=TRUE,Table1938[[#This Row],[IC-04]]=TRUE,Table1938[[#This Row],[IC-05]]=TRUE)</f>
        <v>0</v>
      </c>
      <c r="AC182" s="2" t="b">
        <f>AND(Table1938[[#This Row],[Pass-IC]]=TRUE,Table1938[[#This Row],[Pass-EC]]=TRUE)</f>
        <v>0</v>
      </c>
      <c r="AD182" s="2" t="b">
        <f>COUNTIF($D$25:D182, Table1938[[#This Row],[Title]]) = 1</f>
        <v>0</v>
      </c>
      <c r="AE182" s="2" t="b">
        <f>AND(Table1938[[#This Row],[IC + EC]:[Unique]])</f>
        <v>0</v>
      </c>
      <c r="AF182" s="2" t="b">
        <v>0</v>
      </c>
      <c r="AG182" s="2" t="b">
        <v>0</v>
      </c>
      <c r="AH182" s="2" t="b">
        <v>0</v>
      </c>
      <c r="AI182" s="2" t="b">
        <f>IF(AND(Table1938[[#This Row],[Double Check]]=TRUE,Table1938[[#This Row],[Inspected]]=TRUE,Table1938[[#This Row],[Relevant]]=TRUE),TRUE,FALSE)</f>
        <v>0</v>
      </c>
    </row>
    <row r="183" spans="1:35" ht="43" x14ac:dyDescent="0.5">
      <c r="A183" s="2">
        <v>182</v>
      </c>
      <c r="B183" s="20" t="s">
        <v>0</v>
      </c>
      <c r="C183" s="20" t="s">
        <v>2939</v>
      </c>
      <c r="D183" s="20" t="s">
        <v>909</v>
      </c>
      <c r="E183" s="20" t="s">
        <v>123</v>
      </c>
      <c r="F183" s="2" t="s">
        <v>123</v>
      </c>
      <c r="G183" s="20" t="s">
        <v>910</v>
      </c>
      <c r="H183" s="36">
        <v>45081</v>
      </c>
      <c r="I183" s="20">
        <v>2023</v>
      </c>
      <c r="J183" s="20" t="s">
        <v>62</v>
      </c>
      <c r="K183" s="20" t="s">
        <v>123</v>
      </c>
      <c r="L183" s="20" t="s">
        <v>2515</v>
      </c>
      <c r="M183" s="20" t="s">
        <v>911</v>
      </c>
      <c r="N183" s="20" t="b">
        <v>1</v>
      </c>
      <c r="O183" s="2" t="b">
        <f>IF(Table1938[[#This Row],[Title]]="",TRUE,FALSE)</f>
        <v>0</v>
      </c>
      <c r="P183" s="2" t="b">
        <f>IF(Table1938[[#This Row],[Author]]="",TRUE,FALSE)</f>
        <v>1</v>
      </c>
      <c r="Q183" s="2" t="b">
        <f>IF(Table1938[[#This Row],[DOI]]&lt;&gt;"", FALSE,TRUE)</f>
        <v>0</v>
      </c>
      <c r="R183" s="2" t="b">
        <f>IF(Table1938[[#This Row],[Abstract]]="",TRUE,FALSE)</f>
        <v>1</v>
      </c>
      <c r="S183" s="2" t="b">
        <f>IF(OR(Table1938[[#This Row],[Document Type]]="book",Table1938[[#This Row],[Document Type]]="bookSection"),TRUE,FALSE)</f>
        <v>0</v>
      </c>
      <c r="T183" s="2" t="b">
        <f>NOT(IF(OR(Table1938[[#This Row],[Language]]&lt;&gt;"en",Table1938[[#This Row],[Language]]&lt;&gt;"EN",Table1938[[#This Row],[Language]]&lt;&gt;"spa",Table1938[[#This Row],[Language]]&lt;&gt;"SPA"),TRUE,FALSE))</f>
        <v>0</v>
      </c>
      <c r="U183" s="2" t="b">
        <f>IF(AND(Table1938[[#This Row],[EC-01]]=FALSE,Table1938[[#This Row],[EC-02]]=FALSE,Table1938[[#This Row],[EC-03]]=FALSE,Table1938[[#This Row],[EC-04]]=FALSE,Table1938[[#This Row],[EC-05]]=FALSE,Table1938[[#This Row],[EC-06]]=FALSE),TRUE,FALSE)</f>
        <v>0</v>
      </c>
      <c r="V183" s="2" t="b">
        <f>IF(Table1938[[#This Row],[Date]]&lt;&gt;"",AND(YEAR(Table1938[[#This Row],[Date]])&gt;=2010, YEAR(Table1938[[#This Row],[Date]])&lt;=2024),FALSE)</f>
        <v>1</v>
      </c>
      <c r="W183" s="2" t="b">
        <f>IF(Table1938[[#This Row],[Date]]&lt;&gt;"",AND(YEAR(Table1938[[#This Row],[Date]])&gt;=2010, YEAR(Table1938[[#This Row],[Date]])&lt;=2020),FALSE)</f>
        <v>0</v>
      </c>
      <c r="X183" s="2" t="b">
        <f>IF(AND(Table1938[[#This Row],[Accesible]]=TRUE,Table1938[[#This Row],[DOI]]&lt;&gt;""),TRUE,FALSE)</f>
        <v>1</v>
      </c>
      <c r="Y183" s="2" t="b">
        <f>OR(Table1938[[#This Row],[Document Type]]="journalArticle",Table1938[[#This Row],[Document Type]]="conferencePaper",Table1938[[#This Row],[Document Type]]="review")</f>
        <v>1</v>
      </c>
      <c r="Z183" s="2" t="b" cm="1">
        <f t="array" ref="Z183">SUMPRODUCT(--ISNUMBER(SEARCH({"dimensional analysis","dimensionless coefficients","Π","Pi","theorem","software","design","tools","development","architecture","similar"}, LOWER(Table1938[[#This Row],[Title]]))))&gt;0</f>
        <v>0</v>
      </c>
      <c r="AA183" s="2" t="b" cm="1">
        <f t="array" ref="AA183">SUMPRODUCT(--ISNUMBER(SEARCH({"dimensional analysis","dimensionless coefficients","Π","Pi","theorem","software","design","tools","development","architecture","similar"}, LOWER(Table1938[[#This Row],[Abstract]]))))&gt;0</f>
        <v>0</v>
      </c>
      <c r="AB183" s="2" t="b">
        <f>AND(OR(Table1938[[#This Row],[IC-01 @2024]:[IC-01 @2020]])=TRUE,Table1938[[#This Row],[IC-02]]=TRUE,Table1938[[#This Row],[IC-03]]=TRUE,Table1938[[#This Row],[IC-04]]=TRUE,Table1938[[#This Row],[IC-05]]=TRUE)</f>
        <v>0</v>
      </c>
      <c r="AC183" s="2" t="b">
        <f>AND(Table1938[[#This Row],[Pass-IC]]=TRUE,Table1938[[#This Row],[Pass-EC]]=TRUE)</f>
        <v>0</v>
      </c>
      <c r="AD183" s="2" t="b">
        <f>COUNTIF($D$25:D183, Table1938[[#This Row],[Title]]) = 1</f>
        <v>1</v>
      </c>
      <c r="AE183" s="2" t="b">
        <f>AND(Table1938[[#This Row],[IC + EC]:[Unique]])</f>
        <v>0</v>
      </c>
      <c r="AF183" s="2" t="b">
        <v>0</v>
      </c>
      <c r="AG183" s="2" t="b">
        <v>0</v>
      </c>
      <c r="AH183" s="2" t="b">
        <v>0</v>
      </c>
      <c r="AI183" s="2" t="b">
        <f>IF(AND(Table1938[[#This Row],[Double Check]]=TRUE,Table1938[[#This Row],[Inspected]]=TRUE,Table1938[[#This Row],[Relevant]]=TRUE),TRUE,FALSE)</f>
        <v>0</v>
      </c>
    </row>
    <row r="184" spans="1:35" ht="43" x14ac:dyDescent="0.5">
      <c r="A184" s="2">
        <v>183</v>
      </c>
      <c r="B184" s="20" t="s">
        <v>0</v>
      </c>
      <c r="C184" s="20" t="s">
        <v>2940</v>
      </c>
      <c r="D184" s="20" t="s">
        <v>401</v>
      </c>
      <c r="E184" s="20" t="s">
        <v>856</v>
      </c>
      <c r="F184" s="2" t="s">
        <v>416</v>
      </c>
      <c r="G184" s="20" t="s">
        <v>855</v>
      </c>
      <c r="H184" s="36">
        <v>43101</v>
      </c>
      <c r="I184" s="20">
        <v>2018</v>
      </c>
      <c r="J184" s="20" t="s">
        <v>61</v>
      </c>
      <c r="K184" s="20" t="s">
        <v>2941</v>
      </c>
      <c r="L184" s="20" t="s">
        <v>2515</v>
      </c>
      <c r="M184" s="20" t="s">
        <v>428</v>
      </c>
      <c r="N184" s="20" t="b">
        <v>1</v>
      </c>
      <c r="O184" s="2" t="b">
        <f>IF(Table1938[[#This Row],[Title]]="",TRUE,FALSE)</f>
        <v>0</v>
      </c>
      <c r="P184" s="2" t="b">
        <f>IF(Table1938[[#This Row],[Author]]="",TRUE,FALSE)</f>
        <v>0</v>
      </c>
      <c r="Q184" s="2" t="b">
        <f>IF(Table1938[[#This Row],[DOI]]&lt;&gt;"", FALSE,TRUE)</f>
        <v>0</v>
      </c>
      <c r="R184" s="2" t="b">
        <f>IF(Table1938[[#This Row],[Abstract]]="",TRUE,FALSE)</f>
        <v>0</v>
      </c>
      <c r="S184" s="2" t="b">
        <f>IF(OR(Table1938[[#This Row],[Document Type]]="book",Table1938[[#This Row],[Document Type]]="bookSection"),TRUE,FALSE)</f>
        <v>0</v>
      </c>
      <c r="T184" s="2" t="b">
        <f>NOT(IF(OR(Table1938[[#This Row],[Language]]&lt;&gt;"en",Table1938[[#This Row],[Language]]&lt;&gt;"EN",Table1938[[#This Row],[Language]]&lt;&gt;"spa",Table1938[[#This Row],[Language]]&lt;&gt;"SPA"),TRUE,FALSE))</f>
        <v>0</v>
      </c>
      <c r="U184" s="2" t="b">
        <f>IF(AND(Table1938[[#This Row],[EC-01]]=FALSE,Table1938[[#This Row],[EC-02]]=FALSE,Table1938[[#This Row],[EC-03]]=FALSE,Table1938[[#This Row],[EC-04]]=FALSE,Table1938[[#This Row],[EC-05]]=FALSE,Table1938[[#This Row],[EC-06]]=FALSE),TRUE,FALSE)</f>
        <v>1</v>
      </c>
      <c r="V184" s="2" t="b">
        <f>IF(Table1938[[#This Row],[Date]]&lt;&gt;"",AND(YEAR(Table1938[[#This Row],[Date]])&gt;=2010, YEAR(Table1938[[#This Row],[Date]])&lt;=2024),FALSE)</f>
        <v>1</v>
      </c>
      <c r="W184" s="2" t="b">
        <f>IF(Table1938[[#This Row],[Date]]&lt;&gt;"",AND(YEAR(Table1938[[#This Row],[Date]])&gt;=2010, YEAR(Table1938[[#This Row],[Date]])&lt;=2020),FALSE)</f>
        <v>1</v>
      </c>
      <c r="X184" s="2" t="b">
        <f>IF(AND(Table1938[[#This Row],[Accesible]]=TRUE,Table1938[[#This Row],[DOI]]&lt;&gt;""),TRUE,FALSE)</f>
        <v>1</v>
      </c>
      <c r="Y184" s="2" t="b">
        <f>OR(Table1938[[#This Row],[Document Type]]="journalArticle",Table1938[[#This Row],[Document Type]]="conferencePaper",Table1938[[#This Row],[Document Type]]="review")</f>
        <v>1</v>
      </c>
      <c r="Z184" s="2" t="b" cm="1">
        <f t="array" ref="Z184">SUMPRODUCT(--ISNUMBER(SEARCH({"dimensional analysis","dimensionless coefficients","Π","Pi","theorem","software","design","tools","development","architecture","similar"}, LOWER(Table1938[[#This Row],[Title]]))))&gt;0</f>
        <v>1</v>
      </c>
      <c r="AA184" s="2" t="b" cm="1">
        <f t="array" ref="AA184">SUMPRODUCT(--ISNUMBER(SEARCH({"dimensional analysis","dimensionless coefficients","Π","Pi","theorem","software","design","tools","development","architecture","similar"}, LOWER(Table1938[[#This Row],[Abstract]]))))&gt;0</f>
        <v>1</v>
      </c>
      <c r="AB184" s="2" t="b">
        <f>AND(OR(Table1938[[#This Row],[IC-01 @2024]:[IC-01 @2020]])=TRUE,Table1938[[#This Row],[IC-02]]=TRUE,Table1938[[#This Row],[IC-03]]=TRUE,Table1938[[#This Row],[IC-04]]=TRUE,Table1938[[#This Row],[IC-05]]=TRUE)</f>
        <v>1</v>
      </c>
      <c r="AC184" s="2" t="b">
        <f>AND(Table1938[[#This Row],[Pass-IC]]=TRUE,Table1938[[#This Row],[Pass-EC]]=TRUE)</f>
        <v>1</v>
      </c>
      <c r="AD184" s="2" t="b">
        <f>COUNTIF($D$25:D184, Table1938[[#This Row],[Title]]) = 1</f>
        <v>1</v>
      </c>
      <c r="AE184" s="2" t="b">
        <f>AND(Table1938[[#This Row],[IC + EC]:[Unique]])</f>
        <v>1</v>
      </c>
      <c r="AF184" s="2" t="b">
        <v>1</v>
      </c>
      <c r="AG184" s="2" t="b">
        <v>0</v>
      </c>
      <c r="AH184" s="2" t="b">
        <v>0</v>
      </c>
      <c r="AI184" s="2" t="b">
        <f>IF(AND(Table1938[[#This Row],[Double Check]]=TRUE,Table1938[[#This Row],[Inspected]]=TRUE,Table1938[[#This Row],[Relevant]]=TRUE),TRUE,FALSE)</f>
        <v>0</v>
      </c>
    </row>
    <row r="185" spans="1:35" ht="43" x14ac:dyDescent="0.5">
      <c r="A185" s="2">
        <v>184</v>
      </c>
      <c r="B185" s="20" t="s">
        <v>0</v>
      </c>
      <c r="C185" s="20" t="s">
        <v>2942</v>
      </c>
      <c r="D185" s="20" t="s">
        <v>407</v>
      </c>
      <c r="E185" s="20" t="s">
        <v>123</v>
      </c>
      <c r="F185" s="2" t="s">
        <v>422</v>
      </c>
      <c r="G185" s="20" t="s">
        <v>858</v>
      </c>
      <c r="H185" s="36">
        <v>43435</v>
      </c>
      <c r="I185" s="20">
        <v>2018</v>
      </c>
      <c r="J185" s="20" t="s">
        <v>61</v>
      </c>
      <c r="K185" s="20" t="s">
        <v>123</v>
      </c>
      <c r="L185" s="20" t="s">
        <v>2515</v>
      </c>
      <c r="M185" s="20" t="s">
        <v>434</v>
      </c>
      <c r="N185" s="20" t="b">
        <v>1</v>
      </c>
      <c r="O185" s="2" t="b">
        <f>IF(Table1938[[#This Row],[Title]]="",TRUE,FALSE)</f>
        <v>0</v>
      </c>
      <c r="P185" s="2" t="b">
        <f>IF(Table1938[[#This Row],[Author]]="",TRUE,FALSE)</f>
        <v>1</v>
      </c>
      <c r="Q185" s="2" t="b">
        <f>IF(Table1938[[#This Row],[DOI]]&lt;&gt;"", FALSE,TRUE)</f>
        <v>0</v>
      </c>
      <c r="R185" s="2" t="b">
        <f>IF(Table1938[[#This Row],[Abstract]]="",TRUE,FALSE)</f>
        <v>0</v>
      </c>
      <c r="S185" s="2" t="b">
        <f>IF(OR(Table1938[[#This Row],[Document Type]]="book",Table1938[[#This Row],[Document Type]]="bookSection"),TRUE,FALSE)</f>
        <v>0</v>
      </c>
      <c r="T185" s="2" t="b">
        <f>NOT(IF(OR(Table1938[[#This Row],[Language]]&lt;&gt;"en",Table1938[[#This Row],[Language]]&lt;&gt;"EN",Table1938[[#This Row],[Language]]&lt;&gt;"spa",Table1938[[#This Row],[Language]]&lt;&gt;"SPA"),TRUE,FALSE))</f>
        <v>0</v>
      </c>
      <c r="U185" s="2" t="b">
        <f>IF(AND(Table1938[[#This Row],[EC-01]]=FALSE,Table1938[[#This Row],[EC-02]]=FALSE,Table1938[[#This Row],[EC-03]]=FALSE,Table1938[[#This Row],[EC-04]]=FALSE,Table1938[[#This Row],[EC-05]]=FALSE,Table1938[[#This Row],[EC-06]]=FALSE),TRUE,FALSE)</f>
        <v>0</v>
      </c>
      <c r="V185" s="2" t="b">
        <f>IF(Table1938[[#This Row],[Date]]&lt;&gt;"",AND(YEAR(Table1938[[#This Row],[Date]])&gt;=2010, YEAR(Table1938[[#This Row],[Date]])&lt;=2024),FALSE)</f>
        <v>1</v>
      </c>
      <c r="W185" s="2" t="b">
        <f>IF(Table1938[[#This Row],[Date]]&lt;&gt;"",AND(YEAR(Table1938[[#This Row],[Date]])&gt;=2010, YEAR(Table1938[[#This Row],[Date]])&lt;=2020),FALSE)</f>
        <v>1</v>
      </c>
      <c r="X185" s="2" t="b">
        <f>IF(AND(Table1938[[#This Row],[Accesible]]=TRUE,Table1938[[#This Row],[DOI]]&lt;&gt;""),TRUE,FALSE)</f>
        <v>1</v>
      </c>
      <c r="Y185" s="2" t="b">
        <f>OR(Table1938[[#This Row],[Document Type]]="journalArticle",Table1938[[#This Row],[Document Type]]="conferencePaper",Table1938[[#This Row],[Document Type]]="review")</f>
        <v>1</v>
      </c>
      <c r="Z185" s="2" t="b" cm="1">
        <f t="array" ref="Z185">SUMPRODUCT(--ISNUMBER(SEARCH({"dimensional analysis","dimensionless coefficients","Π","Pi","theorem","software","design","tools","development","architecture","similar"}, LOWER(Table1938[[#This Row],[Title]]))))&gt;0</f>
        <v>1</v>
      </c>
      <c r="AA185" s="2" t="b" cm="1">
        <f t="array" ref="AA185">SUMPRODUCT(--ISNUMBER(SEARCH({"dimensional analysis","dimensionless coefficients","Π","Pi","theorem","software","design","tools","development","architecture","similar"}, LOWER(Table1938[[#This Row],[Abstract]]))))&gt;0</f>
        <v>0</v>
      </c>
      <c r="AB185" s="2" t="b">
        <f>AND(OR(Table1938[[#This Row],[IC-01 @2024]:[IC-01 @2020]])=TRUE,Table1938[[#This Row],[IC-02]]=TRUE,Table1938[[#This Row],[IC-03]]=TRUE,Table1938[[#This Row],[IC-04]]=TRUE,Table1938[[#This Row],[IC-05]]=TRUE)</f>
        <v>0</v>
      </c>
      <c r="AC185" s="2" t="b">
        <f>AND(Table1938[[#This Row],[Pass-IC]]=TRUE,Table1938[[#This Row],[Pass-EC]]=TRUE)</f>
        <v>0</v>
      </c>
      <c r="AD185" s="2" t="b">
        <f>COUNTIF($D$25:D185, Table1938[[#This Row],[Title]]) = 1</f>
        <v>1</v>
      </c>
      <c r="AE185" s="2" t="b">
        <f>AND(Table1938[[#This Row],[IC + EC]:[Unique]])</f>
        <v>0</v>
      </c>
      <c r="AF185" s="2" t="b">
        <v>0</v>
      </c>
      <c r="AG185" s="2" t="b">
        <v>0</v>
      </c>
      <c r="AH185" s="2" t="b">
        <v>0</v>
      </c>
      <c r="AI185" s="2" t="b">
        <f>IF(AND(Table1938[[#This Row],[Double Check]]=TRUE,Table1938[[#This Row],[Inspected]]=TRUE,Table1938[[#This Row],[Relevant]]=TRUE),TRUE,FALSE)</f>
        <v>0</v>
      </c>
    </row>
    <row r="186" spans="1:35" ht="43" x14ac:dyDescent="0.5">
      <c r="A186" s="2">
        <v>185</v>
      </c>
      <c r="B186" s="20" t="s">
        <v>0</v>
      </c>
      <c r="C186" s="20" t="s">
        <v>2943</v>
      </c>
      <c r="D186" s="20" t="s">
        <v>896</v>
      </c>
      <c r="E186" s="20" t="s">
        <v>123</v>
      </c>
      <c r="F186" s="2" t="s">
        <v>899</v>
      </c>
      <c r="G186" s="20" t="s">
        <v>897</v>
      </c>
      <c r="H186" s="36">
        <v>44967</v>
      </c>
      <c r="I186" s="20">
        <v>2023</v>
      </c>
      <c r="J186" s="20" t="s">
        <v>62</v>
      </c>
      <c r="K186" s="20" t="s">
        <v>123</v>
      </c>
      <c r="L186" s="20" t="s">
        <v>2515</v>
      </c>
      <c r="M186" s="20" t="s">
        <v>898</v>
      </c>
      <c r="N186" s="20" t="b">
        <v>1</v>
      </c>
      <c r="O186" s="2" t="b">
        <f>IF(Table1938[[#This Row],[Title]]="",TRUE,FALSE)</f>
        <v>0</v>
      </c>
      <c r="P186" s="2" t="b">
        <f>IF(Table1938[[#This Row],[Author]]="",TRUE,FALSE)</f>
        <v>1</v>
      </c>
      <c r="Q186" s="2" t="b">
        <f>IF(Table1938[[#This Row],[DOI]]&lt;&gt;"", FALSE,TRUE)</f>
        <v>0</v>
      </c>
      <c r="R186" s="2" t="b">
        <f>IF(Table1938[[#This Row],[Abstract]]="",TRUE,FALSE)</f>
        <v>0</v>
      </c>
      <c r="S186" s="2" t="b">
        <f>IF(OR(Table1938[[#This Row],[Document Type]]="book",Table1938[[#This Row],[Document Type]]="bookSection"),TRUE,FALSE)</f>
        <v>0</v>
      </c>
      <c r="T186" s="2" t="b">
        <f>NOT(IF(OR(Table1938[[#This Row],[Language]]&lt;&gt;"en",Table1938[[#This Row],[Language]]&lt;&gt;"EN",Table1938[[#This Row],[Language]]&lt;&gt;"spa",Table1938[[#This Row],[Language]]&lt;&gt;"SPA"),TRUE,FALSE))</f>
        <v>0</v>
      </c>
      <c r="U186" s="2" t="b">
        <f>IF(AND(Table1938[[#This Row],[EC-01]]=FALSE,Table1938[[#This Row],[EC-02]]=FALSE,Table1938[[#This Row],[EC-03]]=FALSE,Table1938[[#This Row],[EC-04]]=FALSE,Table1938[[#This Row],[EC-05]]=FALSE,Table1938[[#This Row],[EC-06]]=FALSE),TRUE,FALSE)</f>
        <v>0</v>
      </c>
      <c r="V186" s="2" t="b">
        <f>IF(Table1938[[#This Row],[Date]]&lt;&gt;"",AND(YEAR(Table1938[[#This Row],[Date]])&gt;=2010, YEAR(Table1938[[#This Row],[Date]])&lt;=2024),FALSE)</f>
        <v>1</v>
      </c>
      <c r="W186" s="2" t="b">
        <f>IF(Table1938[[#This Row],[Date]]&lt;&gt;"",AND(YEAR(Table1938[[#This Row],[Date]])&gt;=2010, YEAR(Table1938[[#This Row],[Date]])&lt;=2020),FALSE)</f>
        <v>0</v>
      </c>
      <c r="X186" s="2" t="b">
        <f>IF(AND(Table1938[[#This Row],[Accesible]]=TRUE,Table1938[[#This Row],[DOI]]&lt;&gt;""),TRUE,FALSE)</f>
        <v>1</v>
      </c>
      <c r="Y186" s="2" t="b">
        <f>OR(Table1938[[#This Row],[Document Type]]="journalArticle",Table1938[[#This Row],[Document Type]]="conferencePaper",Table1938[[#This Row],[Document Type]]="review")</f>
        <v>1</v>
      </c>
      <c r="Z186" s="2" t="b" cm="1">
        <f t="array" ref="Z186">SUMPRODUCT(--ISNUMBER(SEARCH({"dimensional analysis","dimensionless coefficients","Π","Pi","theorem","software","design","tools","development","architecture","similar"}, LOWER(Table1938[[#This Row],[Title]]))))&gt;0</f>
        <v>0</v>
      </c>
      <c r="AA186" s="2" t="b" cm="1">
        <f t="array" ref="AA186">SUMPRODUCT(--ISNUMBER(SEARCH({"dimensional analysis","dimensionless coefficients","Π","Pi","theorem","software","design","tools","development","architecture","similar"}, LOWER(Table1938[[#This Row],[Abstract]]))))&gt;0</f>
        <v>0</v>
      </c>
      <c r="AB186" s="2" t="b">
        <f>AND(OR(Table1938[[#This Row],[IC-01 @2024]:[IC-01 @2020]])=TRUE,Table1938[[#This Row],[IC-02]]=TRUE,Table1938[[#This Row],[IC-03]]=TRUE,Table1938[[#This Row],[IC-04]]=TRUE,Table1938[[#This Row],[IC-05]]=TRUE)</f>
        <v>0</v>
      </c>
      <c r="AC186" s="2" t="b">
        <f>AND(Table1938[[#This Row],[Pass-IC]]=TRUE,Table1938[[#This Row],[Pass-EC]]=TRUE)</f>
        <v>0</v>
      </c>
      <c r="AD186" s="2" t="b">
        <f>COUNTIF($D$25:D186, Table1938[[#This Row],[Title]]) = 1</f>
        <v>1</v>
      </c>
      <c r="AE186" s="2" t="b">
        <f>AND(Table1938[[#This Row],[IC + EC]:[Unique]])</f>
        <v>0</v>
      </c>
      <c r="AF186" s="2" t="b">
        <v>0</v>
      </c>
      <c r="AG186" s="2" t="b">
        <v>0</v>
      </c>
      <c r="AH186" s="2" t="b">
        <v>0</v>
      </c>
      <c r="AI186" s="2" t="b">
        <f>IF(AND(Table1938[[#This Row],[Double Check]]=TRUE,Table1938[[#This Row],[Inspected]]=TRUE,Table1938[[#This Row],[Relevant]]=TRUE),TRUE,FALSE)</f>
        <v>0</v>
      </c>
    </row>
    <row r="187" spans="1:35" ht="43" x14ac:dyDescent="0.5">
      <c r="A187" s="2">
        <v>186</v>
      </c>
      <c r="B187" s="20" t="s">
        <v>0</v>
      </c>
      <c r="C187" s="20" t="s">
        <v>2944</v>
      </c>
      <c r="D187" s="20" t="s">
        <v>409</v>
      </c>
      <c r="E187" s="20" t="s">
        <v>123</v>
      </c>
      <c r="F187" s="2" t="s">
        <v>424</v>
      </c>
      <c r="G187" s="20" t="s">
        <v>860</v>
      </c>
      <c r="H187" s="36">
        <v>43448</v>
      </c>
      <c r="I187" s="20">
        <v>2018</v>
      </c>
      <c r="J187" s="20" t="s">
        <v>62</v>
      </c>
      <c r="K187" s="20" t="s">
        <v>123</v>
      </c>
      <c r="L187" s="20" t="s">
        <v>2515</v>
      </c>
      <c r="M187" s="20" t="s">
        <v>436</v>
      </c>
      <c r="N187" s="20" t="b">
        <v>1</v>
      </c>
      <c r="O187" s="2" t="b">
        <f>IF(Table1938[[#This Row],[Title]]="",TRUE,FALSE)</f>
        <v>0</v>
      </c>
      <c r="P187" s="2" t="b">
        <f>IF(Table1938[[#This Row],[Author]]="",TRUE,FALSE)</f>
        <v>1</v>
      </c>
      <c r="Q187" s="2" t="b">
        <f>IF(Table1938[[#This Row],[DOI]]&lt;&gt;"", FALSE,TRUE)</f>
        <v>0</v>
      </c>
      <c r="R187" s="2" t="b">
        <f>IF(Table1938[[#This Row],[Abstract]]="",TRUE,FALSE)</f>
        <v>0</v>
      </c>
      <c r="S187" s="2" t="b">
        <f>IF(OR(Table1938[[#This Row],[Document Type]]="book",Table1938[[#This Row],[Document Type]]="bookSection"),TRUE,FALSE)</f>
        <v>0</v>
      </c>
      <c r="T187" s="2" t="b">
        <f>NOT(IF(OR(Table1938[[#This Row],[Language]]&lt;&gt;"en",Table1938[[#This Row],[Language]]&lt;&gt;"EN",Table1938[[#This Row],[Language]]&lt;&gt;"spa",Table1938[[#This Row],[Language]]&lt;&gt;"SPA"),TRUE,FALSE))</f>
        <v>0</v>
      </c>
      <c r="U187" s="2" t="b">
        <f>IF(AND(Table1938[[#This Row],[EC-01]]=FALSE,Table1938[[#This Row],[EC-02]]=FALSE,Table1938[[#This Row],[EC-03]]=FALSE,Table1938[[#This Row],[EC-04]]=FALSE,Table1938[[#This Row],[EC-05]]=FALSE,Table1938[[#This Row],[EC-06]]=FALSE),TRUE,FALSE)</f>
        <v>0</v>
      </c>
      <c r="V187" s="2" t="b">
        <f>IF(Table1938[[#This Row],[Date]]&lt;&gt;"",AND(YEAR(Table1938[[#This Row],[Date]])&gt;=2010, YEAR(Table1938[[#This Row],[Date]])&lt;=2024),FALSE)</f>
        <v>1</v>
      </c>
      <c r="W187" s="2" t="b">
        <f>IF(Table1938[[#This Row],[Date]]&lt;&gt;"",AND(YEAR(Table1938[[#This Row],[Date]])&gt;=2010, YEAR(Table1938[[#This Row],[Date]])&lt;=2020),FALSE)</f>
        <v>1</v>
      </c>
      <c r="X187" s="2" t="b">
        <f>IF(AND(Table1938[[#This Row],[Accesible]]=TRUE,Table1938[[#This Row],[DOI]]&lt;&gt;""),TRUE,FALSE)</f>
        <v>1</v>
      </c>
      <c r="Y187" s="2" t="b">
        <f>OR(Table1938[[#This Row],[Document Type]]="journalArticle",Table1938[[#This Row],[Document Type]]="conferencePaper",Table1938[[#This Row],[Document Type]]="review")</f>
        <v>1</v>
      </c>
      <c r="Z187" s="2" t="b" cm="1">
        <f t="array" ref="Z187">SUMPRODUCT(--ISNUMBER(SEARCH({"dimensional analysis","dimensionless coefficients","Π","Pi","theorem","software","design","tools","development","architecture","similar"}, LOWER(Table1938[[#This Row],[Title]]))))&gt;0</f>
        <v>0</v>
      </c>
      <c r="AA187" s="2" t="b" cm="1">
        <f t="array" ref="AA187">SUMPRODUCT(--ISNUMBER(SEARCH({"dimensional analysis","dimensionless coefficients","Π","Pi","theorem","software","design","tools","development","architecture","similar"}, LOWER(Table1938[[#This Row],[Abstract]]))))&gt;0</f>
        <v>0</v>
      </c>
      <c r="AB187" s="2" t="b">
        <f>AND(OR(Table1938[[#This Row],[IC-01 @2024]:[IC-01 @2020]])=TRUE,Table1938[[#This Row],[IC-02]]=TRUE,Table1938[[#This Row],[IC-03]]=TRUE,Table1938[[#This Row],[IC-04]]=TRUE,Table1938[[#This Row],[IC-05]]=TRUE)</f>
        <v>0</v>
      </c>
      <c r="AC187" s="2" t="b">
        <f>AND(Table1938[[#This Row],[Pass-IC]]=TRUE,Table1938[[#This Row],[Pass-EC]]=TRUE)</f>
        <v>0</v>
      </c>
      <c r="AD187" s="2" t="b">
        <f>COUNTIF($D$25:D187, Table1938[[#This Row],[Title]]) = 1</f>
        <v>1</v>
      </c>
      <c r="AE187" s="2" t="b">
        <f>AND(Table1938[[#This Row],[IC + EC]:[Unique]])</f>
        <v>0</v>
      </c>
      <c r="AF187" s="2" t="b">
        <v>0</v>
      </c>
      <c r="AG187" s="2" t="b">
        <v>0</v>
      </c>
      <c r="AH187" s="2" t="b">
        <v>0</v>
      </c>
      <c r="AI187" s="2" t="b">
        <f>IF(AND(Table1938[[#This Row],[Double Check]]=TRUE,Table1938[[#This Row],[Inspected]]=TRUE,Table1938[[#This Row],[Relevant]]=TRUE),TRUE,FALSE)</f>
        <v>0</v>
      </c>
    </row>
    <row r="188" spans="1:35" ht="43" x14ac:dyDescent="0.5">
      <c r="A188" s="2">
        <v>187</v>
      </c>
      <c r="B188" s="20" t="s">
        <v>0</v>
      </c>
      <c r="C188" s="20" t="s">
        <v>2945</v>
      </c>
      <c r="D188" s="20" t="s">
        <v>887</v>
      </c>
      <c r="E188" s="20" t="s">
        <v>123</v>
      </c>
      <c r="F188" s="2" t="s">
        <v>123</v>
      </c>
      <c r="G188" s="20" t="s">
        <v>888</v>
      </c>
      <c r="H188" s="36">
        <v>45537</v>
      </c>
      <c r="I188" s="20">
        <v>2024</v>
      </c>
      <c r="J188" s="20" t="s">
        <v>62</v>
      </c>
      <c r="K188" s="20" t="s">
        <v>123</v>
      </c>
      <c r="L188" s="20" t="s">
        <v>2515</v>
      </c>
      <c r="M188" s="20" t="s">
        <v>889</v>
      </c>
      <c r="N188" s="20" t="b">
        <v>1</v>
      </c>
      <c r="O188" s="2" t="b">
        <f>IF(Table1938[[#This Row],[Title]]="",TRUE,FALSE)</f>
        <v>0</v>
      </c>
      <c r="P188" s="2" t="b">
        <f>IF(Table1938[[#This Row],[Author]]="",TRUE,FALSE)</f>
        <v>1</v>
      </c>
      <c r="Q188" s="2" t="b">
        <f>IF(Table1938[[#This Row],[DOI]]&lt;&gt;"", FALSE,TRUE)</f>
        <v>0</v>
      </c>
      <c r="R188" s="2" t="b">
        <f>IF(Table1938[[#This Row],[Abstract]]="",TRUE,FALSE)</f>
        <v>1</v>
      </c>
      <c r="S188" s="2" t="b">
        <f>IF(OR(Table1938[[#This Row],[Document Type]]="book",Table1938[[#This Row],[Document Type]]="bookSection"),TRUE,FALSE)</f>
        <v>0</v>
      </c>
      <c r="T188" s="2" t="b">
        <f>NOT(IF(OR(Table1938[[#This Row],[Language]]&lt;&gt;"en",Table1938[[#This Row],[Language]]&lt;&gt;"EN",Table1938[[#This Row],[Language]]&lt;&gt;"spa",Table1938[[#This Row],[Language]]&lt;&gt;"SPA"),TRUE,FALSE))</f>
        <v>0</v>
      </c>
      <c r="U188" s="2" t="b">
        <f>IF(AND(Table1938[[#This Row],[EC-01]]=FALSE,Table1938[[#This Row],[EC-02]]=FALSE,Table1938[[#This Row],[EC-03]]=FALSE,Table1938[[#This Row],[EC-04]]=FALSE,Table1938[[#This Row],[EC-05]]=FALSE,Table1938[[#This Row],[EC-06]]=FALSE),TRUE,FALSE)</f>
        <v>0</v>
      </c>
      <c r="V188" s="2" t="b">
        <f>IF(Table1938[[#This Row],[Date]]&lt;&gt;"",AND(YEAR(Table1938[[#This Row],[Date]])&gt;=2010, YEAR(Table1938[[#This Row],[Date]])&lt;=2024),FALSE)</f>
        <v>1</v>
      </c>
      <c r="W188" s="2" t="b">
        <f>IF(Table1938[[#This Row],[Date]]&lt;&gt;"",AND(YEAR(Table1938[[#This Row],[Date]])&gt;=2010, YEAR(Table1938[[#This Row],[Date]])&lt;=2020),FALSE)</f>
        <v>0</v>
      </c>
      <c r="X188" s="2" t="b">
        <f>IF(AND(Table1938[[#This Row],[Accesible]]=TRUE,Table1938[[#This Row],[DOI]]&lt;&gt;""),TRUE,FALSE)</f>
        <v>1</v>
      </c>
      <c r="Y188" s="2" t="b">
        <f>OR(Table1938[[#This Row],[Document Type]]="journalArticle",Table1938[[#This Row],[Document Type]]="conferencePaper",Table1938[[#This Row],[Document Type]]="review")</f>
        <v>1</v>
      </c>
      <c r="Z188" s="2" t="b" cm="1">
        <f t="array" ref="Z188">SUMPRODUCT(--ISNUMBER(SEARCH({"dimensional analysis","dimensionless coefficients","Π","Pi","theorem","software","design","tools","development","architecture","similar"}, LOWER(Table1938[[#This Row],[Title]]))))&gt;0</f>
        <v>0</v>
      </c>
      <c r="AA188" s="2" t="b" cm="1">
        <f t="array" ref="AA188">SUMPRODUCT(--ISNUMBER(SEARCH({"dimensional analysis","dimensionless coefficients","Π","Pi","theorem","software","design","tools","development","architecture","similar"}, LOWER(Table1938[[#This Row],[Abstract]]))))&gt;0</f>
        <v>0</v>
      </c>
      <c r="AB188" s="2" t="b">
        <f>AND(OR(Table1938[[#This Row],[IC-01 @2024]:[IC-01 @2020]])=TRUE,Table1938[[#This Row],[IC-02]]=TRUE,Table1938[[#This Row],[IC-03]]=TRUE,Table1938[[#This Row],[IC-04]]=TRUE,Table1938[[#This Row],[IC-05]]=TRUE)</f>
        <v>0</v>
      </c>
      <c r="AC188" s="2" t="b">
        <f>AND(Table1938[[#This Row],[Pass-IC]]=TRUE,Table1938[[#This Row],[Pass-EC]]=TRUE)</f>
        <v>0</v>
      </c>
      <c r="AD188" s="2" t="b">
        <f>COUNTIF($D$25:D188, Table1938[[#This Row],[Title]]) = 1</f>
        <v>1</v>
      </c>
      <c r="AE188" s="2" t="b">
        <f>AND(Table1938[[#This Row],[IC + EC]:[Unique]])</f>
        <v>0</v>
      </c>
      <c r="AF188" s="2" t="b">
        <v>0</v>
      </c>
      <c r="AG188" s="2" t="b">
        <v>0</v>
      </c>
      <c r="AH188" s="2" t="b">
        <v>0</v>
      </c>
      <c r="AI188" s="2" t="b">
        <f>IF(AND(Table1938[[#This Row],[Double Check]]=TRUE,Table1938[[#This Row],[Inspected]]=TRUE,Table1938[[#This Row],[Relevant]]=TRUE),TRUE,FALSE)</f>
        <v>0</v>
      </c>
    </row>
    <row r="189" spans="1:35" ht="100.35" x14ac:dyDescent="0.5">
      <c r="A189" s="2">
        <v>188</v>
      </c>
      <c r="B189" s="20" t="s">
        <v>0</v>
      </c>
      <c r="C189" s="20" t="s">
        <v>2946</v>
      </c>
      <c r="D189" s="20" t="s">
        <v>405</v>
      </c>
      <c r="E189" s="20" t="s">
        <v>868</v>
      </c>
      <c r="F189" s="2" t="s">
        <v>420</v>
      </c>
      <c r="G189" s="20" t="s">
        <v>855</v>
      </c>
      <c r="H189" s="36">
        <v>44562</v>
      </c>
      <c r="I189" s="20">
        <v>2022</v>
      </c>
      <c r="J189" s="20" t="s">
        <v>61</v>
      </c>
      <c r="K189" s="20" t="s">
        <v>2947</v>
      </c>
      <c r="L189" s="20" t="s">
        <v>2515</v>
      </c>
      <c r="M189" s="20" t="s">
        <v>432</v>
      </c>
      <c r="N189" s="20" t="b">
        <v>1</v>
      </c>
      <c r="O189" s="2" t="b">
        <f>IF(Table1938[[#This Row],[Title]]="",TRUE,FALSE)</f>
        <v>0</v>
      </c>
      <c r="P189" s="2" t="b">
        <f>IF(Table1938[[#This Row],[Author]]="",TRUE,FALSE)</f>
        <v>0</v>
      </c>
      <c r="Q189" s="2" t="b">
        <f>IF(Table1938[[#This Row],[DOI]]&lt;&gt;"", FALSE,TRUE)</f>
        <v>0</v>
      </c>
      <c r="R189" s="2" t="b">
        <f>IF(Table1938[[#This Row],[Abstract]]="",TRUE,FALSE)</f>
        <v>0</v>
      </c>
      <c r="S189" s="2" t="b">
        <f>IF(OR(Table1938[[#This Row],[Document Type]]="book",Table1938[[#This Row],[Document Type]]="bookSection"),TRUE,FALSE)</f>
        <v>0</v>
      </c>
      <c r="T189" s="2" t="b">
        <f>NOT(IF(OR(Table1938[[#This Row],[Language]]&lt;&gt;"en",Table1938[[#This Row],[Language]]&lt;&gt;"EN",Table1938[[#This Row],[Language]]&lt;&gt;"spa",Table1938[[#This Row],[Language]]&lt;&gt;"SPA"),TRUE,FALSE))</f>
        <v>0</v>
      </c>
      <c r="U189" s="2" t="b">
        <f>IF(AND(Table1938[[#This Row],[EC-01]]=FALSE,Table1938[[#This Row],[EC-02]]=FALSE,Table1938[[#This Row],[EC-03]]=FALSE,Table1938[[#This Row],[EC-04]]=FALSE,Table1938[[#This Row],[EC-05]]=FALSE,Table1938[[#This Row],[EC-06]]=FALSE),TRUE,FALSE)</f>
        <v>1</v>
      </c>
      <c r="V189" s="2" t="b">
        <f>IF(Table1938[[#This Row],[Date]]&lt;&gt;"",AND(YEAR(Table1938[[#This Row],[Date]])&gt;=2010, YEAR(Table1938[[#This Row],[Date]])&lt;=2024),FALSE)</f>
        <v>1</v>
      </c>
      <c r="W189" s="2" t="b">
        <f>IF(Table1938[[#This Row],[Date]]&lt;&gt;"",AND(YEAR(Table1938[[#This Row],[Date]])&gt;=2010, YEAR(Table1938[[#This Row],[Date]])&lt;=2020),FALSE)</f>
        <v>0</v>
      </c>
      <c r="X189" s="2" t="b">
        <f>IF(AND(Table1938[[#This Row],[Accesible]]=TRUE,Table1938[[#This Row],[DOI]]&lt;&gt;""),TRUE,FALSE)</f>
        <v>1</v>
      </c>
      <c r="Y189" s="2" t="b">
        <f>OR(Table1938[[#This Row],[Document Type]]="journalArticle",Table1938[[#This Row],[Document Type]]="conferencePaper",Table1938[[#This Row],[Document Type]]="review")</f>
        <v>1</v>
      </c>
      <c r="Z189" s="2" t="b" cm="1">
        <f t="array" ref="Z189">SUMPRODUCT(--ISNUMBER(SEARCH({"dimensional analysis","dimensionless coefficients","Π","Pi","theorem","software","design","tools","development","architecture","similar"}, LOWER(Table1938[[#This Row],[Title]]))))&gt;0</f>
        <v>0</v>
      </c>
      <c r="AA189" s="2" t="b" cm="1">
        <f t="array" ref="AA189">SUMPRODUCT(--ISNUMBER(SEARCH({"dimensional analysis","dimensionless coefficients","Π","Pi","theorem","software","design","tools","development","architecture","similar"}, LOWER(Table1938[[#This Row],[Abstract]]))))&gt;0</f>
        <v>0</v>
      </c>
      <c r="AB189" s="2" t="b">
        <f>AND(OR(Table1938[[#This Row],[IC-01 @2024]:[IC-01 @2020]])=TRUE,Table1938[[#This Row],[IC-02]]=TRUE,Table1938[[#This Row],[IC-03]]=TRUE,Table1938[[#This Row],[IC-04]]=TRUE,Table1938[[#This Row],[IC-05]]=TRUE)</f>
        <v>0</v>
      </c>
      <c r="AC189" s="2" t="b">
        <f>AND(Table1938[[#This Row],[Pass-IC]]=TRUE,Table1938[[#This Row],[Pass-EC]]=TRUE)</f>
        <v>0</v>
      </c>
      <c r="AD189" s="2" t="b">
        <f>COUNTIF($D$25:D189, Table1938[[#This Row],[Title]]) = 1</f>
        <v>1</v>
      </c>
      <c r="AE189" s="2" t="b">
        <f>AND(Table1938[[#This Row],[IC + EC]:[Unique]])</f>
        <v>0</v>
      </c>
      <c r="AF189" s="2" t="b">
        <v>0</v>
      </c>
      <c r="AG189" s="2" t="b">
        <v>0</v>
      </c>
      <c r="AH189" s="2" t="b">
        <v>0</v>
      </c>
      <c r="AI189" s="2" t="b">
        <f>IF(AND(Table1938[[#This Row],[Double Check]]=TRUE,Table1938[[#This Row],[Inspected]]=TRUE,Table1938[[#This Row],[Relevant]]=TRUE),TRUE,FALSE)</f>
        <v>0</v>
      </c>
    </row>
    <row r="190" spans="1:35" ht="43" x14ac:dyDescent="0.5">
      <c r="A190" s="2">
        <v>189</v>
      </c>
      <c r="B190" s="20" t="s">
        <v>0</v>
      </c>
      <c r="C190" s="20" t="s">
        <v>2948</v>
      </c>
      <c r="D190" s="20" t="s">
        <v>890</v>
      </c>
      <c r="E190" s="20" t="s">
        <v>123</v>
      </c>
      <c r="F190" s="2" t="s">
        <v>123</v>
      </c>
      <c r="G190" s="20" t="s">
        <v>891</v>
      </c>
      <c r="H190" s="36">
        <v>45561</v>
      </c>
      <c r="I190" s="20">
        <v>2024</v>
      </c>
      <c r="J190" s="20" t="s">
        <v>62</v>
      </c>
      <c r="K190" s="20" t="s">
        <v>123</v>
      </c>
      <c r="L190" s="20" t="s">
        <v>2515</v>
      </c>
      <c r="M190" s="20" t="s">
        <v>892</v>
      </c>
      <c r="N190" s="20" t="b">
        <v>1</v>
      </c>
      <c r="O190" s="2" t="b">
        <f>IF(Table1938[[#This Row],[Title]]="",TRUE,FALSE)</f>
        <v>0</v>
      </c>
      <c r="P190" s="2" t="b">
        <f>IF(Table1938[[#This Row],[Author]]="",TRUE,FALSE)</f>
        <v>1</v>
      </c>
      <c r="Q190" s="2" t="b">
        <f>IF(Table1938[[#This Row],[DOI]]&lt;&gt;"", FALSE,TRUE)</f>
        <v>0</v>
      </c>
      <c r="R190" s="2" t="b">
        <f>IF(Table1938[[#This Row],[Abstract]]="",TRUE,FALSE)</f>
        <v>1</v>
      </c>
      <c r="S190" s="2" t="b">
        <f>IF(OR(Table1938[[#This Row],[Document Type]]="book",Table1938[[#This Row],[Document Type]]="bookSection"),TRUE,FALSE)</f>
        <v>0</v>
      </c>
      <c r="T190" s="2" t="b">
        <f>NOT(IF(OR(Table1938[[#This Row],[Language]]&lt;&gt;"en",Table1938[[#This Row],[Language]]&lt;&gt;"EN",Table1938[[#This Row],[Language]]&lt;&gt;"spa",Table1938[[#This Row],[Language]]&lt;&gt;"SPA"),TRUE,FALSE))</f>
        <v>0</v>
      </c>
      <c r="U190" s="2" t="b">
        <f>IF(AND(Table1938[[#This Row],[EC-01]]=FALSE,Table1938[[#This Row],[EC-02]]=FALSE,Table1938[[#This Row],[EC-03]]=FALSE,Table1938[[#This Row],[EC-04]]=FALSE,Table1938[[#This Row],[EC-05]]=FALSE,Table1938[[#This Row],[EC-06]]=FALSE),TRUE,FALSE)</f>
        <v>0</v>
      </c>
      <c r="V190" s="2" t="b">
        <f>IF(Table1938[[#This Row],[Date]]&lt;&gt;"",AND(YEAR(Table1938[[#This Row],[Date]])&gt;=2010, YEAR(Table1938[[#This Row],[Date]])&lt;=2024),FALSE)</f>
        <v>1</v>
      </c>
      <c r="W190" s="2" t="b">
        <f>IF(Table1938[[#This Row],[Date]]&lt;&gt;"",AND(YEAR(Table1938[[#This Row],[Date]])&gt;=2010, YEAR(Table1938[[#This Row],[Date]])&lt;=2020),FALSE)</f>
        <v>0</v>
      </c>
      <c r="X190" s="2" t="b">
        <f>IF(AND(Table1938[[#This Row],[Accesible]]=TRUE,Table1938[[#This Row],[DOI]]&lt;&gt;""),TRUE,FALSE)</f>
        <v>1</v>
      </c>
      <c r="Y190" s="2" t="b">
        <f>OR(Table1938[[#This Row],[Document Type]]="journalArticle",Table1938[[#This Row],[Document Type]]="conferencePaper",Table1938[[#This Row],[Document Type]]="review")</f>
        <v>1</v>
      </c>
      <c r="Z190" s="2" t="b" cm="1">
        <f t="array" ref="Z190">SUMPRODUCT(--ISNUMBER(SEARCH({"dimensional analysis","dimensionless coefficients","Π","Pi","theorem","software","design","tools","development","architecture","similar"}, LOWER(Table1938[[#This Row],[Title]]))))&gt;0</f>
        <v>0</v>
      </c>
      <c r="AA190" s="2" t="b" cm="1">
        <f t="array" ref="AA190">SUMPRODUCT(--ISNUMBER(SEARCH({"dimensional analysis","dimensionless coefficients","Π","Pi","theorem","software","design","tools","development","architecture","similar"}, LOWER(Table1938[[#This Row],[Abstract]]))))&gt;0</f>
        <v>0</v>
      </c>
      <c r="AB190" s="2" t="b">
        <f>AND(OR(Table1938[[#This Row],[IC-01 @2024]:[IC-01 @2020]])=TRUE,Table1938[[#This Row],[IC-02]]=TRUE,Table1938[[#This Row],[IC-03]]=TRUE,Table1938[[#This Row],[IC-04]]=TRUE,Table1938[[#This Row],[IC-05]]=TRUE)</f>
        <v>0</v>
      </c>
      <c r="AC190" s="2" t="b">
        <f>AND(Table1938[[#This Row],[Pass-IC]]=TRUE,Table1938[[#This Row],[Pass-EC]]=TRUE)</f>
        <v>0</v>
      </c>
      <c r="AD190" s="2" t="b">
        <f>COUNTIF($D$25:D190, Table1938[[#This Row],[Title]]) = 1</f>
        <v>1</v>
      </c>
      <c r="AE190" s="2" t="b">
        <f>AND(Table1938[[#This Row],[IC + EC]:[Unique]])</f>
        <v>0</v>
      </c>
      <c r="AF190" s="2" t="b">
        <v>0</v>
      </c>
      <c r="AG190" s="2" t="b">
        <v>0</v>
      </c>
      <c r="AH190" s="2" t="b">
        <v>0</v>
      </c>
      <c r="AI190" s="2" t="b">
        <f>IF(AND(Table1938[[#This Row],[Double Check]]=TRUE,Table1938[[#This Row],[Inspected]]=TRUE,Table1938[[#This Row],[Relevant]]=TRUE),TRUE,FALSE)</f>
        <v>0</v>
      </c>
    </row>
    <row r="191" spans="1:35" ht="86" x14ac:dyDescent="0.5">
      <c r="A191" s="2">
        <v>190</v>
      </c>
      <c r="B191" s="20" t="s">
        <v>0</v>
      </c>
      <c r="C191" s="20" t="s">
        <v>2949</v>
      </c>
      <c r="D191" s="20" t="s">
        <v>402</v>
      </c>
      <c r="E191" s="20" t="s">
        <v>414</v>
      </c>
      <c r="F191" s="2" t="s">
        <v>417</v>
      </c>
      <c r="G191" s="20" t="s">
        <v>855</v>
      </c>
      <c r="H191" s="36">
        <v>43831</v>
      </c>
      <c r="I191" s="20">
        <v>2020</v>
      </c>
      <c r="J191" s="20" t="s">
        <v>61</v>
      </c>
      <c r="K191" s="20" t="s">
        <v>2950</v>
      </c>
      <c r="L191" s="20" t="s">
        <v>2515</v>
      </c>
      <c r="M191" s="20" t="s">
        <v>429</v>
      </c>
      <c r="N191" s="20" t="b">
        <v>1</v>
      </c>
      <c r="O191" s="2" t="b">
        <f>IF(Table1938[[#This Row],[Title]]="",TRUE,FALSE)</f>
        <v>0</v>
      </c>
      <c r="P191" s="2" t="b">
        <f>IF(Table1938[[#This Row],[Author]]="",TRUE,FALSE)</f>
        <v>0</v>
      </c>
      <c r="Q191" s="2" t="b">
        <f>IF(Table1938[[#This Row],[DOI]]&lt;&gt;"", FALSE,TRUE)</f>
        <v>0</v>
      </c>
      <c r="R191" s="2" t="b">
        <f>IF(Table1938[[#This Row],[Abstract]]="",TRUE,FALSE)</f>
        <v>0</v>
      </c>
      <c r="S191" s="2" t="b">
        <f>IF(OR(Table1938[[#This Row],[Document Type]]="book",Table1938[[#This Row],[Document Type]]="bookSection"),TRUE,FALSE)</f>
        <v>0</v>
      </c>
      <c r="T191" s="2" t="b">
        <f>NOT(IF(OR(Table1938[[#This Row],[Language]]&lt;&gt;"en",Table1938[[#This Row],[Language]]&lt;&gt;"EN",Table1938[[#This Row],[Language]]&lt;&gt;"spa",Table1938[[#This Row],[Language]]&lt;&gt;"SPA"),TRUE,FALSE))</f>
        <v>0</v>
      </c>
      <c r="U191" s="2" t="b">
        <f>IF(AND(Table1938[[#This Row],[EC-01]]=FALSE,Table1938[[#This Row],[EC-02]]=FALSE,Table1938[[#This Row],[EC-03]]=FALSE,Table1938[[#This Row],[EC-04]]=FALSE,Table1938[[#This Row],[EC-05]]=FALSE,Table1938[[#This Row],[EC-06]]=FALSE),TRUE,FALSE)</f>
        <v>1</v>
      </c>
      <c r="V191" s="2" t="b">
        <f>IF(Table1938[[#This Row],[Date]]&lt;&gt;"",AND(YEAR(Table1938[[#This Row],[Date]])&gt;=2010, YEAR(Table1938[[#This Row],[Date]])&lt;=2024),FALSE)</f>
        <v>1</v>
      </c>
      <c r="W191" s="2" t="b">
        <f>IF(Table1938[[#This Row],[Date]]&lt;&gt;"",AND(YEAR(Table1938[[#This Row],[Date]])&gt;=2010, YEAR(Table1938[[#This Row],[Date]])&lt;=2020),FALSE)</f>
        <v>1</v>
      </c>
      <c r="X191" s="2" t="b">
        <f>IF(AND(Table1938[[#This Row],[Accesible]]=TRUE,Table1938[[#This Row],[DOI]]&lt;&gt;""),TRUE,FALSE)</f>
        <v>1</v>
      </c>
      <c r="Y191" s="2" t="b">
        <f>OR(Table1938[[#This Row],[Document Type]]="journalArticle",Table1938[[#This Row],[Document Type]]="conferencePaper",Table1938[[#This Row],[Document Type]]="review")</f>
        <v>1</v>
      </c>
      <c r="Z191" s="2" t="b" cm="1">
        <f t="array" ref="Z191">SUMPRODUCT(--ISNUMBER(SEARCH({"dimensional analysis","dimensionless coefficients","Π","Pi","theorem","software","design","tools","development","architecture","similar"}, LOWER(Table1938[[#This Row],[Title]]))))&gt;0</f>
        <v>1</v>
      </c>
      <c r="AA191" s="2" t="b" cm="1">
        <f t="array" ref="AA191">SUMPRODUCT(--ISNUMBER(SEARCH({"dimensional analysis","dimensionless coefficients","Π","Pi","theorem","software","design","tools","development","architecture","similar"}, LOWER(Table1938[[#This Row],[Abstract]]))))&gt;0</f>
        <v>1</v>
      </c>
      <c r="AB191" s="2" t="b">
        <f>AND(OR(Table1938[[#This Row],[IC-01 @2024]:[IC-01 @2020]])=TRUE,Table1938[[#This Row],[IC-02]]=TRUE,Table1938[[#This Row],[IC-03]]=TRUE,Table1938[[#This Row],[IC-04]]=TRUE,Table1938[[#This Row],[IC-05]]=TRUE)</f>
        <v>1</v>
      </c>
      <c r="AC191" s="2" t="b">
        <f>AND(Table1938[[#This Row],[Pass-IC]]=TRUE,Table1938[[#This Row],[Pass-EC]]=TRUE)</f>
        <v>1</v>
      </c>
      <c r="AD191" s="2" t="b">
        <f>COUNTIF($D$25:D191, Table1938[[#This Row],[Title]]) = 1</f>
        <v>1</v>
      </c>
      <c r="AE191" s="2" t="b">
        <f>AND(Table1938[[#This Row],[IC + EC]:[Unique]])</f>
        <v>1</v>
      </c>
      <c r="AF191" s="2" t="b">
        <v>1</v>
      </c>
      <c r="AG191" s="2" t="b">
        <v>0</v>
      </c>
      <c r="AH191" s="2" t="b">
        <v>0</v>
      </c>
      <c r="AI191" s="2" t="b">
        <f>IF(AND(Table1938[[#This Row],[Double Check]]=TRUE,Table1938[[#This Row],[Inspected]]=TRUE,Table1938[[#This Row],[Relevant]]=TRUE),TRUE,FALSE)</f>
        <v>0</v>
      </c>
    </row>
    <row r="192" spans="1:35" ht="43" x14ac:dyDescent="0.5">
      <c r="A192" s="2">
        <v>191</v>
      </c>
      <c r="B192" s="20" t="s">
        <v>0</v>
      </c>
      <c r="C192" s="20" t="s">
        <v>2951</v>
      </c>
      <c r="D192" s="20" t="s">
        <v>881</v>
      </c>
      <c r="E192" s="20" t="s">
        <v>123</v>
      </c>
      <c r="F192" s="2" t="s">
        <v>123</v>
      </c>
      <c r="G192" s="20" t="s">
        <v>891</v>
      </c>
      <c r="H192" s="36">
        <v>45561</v>
      </c>
      <c r="I192" s="20">
        <v>2024</v>
      </c>
      <c r="J192" s="20" t="s">
        <v>62</v>
      </c>
      <c r="K192" s="20" t="s">
        <v>123</v>
      </c>
      <c r="L192" s="20" t="s">
        <v>2515</v>
      </c>
      <c r="M192" s="20" t="s">
        <v>905</v>
      </c>
      <c r="N192" s="20" t="b">
        <v>1</v>
      </c>
      <c r="O192" s="2" t="b">
        <f>IF(Table1938[[#This Row],[Title]]="",TRUE,FALSE)</f>
        <v>0</v>
      </c>
      <c r="P192" s="2" t="b">
        <f>IF(Table1938[[#This Row],[Author]]="",TRUE,FALSE)</f>
        <v>1</v>
      </c>
      <c r="Q192" s="2" t="b">
        <f>IF(Table1938[[#This Row],[DOI]]&lt;&gt;"", FALSE,TRUE)</f>
        <v>0</v>
      </c>
      <c r="R192" s="2" t="b">
        <f>IF(Table1938[[#This Row],[Abstract]]="",TRUE,FALSE)</f>
        <v>1</v>
      </c>
      <c r="S192" s="2" t="b">
        <f>IF(OR(Table1938[[#This Row],[Document Type]]="book",Table1938[[#This Row],[Document Type]]="bookSection"),TRUE,FALSE)</f>
        <v>0</v>
      </c>
      <c r="T192" s="2" t="b">
        <f>NOT(IF(OR(Table1938[[#This Row],[Language]]&lt;&gt;"en",Table1938[[#This Row],[Language]]&lt;&gt;"EN",Table1938[[#This Row],[Language]]&lt;&gt;"spa",Table1938[[#This Row],[Language]]&lt;&gt;"SPA"),TRUE,FALSE))</f>
        <v>0</v>
      </c>
      <c r="U192" s="2" t="b">
        <f>IF(AND(Table1938[[#This Row],[EC-01]]=FALSE,Table1938[[#This Row],[EC-02]]=FALSE,Table1938[[#This Row],[EC-03]]=FALSE,Table1938[[#This Row],[EC-04]]=FALSE,Table1938[[#This Row],[EC-05]]=FALSE,Table1938[[#This Row],[EC-06]]=FALSE),TRUE,FALSE)</f>
        <v>0</v>
      </c>
      <c r="V192" s="2" t="b">
        <f>IF(Table1938[[#This Row],[Date]]&lt;&gt;"",AND(YEAR(Table1938[[#This Row],[Date]])&gt;=2010, YEAR(Table1938[[#This Row],[Date]])&lt;=2024),FALSE)</f>
        <v>1</v>
      </c>
      <c r="W192" s="2" t="b">
        <f>IF(Table1938[[#This Row],[Date]]&lt;&gt;"",AND(YEAR(Table1938[[#This Row],[Date]])&gt;=2010, YEAR(Table1938[[#This Row],[Date]])&lt;=2020),FALSE)</f>
        <v>0</v>
      </c>
      <c r="X192" s="2" t="b">
        <f>IF(AND(Table1938[[#This Row],[Accesible]]=TRUE,Table1938[[#This Row],[DOI]]&lt;&gt;""),TRUE,FALSE)</f>
        <v>1</v>
      </c>
      <c r="Y192" s="2" t="b">
        <f>OR(Table1938[[#This Row],[Document Type]]="journalArticle",Table1938[[#This Row],[Document Type]]="conferencePaper",Table1938[[#This Row],[Document Type]]="review")</f>
        <v>1</v>
      </c>
      <c r="Z192" s="2" t="b" cm="1">
        <f t="array" ref="Z192">SUMPRODUCT(--ISNUMBER(SEARCH({"dimensional analysis","dimensionless coefficients","Π","Pi","theorem","software","design","tools","development","architecture","similar"}, LOWER(Table1938[[#This Row],[Title]]))))&gt;0</f>
        <v>0</v>
      </c>
      <c r="AA192" s="2" t="b" cm="1">
        <f t="array" ref="AA192">SUMPRODUCT(--ISNUMBER(SEARCH({"dimensional analysis","dimensionless coefficients","Π","Pi","theorem","software","design","tools","development","architecture","similar"}, LOWER(Table1938[[#This Row],[Abstract]]))))&gt;0</f>
        <v>0</v>
      </c>
      <c r="AB192" s="2" t="b">
        <f>AND(OR(Table1938[[#This Row],[IC-01 @2024]:[IC-01 @2020]])=TRUE,Table1938[[#This Row],[IC-02]]=TRUE,Table1938[[#This Row],[IC-03]]=TRUE,Table1938[[#This Row],[IC-04]]=TRUE,Table1938[[#This Row],[IC-05]]=TRUE)</f>
        <v>0</v>
      </c>
      <c r="AC192" s="2" t="b">
        <f>AND(Table1938[[#This Row],[Pass-IC]]=TRUE,Table1938[[#This Row],[Pass-EC]]=TRUE)</f>
        <v>0</v>
      </c>
      <c r="AD192" s="2" t="b">
        <f>COUNTIF($D$25:D192, Table1938[[#This Row],[Title]]) = 1</f>
        <v>1</v>
      </c>
      <c r="AE192" s="2" t="b">
        <f>AND(Table1938[[#This Row],[IC + EC]:[Unique]])</f>
        <v>0</v>
      </c>
      <c r="AF192" s="2" t="b">
        <v>0</v>
      </c>
      <c r="AG192" s="2" t="b">
        <v>0</v>
      </c>
      <c r="AH192" s="2" t="b">
        <v>0</v>
      </c>
      <c r="AI192" s="2" t="b">
        <f>IF(AND(Table1938[[#This Row],[Double Check]]=TRUE,Table1938[[#This Row],[Inspected]]=TRUE,Table1938[[#This Row],[Relevant]]=TRUE),TRUE,FALSE)</f>
        <v>0</v>
      </c>
    </row>
    <row r="193" spans="1:35" ht="28.7" x14ac:dyDescent="0.5">
      <c r="A193" s="2">
        <v>192</v>
      </c>
      <c r="B193" s="20" t="s">
        <v>0</v>
      </c>
      <c r="C193" s="20" t="s">
        <v>2952</v>
      </c>
      <c r="D193" s="20" t="s">
        <v>412</v>
      </c>
      <c r="E193" s="20" t="s">
        <v>123</v>
      </c>
      <c r="F193" s="2" t="s">
        <v>426</v>
      </c>
      <c r="G193" s="20" t="s">
        <v>863</v>
      </c>
      <c r="H193" s="36">
        <v>44075</v>
      </c>
      <c r="I193" s="20">
        <v>2020</v>
      </c>
      <c r="J193" s="20" t="s">
        <v>62</v>
      </c>
      <c r="K193" s="20" t="s">
        <v>123</v>
      </c>
      <c r="L193" s="20" t="s">
        <v>2515</v>
      </c>
      <c r="M193" s="20" t="s">
        <v>439</v>
      </c>
      <c r="N193" s="20" t="b">
        <v>1</v>
      </c>
      <c r="O193" s="2" t="b">
        <f>IF(Table1938[[#This Row],[Title]]="",TRUE,FALSE)</f>
        <v>0</v>
      </c>
      <c r="P193" s="2" t="b">
        <f>IF(Table1938[[#This Row],[Author]]="",TRUE,FALSE)</f>
        <v>1</v>
      </c>
      <c r="Q193" s="2" t="b">
        <f>IF(Table1938[[#This Row],[DOI]]&lt;&gt;"", FALSE,TRUE)</f>
        <v>0</v>
      </c>
      <c r="R193" s="2" t="b">
        <f>IF(Table1938[[#This Row],[Abstract]]="",TRUE,FALSE)</f>
        <v>0</v>
      </c>
      <c r="S193" s="2" t="b">
        <f>IF(OR(Table1938[[#This Row],[Document Type]]="book",Table1938[[#This Row],[Document Type]]="bookSection"),TRUE,FALSE)</f>
        <v>0</v>
      </c>
      <c r="T193" s="2" t="b">
        <f>NOT(IF(OR(Table1938[[#This Row],[Language]]&lt;&gt;"en",Table1938[[#This Row],[Language]]&lt;&gt;"EN",Table1938[[#This Row],[Language]]&lt;&gt;"spa",Table1938[[#This Row],[Language]]&lt;&gt;"SPA"),TRUE,FALSE))</f>
        <v>0</v>
      </c>
      <c r="U193" s="2" t="b">
        <f>IF(AND(Table1938[[#This Row],[EC-01]]=FALSE,Table1938[[#This Row],[EC-02]]=FALSE,Table1938[[#This Row],[EC-03]]=FALSE,Table1938[[#This Row],[EC-04]]=FALSE,Table1938[[#This Row],[EC-05]]=FALSE,Table1938[[#This Row],[EC-06]]=FALSE),TRUE,FALSE)</f>
        <v>0</v>
      </c>
      <c r="V193" s="2" t="b">
        <f>IF(Table1938[[#This Row],[Date]]&lt;&gt;"",AND(YEAR(Table1938[[#This Row],[Date]])&gt;=2010, YEAR(Table1938[[#This Row],[Date]])&lt;=2024),FALSE)</f>
        <v>1</v>
      </c>
      <c r="W193" s="2" t="b">
        <f>IF(Table1938[[#This Row],[Date]]&lt;&gt;"",AND(YEAR(Table1938[[#This Row],[Date]])&gt;=2010, YEAR(Table1938[[#This Row],[Date]])&lt;=2020),FALSE)</f>
        <v>1</v>
      </c>
      <c r="X193" s="2" t="b">
        <f>IF(AND(Table1938[[#This Row],[Accesible]]=TRUE,Table1938[[#This Row],[DOI]]&lt;&gt;""),TRUE,FALSE)</f>
        <v>1</v>
      </c>
      <c r="Y193" s="2" t="b">
        <f>OR(Table1938[[#This Row],[Document Type]]="journalArticle",Table1938[[#This Row],[Document Type]]="conferencePaper",Table1938[[#This Row],[Document Type]]="review")</f>
        <v>1</v>
      </c>
      <c r="Z193" s="2" t="b" cm="1">
        <f t="array" ref="Z193">SUMPRODUCT(--ISNUMBER(SEARCH({"dimensional analysis","dimensionless coefficients","Π","Pi","theorem","software","design","tools","development","architecture","similar"}, LOWER(Table1938[[#This Row],[Title]]))))&gt;0</f>
        <v>0</v>
      </c>
      <c r="AA193" s="2" t="b" cm="1">
        <f t="array" ref="AA193">SUMPRODUCT(--ISNUMBER(SEARCH({"dimensional analysis","dimensionless coefficients","Π","Pi","theorem","software","design","tools","development","architecture","similar"}, LOWER(Table1938[[#This Row],[Abstract]]))))&gt;0</f>
        <v>0</v>
      </c>
      <c r="AB193" s="2" t="b">
        <f>AND(OR(Table1938[[#This Row],[IC-01 @2024]:[IC-01 @2020]])=TRUE,Table1938[[#This Row],[IC-02]]=TRUE,Table1938[[#This Row],[IC-03]]=TRUE,Table1938[[#This Row],[IC-04]]=TRUE,Table1938[[#This Row],[IC-05]]=TRUE)</f>
        <v>0</v>
      </c>
      <c r="AC193" s="2" t="b">
        <f>AND(Table1938[[#This Row],[Pass-IC]]=TRUE,Table1938[[#This Row],[Pass-EC]]=TRUE)</f>
        <v>0</v>
      </c>
      <c r="AD193" s="2" t="b">
        <f>COUNTIF($D$25:D193, Table1938[[#This Row],[Title]]) = 1</f>
        <v>1</v>
      </c>
      <c r="AE193" s="2" t="b">
        <f>AND(Table1938[[#This Row],[IC + EC]:[Unique]])</f>
        <v>0</v>
      </c>
      <c r="AF193" s="2" t="b">
        <v>0</v>
      </c>
      <c r="AG193" s="2" t="b">
        <v>0</v>
      </c>
      <c r="AH193" s="2" t="b">
        <v>0</v>
      </c>
      <c r="AI193" s="2" t="b">
        <f>IF(AND(Table1938[[#This Row],[Double Check]]=TRUE,Table1938[[#This Row],[Inspected]]=TRUE,Table1938[[#This Row],[Relevant]]=TRUE),TRUE,FALSE)</f>
        <v>0</v>
      </c>
    </row>
    <row r="194" spans="1:35" ht="43" x14ac:dyDescent="0.5">
      <c r="A194" s="2">
        <v>193</v>
      </c>
      <c r="B194" s="20" t="s">
        <v>0</v>
      </c>
      <c r="C194" s="20" t="s">
        <v>2953</v>
      </c>
      <c r="D194" s="20" t="s">
        <v>881</v>
      </c>
      <c r="E194" s="20" t="s">
        <v>123</v>
      </c>
      <c r="F194" s="2" t="s">
        <v>123</v>
      </c>
      <c r="G194" s="20" t="s">
        <v>882</v>
      </c>
      <c r="H194" s="36">
        <v>45421</v>
      </c>
      <c r="I194" s="20">
        <v>2024</v>
      </c>
      <c r="J194" s="20" t="s">
        <v>62</v>
      </c>
      <c r="K194" s="20" t="s">
        <v>123</v>
      </c>
      <c r="L194" s="20" t="s">
        <v>2515</v>
      </c>
      <c r="M194" s="20" t="s">
        <v>883</v>
      </c>
      <c r="N194" s="20" t="b">
        <v>1</v>
      </c>
      <c r="O194" s="2" t="b">
        <f>IF(Table1938[[#This Row],[Title]]="",TRUE,FALSE)</f>
        <v>0</v>
      </c>
      <c r="P194" s="2" t="b">
        <f>IF(Table1938[[#This Row],[Author]]="",TRUE,FALSE)</f>
        <v>1</v>
      </c>
      <c r="Q194" s="2" t="b">
        <f>IF(Table1938[[#This Row],[DOI]]&lt;&gt;"", FALSE,TRUE)</f>
        <v>0</v>
      </c>
      <c r="R194" s="2" t="b">
        <f>IF(Table1938[[#This Row],[Abstract]]="",TRUE,FALSE)</f>
        <v>1</v>
      </c>
      <c r="S194" s="2" t="b">
        <f>IF(OR(Table1938[[#This Row],[Document Type]]="book",Table1938[[#This Row],[Document Type]]="bookSection"),TRUE,FALSE)</f>
        <v>0</v>
      </c>
      <c r="T194" s="2" t="b">
        <f>NOT(IF(OR(Table1938[[#This Row],[Language]]&lt;&gt;"en",Table1938[[#This Row],[Language]]&lt;&gt;"EN",Table1938[[#This Row],[Language]]&lt;&gt;"spa",Table1938[[#This Row],[Language]]&lt;&gt;"SPA"),TRUE,FALSE))</f>
        <v>0</v>
      </c>
      <c r="U194" s="2" t="b">
        <f>IF(AND(Table1938[[#This Row],[EC-01]]=FALSE,Table1938[[#This Row],[EC-02]]=FALSE,Table1938[[#This Row],[EC-03]]=FALSE,Table1938[[#This Row],[EC-04]]=FALSE,Table1938[[#This Row],[EC-05]]=FALSE,Table1938[[#This Row],[EC-06]]=FALSE),TRUE,FALSE)</f>
        <v>0</v>
      </c>
      <c r="V194" s="2" t="b">
        <f>IF(Table1938[[#This Row],[Date]]&lt;&gt;"",AND(YEAR(Table1938[[#This Row],[Date]])&gt;=2010, YEAR(Table1938[[#This Row],[Date]])&lt;=2024),FALSE)</f>
        <v>1</v>
      </c>
      <c r="W194" s="2" t="b">
        <f>IF(Table1938[[#This Row],[Date]]&lt;&gt;"",AND(YEAR(Table1938[[#This Row],[Date]])&gt;=2010, YEAR(Table1938[[#This Row],[Date]])&lt;=2020),FALSE)</f>
        <v>0</v>
      </c>
      <c r="X194" s="2" t="b">
        <f>IF(AND(Table1938[[#This Row],[Accesible]]=TRUE,Table1938[[#This Row],[DOI]]&lt;&gt;""),TRUE,FALSE)</f>
        <v>1</v>
      </c>
      <c r="Y194" s="2" t="b">
        <f>OR(Table1938[[#This Row],[Document Type]]="journalArticle",Table1938[[#This Row],[Document Type]]="conferencePaper",Table1938[[#This Row],[Document Type]]="review")</f>
        <v>1</v>
      </c>
      <c r="Z194" s="2" t="b" cm="1">
        <f t="array" ref="Z194">SUMPRODUCT(--ISNUMBER(SEARCH({"dimensional analysis","dimensionless coefficients","Π","Pi","theorem","software","design","tools","development","architecture","similar"}, LOWER(Table1938[[#This Row],[Title]]))))&gt;0</f>
        <v>0</v>
      </c>
      <c r="AA194" s="2" t="b" cm="1">
        <f t="array" ref="AA194">SUMPRODUCT(--ISNUMBER(SEARCH({"dimensional analysis","dimensionless coefficients","Π","Pi","theorem","software","design","tools","development","architecture","similar"}, LOWER(Table1938[[#This Row],[Abstract]]))))&gt;0</f>
        <v>0</v>
      </c>
      <c r="AB194" s="2" t="b">
        <f>AND(OR(Table1938[[#This Row],[IC-01 @2024]:[IC-01 @2020]])=TRUE,Table1938[[#This Row],[IC-02]]=TRUE,Table1938[[#This Row],[IC-03]]=TRUE,Table1938[[#This Row],[IC-04]]=TRUE,Table1938[[#This Row],[IC-05]]=TRUE)</f>
        <v>0</v>
      </c>
      <c r="AC194" s="2" t="b">
        <f>AND(Table1938[[#This Row],[Pass-IC]]=TRUE,Table1938[[#This Row],[Pass-EC]]=TRUE)</f>
        <v>0</v>
      </c>
      <c r="AD194" s="2" t="b">
        <f>COUNTIF($D$25:D194, Table1938[[#This Row],[Title]]) = 1</f>
        <v>0</v>
      </c>
      <c r="AE194" s="2" t="b">
        <f>AND(Table1938[[#This Row],[IC + EC]:[Unique]])</f>
        <v>0</v>
      </c>
      <c r="AF194" s="2" t="b">
        <v>0</v>
      </c>
      <c r="AG194" s="2" t="b">
        <v>0</v>
      </c>
      <c r="AH194" s="2" t="b">
        <v>0</v>
      </c>
      <c r="AI194" s="2" t="b">
        <f>IF(AND(Table1938[[#This Row],[Double Check]]=TRUE,Table1938[[#This Row],[Inspected]]=TRUE,Table1938[[#This Row],[Relevant]]=TRUE),TRUE,FALSE)</f>
        <v>0</v>
      </c>
    </row>
    <row r="195" spans="1:35" ht="43" x14ac:dyDescent="0.5">
      <c r="A195" s="2">
        <v>194</v>
      </c>
      <c r="B195" s="20" t="s">
        <v>0</v>
      </c>
      <c r="C195" s="20" t="s">
        <v>2954</v>
      </c>
      <c r="D195" s="20" t="s">
        <v>406</v>
      </c>
      <c r="E195" s="20" t="s">
        <v>123</v>
      </c>
      <c r="F195" s="2" t="s">
        <v>421</v>
      </c>
      <c r="G195" s="20" t="s">
        <v>877</v>
      </c>
      <c r="H195" s="36">
        <v>44805</v>
      </c>
      <c r="I195" s="20">
        <v>2022</v>
      </c>
      <c r="J195" s="20" t="s">
        <v>62</v>
      </c>
      <c r="K195" s="20" t="s">
        <v>123</v>
      </c>
      <c r="L195" s="20" t="s">
        <v>2515</v>
      </c>
      <c r="M195" s="20" t="s">
        <v>433</v>
      </c>
      <c r="N195" s="20" t="b">
        <v>1</v>
      </c>
      <c r="O195" s="2" t="b">
        <f>IF(Table1938[[#This Row],[Title]]="",TRUE,FALSE)</f>
        <v>0</v>
      </c>
      <c r="P195" s="2" t="b">
        <f>IF(Table1938[[#This Row],[Author]]="",TRUE,FALSE)</f>
        <v>1</v>
      </c>
      <c r="Q195" s="2" t="b">
        <f>IF(Table1938[[#This Row],[DOI]]&lt;&gt;"", FALSE,TRUE)</f>
        <v>0</v>
      </c>
      <c r="R195" s="2" t="b">
        <f>IF(Table1938[[#This Row],[Abstract]]="",TRUE,FALSE)</f>
        <v>0</v>
      </c>
      <c r="S195" s="2" t="b">
        <f>IF(OR(Table1938[[#This Row],[Document Type]]="book",Table1938[[#This Row],[Document Type]]="bookSection"),TRUE,FALSE)</f>
        <v>0</v>
      </c>
      <c r="T195" s="2" t="b">
        <f>NOT(IF(OR(Table1938[[#This Row],[Language]]&lt;&gt;"en",Table1938[[#This Row],[Language]]&lt;&gt;"EN",Table1938[[#This Row],[Language]]&lt;&gt;"spa",Table1938[[#This Row],[Language]]&lt;&gt;"SPA"),TRUE,FALSE))</f>
        <v>0</v>
      </c>
      <c r="U195" s="2" t="b">
        <f>IF(AND(Table1938[[#This Row],[EC-01]]=FALSE,Table1938[[#This Row],[EC-02]]=FALSE,Table1938[[#This Row],[EC-03]]=FALSE,Table1938[[#This Row],[EC-04]]=FALSE,Table1938[[#This Row],[EC-05]]=FALSE,Table1938[[#This Row],[EC-06]]=FALSE),TRUE,FALSE)</f>
        <v>0</v>
      </c>
      <c r="V195" s="2" t="b">
        <f>IF(Table1938[[#This Row],[Date]]&lt;&gt;"",AND(YEAR(Table1938[[#This Row],[Date]])&gt;=2010, YEAR(Table1938[[#This Row],[Date]])&lt;=2024),FALSE)</f>
        <v>1</v>
      </c>
      <c r="W195" s="2" t="b">
        <f>IF(Table1938[[#This Row],[Date]]&lt;&gt;"",AND(YEAR(Table1938[[#This Row],[Date]])&gt;=2010, YEAR(Table1938[[#This Row],[Date]])&lt;=2020),FALSE)</f>
        <v>0</v>
      </c>
      <c r="X195" s="2" t="b">
        <f>IF(AND(Table1938[[#This Row],[Accesible]]=TRUE,Table1938[[#This Row],[DOI]]&lt;&gt;""),TRUE,FALSE)</f>
        <v>1</v>
      </c>
      <c r="Y195" s="2" t="b">
        <f>OR(Table1938[[#This Row],[Document Type]]="journalArticle",Table1938[[#This Row],[Document Type]]="conferencePaper",Table1938[[#This Row],[Document Type]]="review")</f>
        <v>1</v>
      </c>
      <c r="Z195" s="2" t="b" cm="1">
        <f t="array" ref="Z195">SUMPRODUCT(--ISNUMBER(SEARCH({"dimensional analysis","dimensionless coefficients","Π","Pi","theorem","software","design","tools","development","architecture","similar"}, LOWER(Table1938[[#This Row],[Title]]))))&gt;0</f>
        <v>0</v>
      </c>
      <c r="AA195" s="2" t="b" cm="1">
        <f t="array" ref="AA195">SUMPRODUCT(--ISNUMBER(SEARCH({"dimensional analysis","dimensionless coefficients","Π","Pi","theorem","software","design","tools","development","architecture","similar"}, LOWER(Table1938[[#This Row],[Abstract]]))))&gt;0</f>
        <v>0</v>
      </c>
      <c r="AB195" s="2" t="b">
        <f>AND(OR(Table1938[[#This Row],[IC-01 @2024]:[IC-01 @2020]])=TRUE,Table1938[[#This Row],[IC-02]]=TRUE,Table1938[[#This Row],[IC-03]]=TRUE,Table1938[[#This Row],[IC-04]]=TRUE,Table1938[[#This Row],[IC-05]]=TRUE)</f>
        <v>0</v>
      </c>
      <c r="AC195" s="2" t="b">
        <f>AND(Table1938[[#This Row],[Pass-IC]]=TRUE,Table1938[[#This Row],[Pass-EC]]=TRUE)</f>
        <v>0</v>
      </c>
      <c r="AD195" s="2" t="b">
        <f>COUNTIF($D$25:D195, Table1938[[#This Row],[Title]]) = 1</f>
        <v>1</v>
      </c>
      <c r="AE195" s="2" t="b">
        <f>AND(Table1938[[#This Row],[IC + EC]:[Unique]])</f>
        <v>0</v>
      </c>
      <c r="AF195" s="2" t="b">
        <v>0</v>
      </c>
      <c r="AG195" s="2" t="b">
        <v>0</v>
      </c>
      <c r="AH195" s="2" t="b">
        <v>0</v>
      </c>
      <c r="AI195" s="2" t="b">
        <f>IF(AND(Table1938[[#This Row],[Double Check]]=TRUE,Table1938[[#This Row],[Inspected]]=TRUE,Table1938[[#This Row],[Relevant]]=TRUE),TRUE,FALSE)</f>
        <v>0</v>
      </c>
    </row>
    <row r="196" spans="1:35" ht="71.7" x14ac:dyDescent="0.5">
      <c r="A196" s="2">
        <v>195</v>
      </c>
      <c r="B196" s="20" t="s">
        <v>0</v>
      </c>
      <c r="C196" s="20" t="s">
        <v>2955</v>
      </c>
      <c r="D196" s="20" t="s">
        <v>404</v>
      </c>
      <c r="E196" s="20" t="s">
        <v>415</v>
      </c>
      <c r="F196" s="2" t="s">
        <v>419</v>
      </c>
      <c r="G196" s="20" t="s">
        <v>855</v>
      </c>
      <c r="H196" s="36">
        <v>44562</v>
      </c>
      <c r="I196" s="20">
        <v>2022</v>
      </c>
      <c r="J196" s="20" t="s">
        <v>61</v>
      </c>
      <c r="K196" s="20" t="s">
        <v>2956</v>
      </c>
      <c r="L196" s="20" t="s">
        <v>2515</v>
      </c>
      <c r="M196" s="20" t="s">
        <v>431</v>
      </c>
      <c r="N196" s="20" t="b">
        <v>1</v>
      </c>
      <c r="O196" s="2" t="b">
        <f>IF(Table1938[[#This Row],[Title]]="",TRUE,FALSE)</f>
        <v>0</v>
      </c>
      <c r="P196" s="2" t="b">
        <f>IF(Table1938[[#This Row],[Author]]="",TRUE,FALSE)</f>
        <v>0</v>
      </c>
      <c r="Q196" s="2" t="b">
        <f>IF(Table1938[[#This Row],[DOI]]&lt;&gt;"", FALSE,TRUE)</f>
        <v>0</v>
      </c>
      <c r="R196" s="2" t="b">
        <f>IF(Table1938[[#This Row],[Abstract]]="",TRUE,FALSE)</f>
        <v>0</v>
      </c>
      <c r="S196" s="2" t="b">
        <f>IF(OR(Table1938[[#This Row],[Document Type]]="book",Table1938[[#This Row],[Document Type]]="bookSection"),TRUE,FALSE)</f>
        <v>0</v>
      </c>
      <c r="T196" s="2" t="b">
        <f>NOT(IF(OR(Table1938[[#This Row],[Language]]&lt;&gt;"en",Table1938[[#This Row],[Language]]&lt;&gt;"EN",Table1938[[#This Row],[Language]]&lt;&gt;"spa",Table1938[[#This Row],[Language]]&lt;&gt;"SPA"),TRUE,FALSE))</f>
        <v>0</v>
      </c>
      <c r="U196" s="2" t="b">
        <f>IF(AND(Table1938[[#This Row],[EC-01]]=FALSE,Table1938[[#This Row],[EC-02]]=FALSE,Table1938[[#This Row],[EC-03]]=FALSE,Table1938[[#This Row],[EC-04]]=FALSE,Table1938[[#This Row],[EC-05]]=FALSE,Table1938[[#This Row],[EC-06]]=FALSE),TRUE,FALSE)</f>
        <v>1</v>
      </c>
      <c r="V196" s="2" t="b">
        <f>IF(Table1938[[#This Row],[Date]]&lt;&gt;"",AND(YEAR(Table1938[[#This Row],[Date]])&gt;=2010, YEAR(Table1938[[#This Row],[Date]])&lt;=2024),FALSE)</f>
        <v>1</v>
      </c>
      <c r="W196" s="2" t="b">
        <f>IF(Table1938[[#This Row],[Date]]&lt;&gt;"",AND(YEAR(Table1938[[#This Row],[Date]])&gt;=2010, YEAR(Table1938[[#This Row],[Date]])&lt;=2020),FALSE)</f>
        <v>0</v>
      </c>
      <c r="X196" s="2" t="b">
        <f>IF(AND(Table1938[[#This Row],[Accesible]]=TRUE,Table1938[[#This Row],[DOI]]&lt;&gt;""),TRUE,FALSE)</f>
        <v>1</v>
      </c>
      <c r="Y196" s="2" t="b">
        <f>OR(Table1938[[#This Row],[Document Type]]="journalArticle",Table1938[[#This Row],[Document Type]]="conferencePaper",Table1938[[#This Row],[Document Type]]="review")</f>
        <v>1</v>
      </c>
      <c r="Z196" s="2" t="b" cm="1">
        <f t="array" ref="Z196">SUMPRODUCT(--ISNUMBER(SEARCH({"dimensional analysis","dimensionless coefficients","Π","Pi","theorem","software","design","tools","development","architecture","similar"}, LOWER(Table1938[[#This Row],[Title]]))))&gt;0</f>
        <v>0</v>
      </c>
      <c r="AA196" s="2" t="b" cm="1">
        <f t="array" ref="AA196">SUMPRODUCT(--ISNUMBER(SEARCH({"dimensional analysis","dimensionless coefficients","Π","Pi","theorem","software","design","tools","development","architecture","similar"}, LOWER(Table1938[[#This Row],[Abstract]]))))&gt;0</f>
        <v>1</v>
      </c>
      <c r="AB196" s="2" t="b">
        <f>AND(OR(Table1938[[#This Row],[IC-01 @2024]:[IC-01 @2020]])=TRUE,Table1938[[#This Row],[IC-02]]=TRUE,Table1938[[#This Row],[IC-03]]=TRUE,Table1938[[#This Row],[IC-04]]=TRUE,Table1938[[#This Row],[IC-05]]=TRUE)</f>
        <v>0</v>
      </c>
      <c r="AC196" s="2" t="b">
        <f>AND(Table1938[[#This Row],[Pass-IC]]=TRUE,Table1938[[#This Row],[Pass-EC]]=TRUE)</f>
        <v>0</v>
      </c>
      <c r="AD196" s="2" t="b">
        <f>COUNTIF($D$25:D196, Table1938[[#This Row],[Title]]) = 1</f>
        <v>1</v>
      </c>
      <c r="AE196" s="2" t="b">
        <f>AND(Table1938[[#This Row],[IC + EC]:[Unique]])</f>
        <v>0</v>
      </c>
      <c r="AF196" s="2" t="b">
        <v>0</v>
      </c>
      <c r="AG196" s="2" t="b">
        <v>0</v>
      </c>
      <c r="AH196" s="2" t="b">
        <v>0</v>
      </c>
      <c r="AI196" s="2" t="b">
        <f>IF(AND(Table1938[[#This Row],[Double Check]]=TRUE,Table1938[[#This Row],[Inspected]]=TRUE,Table1938[[#This Row],[Relevant]]=TRUE),TRUE,FALSE)</f>
        <v>0</v>
      </c>
    </row>
    <row r="197" spans="1:35" ht="71.7" x14ac:dyDescent="0.5">
      <c r="A197" s="2">
        <v>196</v>
      </c>
      <c r="B197" s="20" t="s">
        <v>0</v>
      </c>
      <c r="C197" s="20" t="s">
        <v>2957</v>
      </c>
      <c r="D197" s="20" t="s">
        <v>403</v>
      </c>
      <c r="E197" s="20" t="s">
        <v>857</v>
      </c>
      <c r="F197" s="2" t="s">
        <v>418</v>
      </c>
      <c r="G197" s="20" t="s">
        <v>855</v>
      </c>
      <c r="H197" s="36">
        <v>42736</v>
      </c>
      <c r="I197" s="20">
        <v>2017</v>
      </c>
      <c r="J197" s="20" t="s">
        <v>61</v>
      </c>
      <c r="K197" s="20" t="s">
        <v>2958</v>
      </c>
      <c r="L197" s="20" t="s">
        <v>2515</v>
      </c>
      <c r="M197" s="20" t="s">
        <v>430</v>
      </c>
      <c r="N197" s="20" t="b">
        <v>1</v>
      </c>
      <c r="O197" s="2" t="b">
        <f>IF(Table1938[[#This Row],[Title]]="",TRUE,FALSE)</f>
        <v>0</v>
      </c>
      <c r="P197" s="2" t="b">
        <f>IF(Table1938[[#This Row],[Author]]="",TRUE,FALSE)</f>
        <v>0</v>
      </c>
      <c r="Q197" s="2" t="b">
        <f>IF(Table1938[[#This Row],[DOI]]&lt;&gt;"", FALSE,TRUE)</f>
        <v>0</v>
      </c>
      <c r="R197" s="2" t="b">
        <f>IF(Table1938[[#This Row],[Abstract]]="",TRUE,FALSE)</f>
        <v>0</v>
      </c>
      <c r="S197" s="2" t="b">
        <f>IF(OR(Table1938[[#This Row],[Document Type]]="book",Table1938[[#This Row],[Document Type]]="bookSection"),TRUE,FALSE)</f>
        <v>0</v>
      </c>
      <c r="T197" s="2" t="b">
        <f>NOT(IF(OR(Table1938[[#This Row],[Language]]&lt;&gt;"en",Table1938[[#This Row],[Language]]&lt;&gt;"EN",Table1938[[#This Row],[Language]]&lt;&gt;"spa",Table1938[[#This Row],[Language]]&lt;&gt;"SPA"),TRUE,FALSE))</f>
        <v>0</v>
      </c>
      <c r="U197" s="2" t="b">
        <f>IF(AND(Table1938[[#This Row],[EC-01]]=FALSE,Table1938[[#This Row],[EC-02]]=FALSE,Table1938[[#This Row],[EC-03]]=FALSE,Table1938[[#This Row],[EC-04]]=FALSE,Table1938[[#This Row],[EC-05]]=FALSE,Table1938[[#This Row],[EC-06]]=FALSE),TRUE,FALSE)</f>
        <v>1</v>
      </c>
      <c r="V197" s="2" t="b">
        <f>IF(Table1938[[#This Row],[Date]]&lt;&gt;"",AND(YEAR(Table1938[[#This Row],[Date]])&gt;=2010, YEAR(Table1938[[#This Row],[Date]])&lt;=2024),FALSE)</f>
        <v>1</v>
      </c>
      <c r="W197" s="2" t="b">
        <f>IF(Table1938[[#This Row],[Date]]&lt;&gt;"",AND(YEAR(Table1938[[#This Row],[Date]])&gt;=2010, YEAR(Table1938[[#This Row],[Date]])&lt;=2020),FALSE)</f>
        <v>1</v>
      </c>
      <c r="X197" s="2" t="b">
        <f>IF(AND(Table1938[[#This Row],[Accesible]]=TRUE,Table1938[[#This Row],[DOI]]&lt;&gt;""),TRUE,FALSE)</f>
        <v>1</v>
      </c>
      <c r="Y197" s="2" t="b">
        <f>OR(Table1938[[#This Row],[Document Type]]="journalArticle",Table1938[[#This Row],[Document Type]]="conferencePaper",Table1938[[#This Row],[Document Type]]="review")</f>
        <v>1</v>
      </c>
      <c r="Z197" s="2" t="b" cm="1">
        <f t="array" ref="Z197">SUMPRODUCT(--ISNUMBER(SEARCH({"dimensional analysis","dimensionless coefficients","Π","Pi","theorem","software","design","tools","development","architecture","similar"}, LOWER(Table1938[[#This Row],[Title]]))))&gt;0</f>
        <v>0</v>
      </c>
      <c r="AA197" s="2" t="b" cm="1">
        <f t="array" ref="AA197">SUMPRODUCT(--ISNUMBER(SEARCH({"dimensional analysis","dimensionless coefficients","Π","Pi","theorem","software","design","tools","development","architecture","similar"}, LOWER(Table1938[[#This Row],[Abstract]]))))&gt;0</f>
        <v>1</v>
      </c>
      <c r="AB197" s="2" t="b">
        <f>AND(OR(Table1938[[#This Row],[IC-01 @2024]:[IC-01 @2020]])=TRUE,Table1938[[#This Row],[IC-02]]=TRUE,Table1938[[#This Row],[IC-03]]=TRUE,Table1938[[#This Row],[IC-04]]=TRUE,Table1938[[#This Row],[IC-05]]=TRUE)</f>
        <v>0</v>
      </c>
      <c r="AC197" s="2" t="b">
        <f>AND(Table1938[[#This Row],[Pass-IC]]=TRUE,Table1938[[#This Row],[Pass-EC]]=TRUE)</f>
        <v>0</v>
      </c>
      <c r="AD197" s="2" t="b">
        <f>COUNTIF($D$25:D197, Table1938[[#This Row],[Title]]) = 1</f>
        <v>1</v>
      </c>
      <c r="AE197" s="2" t="b">
        <f>AND(Table1938[[#This Row],[IC + EC]:[Unique]])</f>
        <v>0</v>
      </c>
      <c r="AF197" s="2" t="b">
        <v>0</v>
      </c>
      <c r="AG197" s="2" t="b">
        <v>0</v>
      </c>
      <c r="AH197" s="2" t="b">
        <v>0</v>
      </c>
      <c r="AI197" s="2" t="b">
        <f>IF(AND(Table1938[[#This Row],[Double Check]]=TRUE,Table1938[[#This Row],[Inspected]]=TRUE,Table1938[[#This Row],[Relevant]]=TRUE),TRUE,FALSE)</f>
        <v>0</v>
      </c>
    </row>
    <row r="198" spans="1:35" ht="28.7" x14ac:dyDescent="0.5">
      <c r="A198" s="2">
        <v>197</v>
      </c>
      <c r="B198" s="20" t="s">
        <v>0</v>
      </c>
      <c r="C198" s="20" t="s">
        <v>2959</v>
      </c>
      <c r="D198" s="20" t="s">
        <v>411</v>
      </c>
      <c r="E198" s="20" t="s">
        <v>123</v>
      </c>
      <c r="F198" s="2" t="s">
        <v>425</v>
      </c>
      <c r="G198" s="20" t="s">
        <v>862</v>
      </c>
      <c r="H198" s="36">
        <v>43435</v>
      </c>
      <c r="I198" s="20">
        <v>2018</v>
      </c>
      <c r="J198" s="20" t="s">
        <v>61</v>
      </c>
      <c r="K198" s="20" t="s">
        <v>123</v>
      </c>
      <c r="L198" s="20" t="s">
        <v>2515</v>
      </c>
      <c r="M198" s="20" t="s">
        <v>438</v>
      </c>
      <c r="N198" s="20" t="b">
        <v>1</v>
      </c>
      <c r="O198" s="2" t="b">
        <f>IF(Table1938[[#This Row],[Title]]="",TRUE,FALSE)</f>
        <v>0</v>
      </c>
      <c r="P198" s="2" t="b">
        <f>IF(Table1938[[#This Row],[Author]]="",TRUE,FALSE)</f>
        <v>1</v>
      </c>
      <c r="Q198" s="2" t="b">
        <f>IF(Table1938[[#This Row],[DOI]]&lt;&gt;"", FALSE,TRUE)</f>
        <v>0</v>
      </c>
      <c r="R198" s="2" t="b">
        <f>IF(Table1938[[#This Row],[Abstract]]="",TRUE,FALSE)</f>
        <v>0</v>
      </c>
      <c r="S198" s="2" t="b">
        <f>IF(OR(Table1938[[#This Row],[Document Type]]="book",Table1938[[#This Row],[Document Type]]="bookSection"),TRUE,FALSE)</f>
        <v>0</v>
      </c>
      <c r="T198" s="2" t="b">
        <f>NOT(IF(OR(Table1938[[#This Row],[Language]]&lt;&gt;"en",Table1938[[#This Row],[Language]]&lt;&gt;"EN",Table1938[[#This Row],[Language]]&lt;&gt;"spa",Table1938[[#This Row],[Language]]&lt;&gt;"SPA"),TRUE,FALSE))</f>
        <v>0</v>
      </c>
      <c r="U198" s="2" t="b">
        <f>IF(AND(Table1938[[#This Row],[EC-01]]=FALSE,Table1938[[#This Row],[EC-02]]=FALSE,Table1938[[#This Row],[EC-03]]=FALSE,Table1938[[#This Row],[EC-04]]=FALSE,Table1938[[#This Row],[EC-05]]=FALSE,Table1938[[#This Row],[EC-06]]=FALSE),TRUE,FALSE)</f>
        <v>0</v>
      </c>
      <c r="V198" s="2" t="b">
        <f>IF(Table1938[[#This Row],[Date]]&lt;&gt;"",AND(YEAR(Table1938[[#This Row],[Date]])&gt;=2010, YEAR(Table1938[[#This Row],[Date]])&lt;=2024),FALSE)</f>
        <v>1</v>
      </c>
      <c r="W198" s="2" t="b">
        <f>IF(Table1938[[#This Row],[Date]]&lt;&gt;"",AND(YEAR(Table1938[[#This Row],[Date]])&gt;=2010, YEAR(Table1938[[#This Row],[Date]])&lt;=2020),FALSE)</f>
        <v>1</v>
      </c>
      <c r="X198" s="2" t="b">
        <f>IF(AND(Table1938[[#This Row],[Accesible]]=TRUE,Table1938[[#This Row],[DOI]]&lt;&gt;""),TRUE,FALSE)</f>
        <v>1</v>
      </c>
      <c r="Y198" s="2" t="b">
        <f>OR(Table1938[[#This Row],[Document Type]]="journalArticle",Table1938[[#This Row],[Document Type]]="conferencePaper",Table1938[[#This Row],[Document Type]]="review")</f>
        <v>1</v>
      </c>
      <c r="Z198" s="2" t="b" cm="1">
        <f t="array" ref="Z198">SUMPRODUCT(--ISNUMBER(SEARCH({"dimensional analysis","dimensionless coefficients","Π","Pi","theorem","software","design","tools","development","architecture","similar"}, LOWER(Table1938[[#This Row],[Title]]))))&gt;0</f>
        <v>0</v>
      </c>
      <c r="AA198" s="2" t="b" cm="1">
        <f t="array" ref="AA198">SUMPRODUCT(--ISNUMBER(SEARCH({"dimensional analysis","dimensionless coefficients","Π","Pi","theorem","software","design","tools","development","architecture","similar"}, LOWER(Table1938[[#This Row],[Abstract]]))))&gt;0</f>
        <v>0</v>
      </c>
      <c r="AB198" s="2" t="b">
        <f>AND(OR(Table1938[[#This Row],[IC-01 @2024]:[IC-01 @2020]])=TRUE,Table1938[[#This Row],[IC-02]]=TRUE,Table1938[[#This Row],[IC-03]]=TRUE,Table1938[[#This Row],[IC-04]]=TRUE,Table1938[[#This Row],[IC-05]]=TRUE)</f>
        <v>0</v>
      </c>
      <c r="AC198" s="2" t="b">
        <f>AND(Table1938[[#This Row],[Pass-IC]]=TRUE,Table1938[[#This Row],[Pass-EC]]=TRUE)</f>
        <v>0</v>
      </c>
      <c r="AD198" s="2" t="b">
        <f>COUNTIF($D$25:D198, Table1938[[#This Row],[Title]]) = 1</f>
        <v>1</v>
      </c>
      <c r="AE198" s="2" t="b">
        <f>AND(Table1938[[#This Row],[IC + EC]:[Unique]])</f>
        <v>0</v>
      </c>
      <c r="AF198" s="2" t="b">
        <v>0</v>
      </c>
      <c r="AG198" s="2" t="b">
        <v>0</v>
      </c>
      <c r="AH198" s="2" t="b">
        <v>0</v>
      </c>
      <c r="AI198" s="2" t="b">
        <f>IF(AND(Table1938[[#This Row],[Double Check]]=TRUE,Table1938[[#This Row],[Inspected]]=TRUE,Table1938[[#This Row],[Relevant]]=TRUE),TRUE,FALSE)</f>
        <v>0</v>
      </c>
    </row>
    <row r="199" spans="1:35" ht="43" x14ac:dyDescent="0.5">
      <c r="A199" s="2">
        <v>198</v>
      </c>
      <c r="B199" s="20" t="s">
        <v>0</v>
      </c>
      <c r="C199" s="20" t="s">
        <v>2960</v>
      </c>
      <c r="D199" s="20" t="s">
        <v>900</v>
      </c>
      <c r="E199" s="20" t="s">
        <v>123</v>
      </c>
      <c r="F199" s="2" t="s">
        <v>123</v>
      </c>
      <c r="G199" s="20" t="s">
        <v>891</v>
      </c>
      <c r="H199" s="36">
        <v>45561</v>
      </c>
      <c r="I199" s="20">
        <v>2024</v>
      </c>
      <c r="J199" s="20" t="s">
        <v>62</v>
      </c>
      <c r="K199" s="20" t="s">
        <v>123</v>
      </c>
      <c r="L199" s="20" t="s">
        <v>2515</v>
      </c>
      <c r="M199" s="20" t="s">
        <v>901</v>
      </c>
      <c r="N199" s="20" t="b">
        <v>1</v>
      </c>
      <c r="O199" s="2" t="b">
        <f>IF(Table1938[[#This Row],[Title]]="",TRUE,FALSE)</f>
        <v>0</v>
      </c>
      <c r="P199" s="2" t="b">
        <f>IF(Table1938[[#This Row],[Author]]="",TRUE,FALSE)</f>
        <v>1</v>
      </c>
      <c r="Q199" s="2" t="b">
        <f>IF(Table1938[[#This Row],[DOI]]&lt;&gt;"", FALSE,TRUE)</f>
        <v>0</v>
      </c>
      <c r="R199" s="2" t="b">
        <f>IF(Table1938[[#This Row],[Abstract]]="",TRUE,FALSE)</f>
        <v>1</v>
      </c>
      <c r="S199" s="2" t="b">
        <f>IF(OR(Table1938[[#This Row],[Document Type]]="book",Table1938[[#This Row],[Document Type]]="bookSection"),TRUE,FALSE)</f>
        <v>0</v>
      </c>
      <c r="T199" s="2" t="b">
        <f>NOT(IF(OR(Table1938[[#This Row],[Language]]&lt;&gt;"en",Table1938[[#This Row],[Language]]&lt;&gt;"EN",Table1938[[#This Row],[Language]]&lt;&gt;"spa",Table1938[[#This Row],[Language]]&lt;&gt;"SPA"),TRUE,FALSE))</f>
        <v>0</v>
      </c>
      <c r="U199" s="2" t="b">
        <f>IF(AND(Table1938[[#This Row],[EC-01]]=FALSE,Table1938[[#This Row],[EC-02]]=FALSE,Table1938[[#This Row],[EC-03]]=FALSE,Table1938[[#This Row],[EC-04]]=FALSE,Table1938[[#This Row],[EC-05]]=FALSE,Table1938[[#This Row],[EC-06]]=FALSE),TRUE,FALSE)</f>
        <v>0</v>
      </c>
      <c r="V199" s="2" t="b">
        <f>IF(Table1938[[#This Row],[Date]]&lt;&gt;"",AND(YEAR(Table1938[[#This Row],[Date]])&gt;=2010, YEAR(Table1938[[#This Row],[Date]])&lt;=2024),FALSE)</f>
        <v>1</v>
      </c>
      <c r="W199" s="2" t="b">
        <f>IF(Table1938[[#This Row],[Date]]&lt;&gt;"",AND(YEAR(Table1938[[#This Row],[Date]])&gt;=2010, YEAR(Table1938[[#This Row],[Date]])&lt;=2020),FALSE)</f>
        <v>0</v>
      </c>
      <c r="X199" s="2" t="b">
        <f>IF(AND(Table1938[[#This Row],[Accesible]]=TRUE,Table1938[[#This Row],[DOI]]&lt;&gt;""),TRUE,FALSE)</f>
        <v>1</v>
      </c>
      <c r="Y199" s="2" t="b">
        <f>OR(Table1938[[#This Row],[Document Type]]="journalArticle",Table1938[[#This Row],[Document Type]]="conferencePaper",Table1938[[#This Row],[Document Type]]="review")</f>
        <v>1</v>
      </c>
      <c r="Z199" s="2" t="b" cm="1">
        <f t="array" ref="Z199">SUMPRODUCT(--ISNUMBER(SEARCH({"dimensional analysis","dimensionless coefficients","Π","Pi","theorem","software","design","tools","development","architecture","similar"}, LOWER(Table1938[[#This Row],[Title]]))))&gt;0</f>
        <v>0</v>
      </c>
      <c r="AA199" s="2" t="b" cm="1">
        <f t="array" ref="AA199">SUMPRODUCT(--ISNUMBER(SEARCH({"dimensional analysis","dimensionless coefficients","Π","Pi","theorem","software","design","tools","development","architecture","similar"}, LOWER(Table1938[[#This Row],[Abstract]]))))&gt;0</f>
        <v>0</v>
      </c>
      <c r="AB199" s="2" t="b">
        <f>AND(OR(Table1938[[#This Row],[IC-01 @2024]:[IC-01 @2020]])=TRUE,Table1938[[#This Row],[IC-02]]=TRUE,Table1938[[#This Row],[IC-03]]=TRUE,Table1938[[#This Row],[IC-04]]=TRUE,Table1938[[#This Row],[IC-05]]=TRUE)</f>
        <v>0</v>
      </c>
      <c r="AC199" s="2" t="b">
        <f>AND(Table1938[[#This Row],[Pass-IC]]=TRUE,Table1938[[#This Row],[Pass-EC]]=TRUE)</f>
        <v>0</v>
      </c>
      <c r="AD199" s="2" t="b">
        <f>COUNTIF($D$25:D199, Table1938[[#This Row],[Title]]) = 1</f>
        <v>1</v>
      </c>
      <c r="AE199" s="2" t="b">
        <f>AND(Table1938[[#This Row],[IC + EC]:[Unique]])</f>
        <v>0</v>
      </c>
      <c r="AF199" s="2" t="b">
        <v>0</v>
      </c>
      <c r="AG199" s="2" t="b">
        <v>0</v>
      </c>
      <c r="AH199" s="2" t="b">
        <v>0</v>
      </c>
      <c r="AI199" s="2" t="b">
        <f>IF(AND(Table1938[[#This Row],[Double Check]]=TRUE,Table1938[[#This Row],[Inspected]]=TRUE,Table1938[[#This Row],[Relevant]]=TRUE),TRUE,FALSE)</f>
        <v>0</v>
      </c>
    </row>
    <row r="200" spans="1:35" ht="57.35" x14ac:dyDescent="0.5">
      <c r="A200" s="2">
        <v>199</v>
      </c>
      <c r="B200" s="20" t="s">
        <v>3</v>
      </c>
      <c r="C200" s="20" t="s">
        <v>3006</v>
      </c>
      <c r="D200" s="20" t="s">
        <v>2184</v>
      </c>
      <c r="E200" s="20" t="s">
        <v>2183</v>
      </c>
      <c r="F200" s="2" t="s">
        <v>2186</v>
      </c>
      <c r="G200" s="20" t="s">
        <v>1014</v>
      </c>
      <c r="H200" s="36">
        <v>43435</v>
      </c>
      <c r="I200" s="20">
        <v>2018</v>
      </c>
      <c r="J200" s="20" t="s">
        <v>61</v>
      </c>
      <c r="K200" s="20" t="s">
        <v>3007</v>
      </c>
      <c r="L200" s="20" t="s">
        <v>2515</v>
      </c>
      <c r="M200" s="20" t="s">
        <v>2185</v>
      </c>
      <c r="N200" s="20" t="b">
        <v>1</v>
      </c>
      <c r="O200" s="2" t="b">
        <f>IF(Table1938[[#This Row],[Title]]="",TRUE,FALSE)</f>
        <v>0</v>
      </c>
      <c r="P200" s="2" t="b">
        <f>IF(Table1938[[#This Row],[Author]]="",TRUE,FALSE)</f>
        <v>0</v>
      </c>
      <c r="Q200" s="2" t="b">
        <f>IF(Table1938[[#This Row],[DOI]]&lt;&gt;"", FALSE,TRUE)</f>
        <v>0</v>
      </c>
      <c r="R200" s="2" t="b">
        <f>IF(Table1938[[#This Row],[Abstract]]="",TRUE,FALSE)</f>
        <v>0</v>
      </c>
      <c r="S200" s="2" t="b">
        <f>IF(OR(Table1938[[#This Row],[Document Type]]="book",Table1938[[#This Row],[Document Type]]="bookSection"),TRUE,FALSE)</f>
        <v>0</v>
      </c>
      <c r="T200" s="2" t="b">
        <f>NOT(IF(OR(Table1938[[#This Row],[Language]]&lt;&gt;"en",Table1938[[#This Row],[Language]]&lt;&gt;"EN",Table1938[[#This Row],[Language]]&lt;&gt;"spa",Table1938[[#This Row],[Language]]&lt;&gt;"SPA"),TRUE,FALSE))</f>
        <v>0</v>
      </c>
      <c r="U200" s="2" t="b">
        <f>IF(AND(Table1938[[#This Row],[EC-01]]=FALSE,Table1938[[#This Row],[EC-02]]=FALSE,Table1938[[#This Row],[EC-03]]=FALSE,Table1938[[#This Row],[EC-04]]=FALSE,Table1938[[#This Row],[EC-05]]=FALSE,Table1938[[#This Row],[EC-06]]=FALSE),TRUE,FALSE)</f>
        <v>1</v>
      </c>
      <c r="V200" s="2" t="b">
        <f>IF(Table1938[[#This Row],[Date]]&lt;&gt;"",AND(YEAR(Table1938[[#This Row],[Date]])&gt;=2010, YEAR(Table1938[[#This Row],[Date]])&lt;=2024),FALSE)</f>
        <v>1</v>
      </c>
      <c r="W200" s="2" t="b">
        <f>IF(Table1938[[#This Row],[Date]]&lt;&gt;"",AND(YEAR(Table1938[[#This Row],[Date]])&gt;=2010, YEAR(Table1938[[#This Row],[Date]])&lt;=2020),FALSE)</f>
        <v>1</v>
      </c>
      <c r="X200" s="2" t="b">
        <f>IF(AND(Table1938[[#This Row],[Accesible]]=TRUE,Table1938[[#This Row],[DOI]]&lt;&gt;""),TRUE,FALSE)</f>
        <v>1</v>
      </c>
      <c r="Y200" s="2" t="b">
        <f>OR(Table1938[[#This Row],[Document Type]]="journalArticle",Table1938[[#This Row],[Document Type]]="conferencePaper",Table1938[[#This Row],[Document Type]]="review")</f>
        <v>1</v>
      </c>
      <c r="Z200" s="2" t="b" cm="1">
        <f t="array" ref="Z200">SUMPRODUCT(--ISNUMBER(SEARCH({"dimensional analysis","dimensionless coefficients","Π","Pi","theorem","software","design","tools","development","architecture","similar"}, LOWER(Table1938[[#This Row],[Title]]))))&gt;0</f>
        <v>0</v>
      </c>
      <c r="AA200" s="2" t="b" cm="1">
        <f t="array" ref="AA200">SUMPRODUCT(--ISNUMBER(SEARCH({"dimensional analysis","dimensionless coefficients","Π","Pi","theorem","software","design","tools","development","architecture","similar"}, LOWER(Table1938[[#This Row],[Abstract]]))))&gt;0</f>
        <v>0</v>
      </c>
      <c r="AB200" s="2" t="b">
        <f>AND(OR(Table1938[[#This Row],[IC-01 @2024]:[IC-01 @2020]])=TRUE,Table1938[[#This Row],[IC-02]]=TRUE,Table1938[[#This Row],[IC-03]]=TRUE,Table1938[[#This Row],[IC-04]]=TRUE,Table1938[[#This Row],[IC-05]]=TRUE)</f>
        <v>0</v>
      </c>
      <c r="AC200" s="2" t="b">
        <f>AND(Table1938[[#This Row],[Pass-IC]]=TRUE,Table1938[[#This Row],[Pass-EC]]=TRUE)</f>
        <v>0</v>
      </c>
      <c r="AD200" s="2" t="b">
        <f>COUNTIF($D$25:D200, Table1938[[#This Row],[Title]]) = 1</f>
        <v>1</v>
      </c>
      <c r="AE200" s="2" t="b">
        <f>AND(Table1938[[#This Row],[IC + EC]:[Unique]])</f>
        <v>0</v>
      </c>
      <c r="AF200" s="2" t="b">
        <v>0</v>
      </c>
      <c r="AG200" s="2" t="b">
        <v>0</v>
      </c>
      <c r="AH200" s="2" t="b">
        <v>0</v>
      </c>
      <c r="AI200" s="2" t="b">
        <f>IF(AND(Table1938[[#This Row],[Double Check]]=TRUE,Table1938[[#This Row],[Inspected]]=TRUE,Table1938[[#This Row],[Relevant]]=TRUE),TRUE,FALSE)</f>
        <v>0</v>
      </c>
    </row>
    <row r="201" spans="1:35" ht="71.7" x14ac:dyDescent="0.5">
      <c r="A201" s="2">
        <v>200</v>
      </c>
      <c r="B201" s="20" t="s">
        <v>3</v>
      </c>
      <c r="C201" s="20" t="s">
        <v>3008</v>
      </c>
      <c r="D201" s="20" t="s">
        <v>965</v>
      </c>
      <c r="E201" s="20" t="s">
        <v>966</v>
      </c>
      <c r="F201" s="2" t="s">
        <v>963</v>
      </c>
      <c r="G201" s="20" t="s">
        <v>962</v>
      </c>
      <c r="H201" s="36">
        <v>44958</v>
      </c>
      <c r="I201" s="20">
        <v>2023</v>
      </c>
      <c r="J201" s="20" t="s">
        <v>61</v>
      </c>
      <c r="K201" s="20" t="s">
        <v>3009</v>
      </c>
      <c r="L201" s="20" t="s">
        <v>2515</v>
      </c>
      <c r="M201" s="20" t="s">
        <v>964</v>
      </c>
      <c r="N201" s="20" t="b">
        <v>1</v>
      </c>
      <c r="O201" s="2" t="b">
        <f>IF(Table1938[[#This Row],[Title]]="",TRUE,FALSE)</f>
        <v>0</v>
      </c>
      <c r="P201" s="2" t="b">
        <f>IF(Table1938[[#This Row],[Author]]="",TRUE,FALSE)</f>
        <v>0</v>
      </c>
      <c r="Q201" s="2" t="b">
        <f>IF(Table1938[[#This Row],[DOI]]&lt;&gt;"", FALSE,TRUE)</f>
        <v>0</v>
      </c>
      <c r="R201" s="2" t="b">
        <f>IF(Table1938[[#This Row],[Abstract]]="",TRUE,FALSE)</f>
        <v>0</v>
      </c>
      <c r="S201" s="2" t="b">
        <f>IF(OR(Table1938[[#This Row],[Document Type]]="book",Table1938[[#This Row],[Document Type]]="bookSection"),TRUE,FALSE)</f>
        <v>0</v>
      </c>
      <c r="T201" s="2" t="b">
        <f>NOT(IF(OR(Table1938[[#This Row],[Language]]&lt;&gt;"en",Table1938[[#This Row],[Language]]&lt;&gt;"EN",Table1938[[#This Row],[Language]]&lt;&gt;"spa",Table1938[[#This Row],[Language]]&lt;&gt;"SPA"),TRUE,FALSE))</f>
        <v>0</v>
      </c>
      <c r="U201" s="2" t="b">
        <f>IF(AND(Table1938[[#This Row],[EC-01]]=FALSE,Table1938[[#This Row],[EC-02]]=FALSE,Table1938[[#This Row],[EC-03]]=FALSE,Table1938[[#This Row],[EC-04]]=FALSE,Table1938[[#This Row],[EC-05]]=FALSE,Table1938[[#This Row],[EC-06]]=FALSE),TRUE,FALSE)</f>
        <v>1</v>
      </c>
      <c r="V201" s="2" t="b">
        <f>IF(Table1938[[#This Row],[Date]]&lt;&gt;"",AND(YEAR(Table1938[[#This Row],[Date]])&gt;=2010, YEAR(Table1938[[#This Row],[Date]])&lt;=2024),FALSE)</f>
        <v>1</v>
      </c>
      <c r="W201" s="2" t="b">
        <f>IF(Table1938[[#This Row],[Date]]&lt;&gt;"",AND(YEAR(Table1938[[#This Row],[Date]])&gt;=2010, YEAR(Table1938[[#This Row],[Date]])&lt;=2020),FALSE)</f>
        <v>0</v>
      </c>
      <c r="X201" s="2" t="b">
        <f>IF(AND(Table1938[[#This Row],[Accesible]]=TRUE,Table1938[[#This Row],[DOI]]&lt;&gt;""),TRUE,FALSE)</f>
        <v>1</v>
      </c>
      <c r="Y201" s="2" t="b">
        <f>OR(Table1938[[#This Row],[Document Type]]="journalArticle",Table1938[[#This Row],[Document Type]]="conferencePaper",Table1938[[#This Row],[Document Type]]="review")</f>
        <v>1</v>
      </c>
      <c r="Z201" s="2" t="b" cm="1">
        <f t="array" ref="Z201">SUMPRODUCT(--ISNUMBER(SEARCH({"dimensional analysis","dimensionless coefficients","Π","Pi","theorem","software","design","tools","development","architecture","similar"}, LOWER(Table1938[[#This Row],[Title]]))))&gt;0</f>
        <v>1</v>
      </c>
      <c r="AA201" s="2" t="b" cm="1">
        <f t="array" ref="AA201">SUMPRODUCT(--ISNUMBER(SEARCH({"dimensional analysis","dimensionless coefficients","Π","Pi","theorem","software","design","tools","development","architecture","similar"}, LOWER(Table1938[[#This Row],[Abstract]]))))&gt;0</f>
        <v>1</v>
      </c>
      <c r="AB201" s="2" t="b">
        <f>AND(OR(Table1938[[#This Row],[IC-01 @2024]:[IC-01 @2020]])=TRUE,Table1938[[#This Row],[IC-02]]=TRUE,Table1938[[#This Row],[IC-03]]=TRUE,Table1938[[#This Row],[IC-04]]=TRUE,Table1938[[#This Row],[IC-05]]=TRUE)</f>
        <v>1</v>
      </c>
      <c r="AC201" s="2" t="b">
        <f>AND(Table1938[[#This Row],[Pass-IC]]=TRUE,Table1938[[#This Row],[Pass-EC]]=TRUE)</f>
        <v>1</v>
      </c>
      <c r="AD201" s="2" t="b">
        <f>COUNTIF($D$25:D201, Table1938[[#This Row],[Title]]) = 1</f>
        <v>1</v>
      </c>
      <c r="AE201" s="2" t="b">
        <f>AND(Table1938[[#This Row],[IC + EC]:[Unique]])</f>
        <v>1</v>
      </c>
      <c r="AF201" s="2" t="b">
        <v>1</v>
      </c>
      <c r="AG201" s="2" t="b">
        <v>0</v>
      </c>
      <c r="AH201" s="2" t="b">
        <v>0</v>
      </c>
      <c r="AI201" s="2" t="b">
        <f>IF(AND(Table1938[[#This Row],[Double Check]]=TRUE,Table1938[[#This Row],[Inspected]]=TRUE,Table1938[[#This Row],[Relevant]]=TRUE),TRUE,FALSE)</f>
        <v>0</v>
      </c>
    </row>
    <row r="202" spans="1:35" ht="57.35" x14ac:dyDescent="0.5">
      <c r="A202" s="2">
        <v>201</v>
      </c>
      <c r="B202" s="20" t="s">
        <v>3</v>
      </c>
      <c r="C202" s="20" t="s">
        <v>3010</v>
      </c>
      <c r="D202" s="20" t="s">
        <v>1270</v>
      </c>
      <c r="E202" s="20" t="s">
        <v>1269</v>
      </c>
      <c r="F202" s="2" t="s">
        <v>1272</v>
      </c>
      <c r="G202" s="20" t="s">
        <v>954</v>
      </c>
      <c r="H202" s="36">
        <v>44561</v>
      </c>
      <c r="I202" s="20">
        <v>2021</v>
      </c>
      <c r="J202" s="20" t="s">
        <v>61</v>
      </c>
      <c r="K202" s="20" t="s">
        <v>3011</v>
      </c>
      <c r="L202" s="20" t="s">
        <v>2515</v>
      </c>
      <c r="M202" s="20" t="s">
        <v>1271</v>
      </c>
      <c r="N202" s="20" t="b">
        <v>1</v>
      </c>
      <c r="O202" s="2" t="b">
        <f>IF(Table1938[[#This Row],[Title]]="",TRUE,FALSE)</f>
        <v>0</v>
      </c>
      <c r="P202" s="2" t="b">
        <f>IF(Table1938[[#This Row],[Author]]="",TRUE,FALSE)</f>
        <v>0</v>
      </c>
      <c r="Q202" s="2" t="b">
        <f>IF(Table1938[[#This Row],[DOI]]&lt;&gt;"", FALSE,TRUE)</f>
        <v>0</v>
      </c>
      <c r="R202" s="2" t="b">
        <f>IF(Table1938[[#This Row],[Abstract]]="",TRUE,FALSE)</f>
        <v>0</v>
      </c>
      <c r="S202" s="2" t="b">
        <f>IF(OR(Table1938[[#This Row],[Document Type]]="book",Table1938[[#This Row],[Document Type]]="bookSection"),TRUE,FALSE)</f>
        <v>0</v>
      </c>
      <c r="T202" s="2" t="b">
        <f>NOT(IF(OR(Table1938[[#This Row],[Language]]&lt;&gt;"en",Table1938[[#This Row],[Language]]&lt;&gt;"EN",Table1938[[#This Row],[Language]]&lt;&gt;"spa",Table1938[[#This Row],[Language]]&lt;&gt;"SPA"),TRUE,FALSE))</f>
        <v>0</v>
      </c>
      <c r="U202" s="2" t="b">
        <f>IF(AND(Table1938[[#This Row],[EC-01]]=FALSE,Table1938[[#This Row],[EC-02]]=FALSE,Table1938[[#This Row],[EC-03]]=FALSE,Table1938[[#This Row],[EC-04]]=FALSE,Table1938[[#This Row],[EC-05]]=FALSE,Table1938[[#This Row],[EC-06]]=FALSE),TRUE,FALSE)</f>
        <v>1</v>
      </c>
      <c r="V202" s="2" t="b">
        <f>IF(Table1938[[#This Row],[Date]]&lt;&gt;"",AND(YEAR(Table1938[[#This Row],[Date]])&gt;=2010, YEAR(Table1938[[#This Row],[Date]])&lt;=2024),FALSE)</f>
        <v>1</v>
      </c>
      <c r="W202" s="2" t="b">
        <f>IF(Table1938[[#This Row],[Date]]&lt;&gt;"",AND(YEAR(Table1938[[#This Row],[Date]])&gt;=2010, YEAR(Table1938[[#This Row],[Date]])&lt;=2020),FALSE)</f>
        <v>0</v>
      </c>
      <c r="X202" s="2" t="b">
        <f>IF(AND(Table1938[[#This Row],[Accesible]]=TRUE,Table1938[[#This Row],[DOI]]&lt;&gt;""),TRUE,FALSE)</f>
        <v>1</v>
      </c>
      <c r="Y202" s="2" t="b">
        <f>OR(Table1938[[#This Row],[Document Type]]="journalArticle",Table1938[[#This Row],[Document Type]]="conferencePaper",Table1938[[#This Row],[Document Type]]="review")</f>
        <v>1</v>
      </c>
      <c r="Z202" s="2" t="b" cm="1">
        <f t="array" ref="Z202">SUMPRODUCT(--ISNUMBER(SEARCH({"dimensional analysis","dimensionless coefficients","Π","Pi","theorem","software","design","tools","development","architecture","similar"}, LOWER(Table1938[[#This Row],[Title]]))))&gt;0</f>
        <v>0</v>
      </c>
      <c r="AA202" s="2" t="b" cm="1">
        <f t="array" ref="AA202">SUMPRODUCT(--ISNUMBER(SEARCH({"dimensional analysis","dimensionless coefficients","Π","Pi","theorem","software","design","tools","development","architecture","similar"}, LOWER(Table1938[[#This Row],[Abstract]]))))&gt;0</f>
        <v>1</v>
      </c>
      <c r="AB202" s="2" t="b">
        <f>AND(OR(Table1938[[#This Row],[IC-01 @2024]:[IC-01 @2020]])=TRUE,Table1938[[#This Row],[IC-02]]=TRUE,Table1938[[#This Row],[IC-03]]=TRUE,Table1938[[#This Row],[IC-04]]=TRUE,Table1938[[#This Row],[IC-05]]=TRUE)</f>
        <v>0</v>
      </c>
      <c r="AC202" s="2" t="b">
        <f>AND(Table1938[[#This Row],[Pass-IC]]=TRUE,Table1938[[#This Row],[Pass-EC]]=TRUE)</f>
        <v>0</v>
      </c>
      <c r="AD202" s="2" t="b">
        <f>COUNTIF($D$25:D202, Table1938[[#This Row],[Title]]) = 1</f>
        <v>1</v>
      </c>
      <c r="AE202" s="2" t="b">
        <f>AND(Table1938[[#This Row],[IC + EC]:[Unique]])</f>
        <v>0</v>
      </c>
      <c r="AF202" s="2" t="b">
        <v>0</v>
      </c>
      <c r="AG202" s="2" t="b">
        <v>0</v>
      </c>
      <c r="AH202" s="2" t="b">
        <v>0</v>
      </c>
      <c r="AI202" s="2" t="b">
        <f>IF(AND(Table1938[[#This Row],[Double Check]]=TRUE,Table1938[[#This Row],[Inspected]]=TRUE,Table1938[[#This Row],[Relevant]]=TRUE),TRUE,FALSE)</f>
        <v>0</v>
      </c>
    </row>
    <row r="203" spans="1:35" ht="86" x14ac:dyDescent="0.5">
      <c r="A203" s="2">
        <v>202</v>
      </c>
      <c r="B203" s="20" t="s">
        <v>3</v>
      </c>
      <c r="C203" s="20" t="s">
        <v>3012</v>
      </c>
      <c r="D203" s="20" t="s">
        <v>1103</v>
      </c>
      <c r="E203" s="20" t="s">
        <v>1102</v>
      </c>
      <c r="F203" s="2" t="s">
        <v>1106</v>
      </c>
      <c r="G203" s="20" t="s">
        <v>1104</v>
      </c>
      <c r="H203" s="36">
        <v>44774</v>
      </c>
      <c r="I203" s="20">
        <v>2022</v>
      </c>
      <c r="J203" s="20" t="s">
        <v>61</v>
      </c>
      <c r="K203" s="20" t="s">
        <v>3013</v>
      </c>
      <c r="L203" s="20" t="s">
        <v>2515</v>
      </c>
      <c r="M203" s="20" t="s">
        <v>1105</v>
      </c>
      <c r="N203" s="20" t="b">
        <v>1</v>
      </c>
      <c r="O203" s="2" t="b">
        <f>IF(Table1938[[#This Row],[Title]]="",TRUE,FALSE)</f>
        <v>0</v>
      </c>
      <c r="P203" s="2" t="b">
        <f>IF(Table1938[[#This Row],[Author]]="",TRUE,FALSE)</f>
        <v>0</v>
      </c>
      <c r="Q203" s="2" t="b">
        <f>IF(Table1938[[#This Row],[DOI]]&lt;&gt;"", FALSE,TRUE)</f>
        <v>0</v>
      </c>
      <c r="R203" s="2" t="b">
        <f>IF(Table1938[[#This Row],[Abstract]]="",TRUE,FALSE)</f>
        <v>0</v>
      </c>
      <c r="S203" s="2" t="b">
        <f>IF(OR(Table1938[[#This Row],[Document Type]]="book",Table1938[[#This Row],[Document Type]]="bookSection"),TRUE,FALSE)</f>
        <v>0</v>
      </c>
      <c r="T203" s="2" t="b">
        <f>NOT(IF(OR(Table1938[[#This Row],[Language]]&lt;&gt;"en",Table1938[[#This Row],[Language]]&lt;&gt;"EN",Table1938[[#This Row],[Language]]&lt;&gt;"spa",Table1938[[#This Row],[Language]]&lt;&gt;"SPA"),TRUE,FALSE))</f>
        <v>0</v>
      </c>
      <c r="U203" s="2" t="b">
        <f>IF(AND(Table1938[[#This Row],[EC-01]]=FALSE,Table1938[[#This Row],[EC-02]]=FALSE,Table1938[[#This Row],[EC-03]]=FALSE,Table1938[[#This Row],[EC-04]]=FALSE,Table1938[[#This Row],[EC-05]]=FALSE,Table1938[[#This Row],[EC-06]]=FALSE),TRUE,FALSE)</f>
        <v>1</v>
      </c>
      <c r="V203" s="2" t="b">
        <f>IF(Table1938[[#This Row],[Date]]&lt;&gt;"",AND(YEAR(Table1938[[#This Row],[Date]])&gt;=2010, YEAR(Table1938[[#This Row],[Date]])&lt;=2024),FALSE)</f>
        <v>1</v>
      </c>
      <c r="W203" s="2" t="b">
        <f>IF(Table1938[[#This Row],[Date]]&lt;&gt;"",AND(YEAR(Table1938[[#This Row],[Date]])&gt;=2010, YEAR(Table1938[[#This Row],[Date]])&lt;=2020),FALSE)</f>
        <v>0</v>
      </c>
      <c r="X203" s="2" t="b">
        <f>IF(AND(Table1938[[#This Row],[Accesible]]=TRUE,Table1938[[#This Row],[DOI]]&lt;&gt;""),TRUE,FALSE)</f>
        <v>1</v>
      </c>
      <c r="Y203" s="2" t="b">
        <f>OR(Table1938[[#This Row],[Document Type]]="journalArticle",Table1938[[#This Row],[Document Type]]="conferencePaper",Table1938[[#This Row],[Document Type]]="review")</f>
        <v>1</v>
      </c>
      <c r="Z203" s="2" t="b" cm="1">
        <f t="array" ref="Z203">SUMPRODUCT(--ISNUMBER(SEARCH({"dimensional analysis","dimensionless coefficients","Π","Pi","theorem","software","design","tools","development","architecture","similar"}, LOWER(Table1938[[#This Row],[Title]]))))&gt;0</f>
        <v>1</v>
      </c>
      <c r="AA203" s="2" t="b" cm="1">
        <f t="array" ref="AA203">SUMPRODUCT(--ISNUMBER(SEARCH({"dimensional analysis","dimensionless coefficients","Π","Pi","theorem","software","design","tools","development","architecture","similar"}, LOWER(Table1938[[#This Row],[Abstract]]))))&gt;0</f>
        <v>1</v>
      </c>
      <c r="AB203" s="2" t="b">
        <f>AND(OR(Table1938[[#This Row],[IC-01 @2024]:[IC-01 @2020]])=TRUE,Table1938[[#This Row],[IC-02]]=TRUE,Table1938[[#This Row],[IC-03]]=TRUE,Table1938[[#This Row],[IC-04]]=TRUE,Table1938[[#This Row],[IC-05]]=TRUE)</f>
        <v>1</v>
      </c>
      <c r="AC203" s="2" t="b">
        <f>AND(Table1938[[#This Row],[Pass-IC]]=TRUE,Table1938[[#This Row],[Pass-EC]]=TRUE)</f>
        <v>1</v>
      </c>
      <c r="AD203" s="2" t="b">
        <f>COUNTIF($D$25:D203, Table1938[[#This Row],[Title]]) = 1</f>
        <v>1</v>
      </c>
      <c r="AE203" s="2" t="b">
        <f>AND(Table1938[[#This Row],[IC + EC]:[Unique]])</f>
        <v>1</v>
      </c>
      <c r="AF203" s="2" t="b">
        <v>1</v>
      </c>
      <c r="AG203" s="2" t="b">
        <v>0</v>
      </c>
      <c r="AH203" s="2" t="b">
        <v>0</v>
      </c>
      <c r="AI203" s="2" t="b">
        <f>IF(AND(Table1938[[#This Row],[Double Check]]=TRUE,Table1938[[#This Row],[Inspected]]=TRUE,Table1938[[#This Row],[Relevant]]=TRUE),TRUE,FALSE)</f>
        <v>0</v>
      </c>
    </row>
    <row r="204" spans="1:35" ht="71.7" x14ac:dyDescent="0.5">
      <c r="A204" s="2">
        <v>203</v>
      </c>
      <c r="B204" s="20" t="s">
        <v>3</v>
      </c>
      <c r="C204" s="20" t="s">
        <v>3014</v>
      </c>
      <c r="D204" s="20" t="s">
        <v>1175</v>
      </c>
      <c r="E204" s="20" t="s">
        <v>1174</v>
      </c>
      <c r="F204" s="2" t="s">
        <v>1177</v>
      </c>
      <c r="G204" s="20" t="s">
        <v>959</v>
      </c>
      <c r="H204" s="36">
        <v>45261</v>
      </c>
      <c r="I204" s="20">
        <v>2023</v>
      </c>
      <c r="J204" s="20" t="s">
        <v>61</v>
      </c>
      <c r="K204" s="20" t="s">
        <v>3015</v>
      </c>
      <c r="L204" s="20" t="s">
        <v>2515</v>
      </c>
      <c r="M204" s="20" t="s">
        <v>1176</v>
      </c>
      <c r="N204" s="20" t="b">
        <v>1</v>
      </c>
      <c r="O204" s="2" t="b">
        <f>IF(Table1938[[#This Row],[Title]]="",TRUE,FALSE)</f>
        <v>0</v>
      </c>
      <c r="P204" s="2" t="b">
        <f>IF(Table1938[[#This Row],[Author]]="",TRUE,FALSE)</f>
        <v>0</v>
      </c>
      <c r="Q204" s="2" t="b">
        <f>IF(Table1938[[#This Row],[DOI]]&lt;&gt;"", FALSE,TRUE)</f>
        <v>0</v>
      </c>
      <c r="R204" s="2" t="b">
        <f>IF(Table1938[[#This Row],[Abstract]]="",TRUE,FALSE)</f>
        <v>0</v>
      </c>
      <c r="S204" s="2" t="b">
        <f>IF(OR(Table1938[[#This Row],[Document Type]]="book",Table1938[[#This Row],[Document Type]]="bookSection"),TRUE,FALSE)</f>
        <v>0</v>
      </c>
      <c r="T204" s="2" t="b">
        <f>NOT(IF(OR(Table1938[[#This Row],[Language]]&lt;&gt;"en",Table1938[[#This Row],[Language]]&lt;&gt;"EN",Table1938[[#This Row],[Language]]&lt;&gt;"spa",Table1938[[#This Row],[Language]]&lt;&gt;"SPA"),TRUE,FALSE))</f>
        <v>0</v>
      </c>
      <c r="U204" s="2" t="b">
        <f>IF(AND(Table1938[[#This Row],[EC-01]]=FALSE,Table1938[[#This Row],[EC-02]]=FALSE,Table1938[[#This Row],[EC-03]]=FALSE,Table1938[[#This Row],[EC-04]]=FALSE,Table1938[[#This Row],[EC-05]]=FALSE,Table1938[[#This Row],[EC-06]]=FALSE),TRUE,FALSE)</f>
        <v>1</v>
      </c>
      <c r="V204" s="2" t="b">
        <f>IF(Table1938[[#This Row],[Date]]&lt;&gt;"",AND(YEAR(Table1938[[#This Row],[Date]])&gt;=2010, YEAR(Table1938[[#This Row],[Date]])&lt;=2024),FALSE)</f>
        <v>1</v>
      </c>
      <c r="W204" s="2" t="b">
        <f>IF(Table1938[[#This Row],[Date]]&lt;&gt;"",AND(YEAR(Table1938[[#This Row],[Date]])&gt;=2010, YEAR(Table1938[[#This Row],[Date]])&lt;=2020),FALSE)</f>
        <v>0</v>
      </c>
      <c r="X204" s="2" t="b">
        <f>IF(AND(Table1938[[#This Row],[Accesible]]=TRUE,Table1938[[#This Row],[DOI]]&lt;&gt;""),TRUE,FALSE)</f>
        <v>1</v>
      </c>
      <c r="Y204" s="2" t="b">
        <f>OR(Table1938[[#This Row],[Document Type]]="journalArticle",Table1938[[#This Row],[Document Type]]="conferencePaper",Table1938[[#This Row],[Document Type]]="review")</f>
        <v>1</v>
      </c>
      <c r="Z204" s="2" t="b" cm="1">
        <f t="array" ref="Z204">SUMPRODUCT(--ISNUMBER(SEARCH({"dimensional analysis","dimensionless coefficients","Π","Pi","theorem","software","design","tools","development","architecture","similar"}, LOWER(Table1938[[#This Row],[Title]]))))&gt;0</f>
        <v>1</v>
      </c>
      <c r="AA204" s="2" t="b" cm="1">
        <f t="array" ref="AA204">SUMPRODUCT(--ISNUMBER(SEARCH({"dimensional analysis","dimensionless coefficients","Π","Pi","theorem","software","design","tools","development","architecture","similar"}, LOWER(Table1938[[#This Row],[Abstract]]))))&gt;0</f>
        <v>1</v>
      </c>
      <c r="AB204" s="2" t="b">
        <f>AND(OR(Table1938[[#This Row],[IC-01 @2024]:[IC-01 @2020]])=TRUE,Table1938[[#This Row],[IC-02]]=TRUE,Table1938[[#This Row],[IC-03]]=TRUE,Table1938[[#This Row],[IC-04]]=TRUE,Table1938[[#This Row],[IC-05]]=TRUE)</f>
        <v>1</v>
      </c>
      <c r="AC204" s="2" t="b">
        <f>AND(Table1938[[#This Row],[Pass-IC]]=TRUE,Table1938[[#This Row],[Pass-EC]]=TRUE)</f>
        <v>1</v>
      </c>
      <c r="AD204" s="2" t="b">
        <f>COUNTIF($D$25:D204, Table1938[[#This Row],[Title]]) = 1</f>
        <v>1</v>
      </c>
      <c r="AE204" s="2" t="b">
        <f>AND(Table1938[[#This Row],[IC + EC]:[Unique]])</f>
        <v>1</v>
      </c>
      <c r="AF204" s="2" t="b">
        <v>1</v>
      </c>
      <c r="AG204" s="2" t="b">
        <v>0</v>
      </c>
      <c r="AH204" s="2" t="b">
        <v>0</v>
      </c>
      <c r="AI204" s="2" t="b">
        <f>IF(AND(Table1938[[#This Row],[Double Check]]=TRUE,Table1938[[#This Row],[Inspected]]=TRUE,Table1938[[#This Row],[Relevant]]=TRUE),TRUE,FALSE)</f>
        <v>0</v>
      </c>
    </row>
    <row r="205" spans="1:35" ht="43" x14ac:dyDescent="0.5">
      <c r="A205" s="2">
        <v>204</v>
      </c>
      <c r="B205" s="20" t="s">
        <v>3</v>
      </c>
      <c r="C205" s="20" t="s">
        <v>3016</v>
      </c>
      <c r="D205" s="20" t="s">
        <v>1227</v>
      </c>
      <c r="E205" s="20" t="s">
        <v>1226</v>
      </c>
      <c r="F205" s="2" t="s">
        <v>1229</v>
      </c>
      <c r="G205" s="20" t="s">
        <v>938</v>
      </c>
      <c r="H205" s="36">
        <v>45139</v>
      </c>
      <c r="I205" s="20">
        <v>2023</v>
      </c>
      <c r="J205" s="20" t="s">
        <v>61</v>
      </c>
      <c r="K205" s="20" t="s">
        <v>3017</v>
      </c>
      <c r="L205" s="20" t="s">
        <v>2515</v>
      </c>
      <c r="M205" s="20" t="s">
        <v>1228</v>
      </c>
      <c r="N205" s="20" t="b">
        <v>1</v>
      </c>
      <c r="O205" s="2" t="b">
        <f>IF(Table1938[[#This Row],[Title]]="",TRUE,FALSE)</f>
        <v>0</v>
      </c>
      <c r="P205" s="2" t="b">
        <f>IF(Table1938[[#This Row],[Author]]="",TRUE,FALSE)</f>
        <v>0</v>
      </c>
      <c r="Q205" s="2" t="b">
        <f>IF(Table1938[[#This Row],[DOI]]&lt;&gt;"", FALSE,TRUE)</f>
        <v>0</v>
      </c>
      <c r="R205" s="2" t="b">
        <f>IF(Table1938[[#This Row],[Abstract]]="",TRUE,FALSE)</f>
        <v>0</v>
      </c>
      <c r="S205" s="2" t="b">
        <f>IF(OR(Table1938[[#This Row],[Document Type]]="book",Table1938[[#This Row],[Document Type]]="bookSection"),TRUE,FALSE)</f>
        <v>0</v>
      </c>
      <c r="T205" s="2" t="b">
        <f>NOT(IF(OR(Table1938[[#This Row],[Language]]&lt;&gt;"en",Table1938[[#This Row],[Language]]&lt;&gt;"EN",Table1938[[#This Row],[Language]]&lt;&gt;"spa",Table1938[[#This Row],[Language]]&lt;&gt;"SPA"),TRUE,FALSE))</f>
        <v>0</v>
      </c>
      <c r="U205" s="2" t="b">
        <f>IF(AND(Table1938[[#This Row],[EC-01]]=FALSE,Table1938[[#This Row],[EC-02]]=FALSE,Table1938[[#This Row],[EC-03]]=FALSE,Table1938[[#This Row],[EC-04]]=FALSE,Table1938[[#This Row],[EC-05]]=FALSE,Table1938[[#This Row],[EC-06]]=FALSE),TRUE,FALSE)</f>
        <v>1</v>
      </c>
      <c r="V205" s="2" t="b">
        <f>IF(Table1938[[#This Row],[Date]]&lt;&gt;"",AND(YEAR(Table1938[[#This Row],[Date]])&gt;=2010, YEAR(Table1938[[#This Row],[Date]])&lt;=2024),FALSE)</f>
        <v>1</v>
      </c>
      <c r="W205" s="2" t="b">
        <f>IF(Table1938[[#This Row],[Date]]&lt;&gt;"",AND(YEAR(Table1938[[#This Row],[Date]])&gt;=2010, YEAR(Table1938[[#This Row],[Date]])&lt;=2020),FALSE)</f>
        <v>0</v>
      </c>
      <c r="X205" s="2" t="b">
        <f>IF(AND(Table1938[[#This Row],[Accesible]]=TRUE,Table1938[[#This Row],[DOI]]&lt;&gt;""),TRUE,FALSE)</f>
        <v>1</v>
      </c>
      <c r="Y205" s="2" t="b">
        <f>OR(Table1938[[#This Row],[Document Type]]="journalArticle",Table1938[[#This Row],[Document Type]]="conferencePaper",Table1938[[#This Row],[Document Type]]="review")</f>
        <v>1</v>
      </c>
      <c r="Z205" s="2" t="b" cm="1">
        <f t="array" ref="Z205">SUMPRODUCT(--ISNUMBER(SEARCH({"dimensional analysis","dimensionless coefficients","Π","Pi","theorem","software","design","tools","development","architecture","similar"}, LOWER(Table1938[[#This Row],[Title]]))))&gt;0</f>
        <v>0</v>
      </c>
      <c r="AA205" s="2" t="b" cm="1">
        <f t="array" ref="AA205">SUMPRODUCT(--ISNUMBER(SEARCH({"dimensional analysis","dimensionless coefficients","Π","Pi","theorem","software","design","tools","development","architecture","similar"}, LOWER(Table1938[[#This Row],[Abstract]]))))&gt;0</f>
        <v>1</v>
      </c>
      <c r="AB205" s="2" t="b">
        <f>AND(OR(Table1938[[#This Row],[IC-01 @2024]:[IC-01 @2020]])=TRUE,Table1938[[#This Row],[IC-02]]=TRUE,Table1938[[#This Row],[IC-03]]=TRUE,Table1938[[#This Row],[IC-04]]=TRUE,Table1938[[#This Row],[IC-05]]=TRUE)</f>
        <v>0</v>
      </c>
      <c r="AC205" s="2" t="b">
        <f>AND(Table1938[[#This Row],[Pass-IC]]=TRUE,Table1938[[#This Row],[Pass-EC]]=TRUE)</f>
        <v>0</v>
      </c>
      <c r="AD205" s="2" t="b">
        <f>COUNTIF($D$25:D205, Table1938[[#This Row],[Title]]) = 1</f>
        <v>1</v>
      </c>
      <c r="AE205" s="2" t="b">
        <f>AND(Table1938[[#This Row],[IC + EC]:[Unique]])</f>
        <v>0</v>
      </c>
      <c r="AF205" s="2" t="b">
        <v>0</v>
      </c>
      <c r="AG205" s="2" t="b">
        <v>0</v>
      </c>
      <c r="AH205" s="2" t="b">
        <v>0</v>
      </c>
      <c r="AI205" s="2" t="b">
        <f>IF(AND(Table1938[[#This Row],[Double Check]]=TRUE,Table1938[[#This Row],[Inspected]]=TRUE,Table1938[[#This Row],[Relevant]]=TRUE),TRUE,FALSE)</f>
        <v>0</v>
      </c>
    </row>
    <row r="206" spans="1:35" ht="57.35" x14ac:dyDescent="0.5">
      <c r="A206" s="2">
        <v>205</v>
      </c>
      <c r="B206" s="20" t="s">
        <v>3</v>
      </c>
      <c r="C206" s="20" t="s">
        <v>3018</v>
      </c>
      <c r="D206" s="20" t="s">
        <v>1475</v>
      </c>
      <c r="E206" s="20" t="s">
        <v>1474</v>
      </c>
      <c r="F206" s="2" t="s">
        <v>1477</v>
      </c>
      <c r="G206" s="20" t="s">
        <v>938</v>
      </c>
      <c r="H206" s="36">
        <v>44866</v>
      </c>
      <c r="I206" s="20">
        <v>2022</v>
      </c>
      <c r="J206" s="20" t="s">
        <v>61</v>
      </c>
      <c r="K206" s="20" t="s">
        <v>3019</v>
      </c>
      <c r="L206" s="20" t="s">
        <v>2515</v>
      </c>
      <c r="M206" s="20" t="s">
        <v>1476</v>
      </c>
      <c r="N206" s="20" t="b">
        <v>1</v>
      </c>
      <c r="O206" s="2" t="b">
        <f>IF(Table1938[[#This Row],[Title]]="",TRUE,FALSE)</f>
        <v>0</v>
      </c>
      <c r="P206" s="2" t="b">
        <f>IF(Table1938[[#This Row],[Author]]="",TRUE,FALSE)</f>
        <v>0</v>
      </c>
      <c r="Q206" s="2" t="b">
        <f>IF(Table1938[[#This Row],[DOI]]&lt;&gt;"", FALSE,TRUE)</f>
        <v>0</v>
      </c>
      <c r="R206" s="2" t="b">
        <f>IF(Table1938[[#This Row],[Abstract]]="",TRUE,FALSE)</f>
        <v>0</v>
      </c>
      <c r="S206" s="2" t="b">
        <f>IF(OR(Table1938[[#This Row],[Document Type]]="book",Table1938[[#This Row],[Document Type]]="bookSection"),TRUE,FALSE)</f>
        <v>0</v>
      </c>
      <c r="T206" s="2" t="b">
        <f>NOT(IF(OR(Table1938[[#This Row],[Language]]&lt;&gt;"en",Table1938[[#This Row],[Language]]&lt;&gt;"EN",Table1938[[#This Row],[Language]]&lt;&gt;"spa",Table1938[[#This Row],[Language]]&lt;&gt;"SPA"),TRUE,FALSE))</f>
        <v>0</v>
      </c>
      <c r="U206" s="2" t="b">
        <f>IF(AND(Table1938[[#This Row],[EC-01]]=FALSE,Table1938[[#This Row],[EC-02]]=FALSE,Table1938[[#This Row],[EC-03]]=FALSE,Table1938[[#This Row],[EC-04]]=FALSE,Table1938[[#This Row],[EC-05]]=FALSE,Table1938[[#This Row],[EC-06]]=FALSE),TRUE,FALSE)</f>
        <v>1</v>
      </c>
      <c r="V206" s="2" t="b">
        <f>IF(Table1938[[#This Row],[Date]]&lt;&gt;"",AND(YEAR(Table1938[[#This Row],[Date]])&gt;=2010, YEAR(Table1938[[#This Row],[Date]])&lt;=2024),FALSE)</f>
        <v>1</v>
      </c>
      <c r="W206" s="2" t="b">
        <f>IF(Table1938[[#This Row],[Date]]&lt;&gt;"",AND(YEAR(Table1938[[#This Row],[Date]])&gt;=2010, YEAR(Table1938[[#This Row],[Date]])&lt;=2020),FALSE)</f>
        <v>0</v>
      </c>
      <c r="X206" s="2" t="b">
        <f>IF(AND(Table1938[[#This Row],[Accesible]]=TRUE,Table1938[[#This Row],[DOI]]&lt;&gt;""),TRUE,FALSE)</f>
        <v>1</v>
      </c>
      <c r="Y206" s="2" t="b">
        <f>OR(Table1938[[#This Row],[Document Type]]="journalArticle",Table1938[[#This Row],[Document Type]]="conferencePaper",Table1938[[#This Row],[Document Type]]="review")</f>
        <v>1</v>
      </c>
      <c r="Z206" s="2" t="b" cm="1">
        <f t="array" ref="Z206">SUMPRODUCT(--ISNUMBER(SEARCH({"dimensional analysis","dimensionless coefficients","Π","Pi","theorem","software","design","tools","development","architecture","similar"}, LOWER(Table1938[[#This Row],[Title]]))))&gt;0</f>
        <v>1</v>
      </c>
      <c r="AA206" s="2" t="b" cm="1">
        <f t="array" ref="AA206">SUMPRODUCT(--ISNUMBER(SEARCH({"dimensional analysis","dimensionless coefficients","Π","Pi","theorem","software","design","tools","development","architecture","similar"}, LOWER(Table1938[[#This Row],[Abstract]]))))&gt;0</f>
        <v>1</v>
      </c>
      <c r="AB206" s="2" t="b">
        <f>AND(OR(Table1938[[#This Row],[IC-01 @2024]:[IC-01 @2020]])=TRUE,Table1938[[#This Row],[IC-02]]=TRUE,Table1938[[#This Row],[IC-03]]=TRUE,Table1938[[#This Row],[IC-04]]=TRUE,Table1938[[#This Row],[IC-05]]=TRUE)</f>
        <v>1</v>
      </c>
      <c r="AC206" s="2" t="b">
        <f>AND(Table1938[[#This Row],[Pass-IC]]=TRUE,Table1938[[#This Row],[Pass-EC]]=TRUE)</f>
        <v>1</v>
      </c>
      <c r="AD206" s="2" t="b">
        <f>COUNTIF($D$25:D206, Table1938[[#This Row],[Title]]) = 1</f>
        <v>1</v>
      </c>
      <c r="AE206" s="2" t="b">
        <f>AND(Table1938[[#This Row],[IC + EC]:[Unique]])</f>
        <v>1</v>
      </c>
      <c r="AF206" s="2" t="b">
        <v>1</v>
      </c>
      <c r="AG206" s="2" t="b">
        <v>0</v>
      </c>
      <c r="AH206" s="2" t="b">
        <v>0</v>
      </c>
      <c r="AI206" s="2" t="b">
        <f>IF(AND(Table1938[[#This Row],[Double Check]]=TRUE,Table1938[[#This Row],[Inspected]]=TRUE,Table1938[[#This Row],[Relevant]]=TRUE),TRUE,FALSE)</f>
        <v>0</v>
      </c>
    </row>
    <row r="207" spans="1:35" ht="43" x14ac:dyDescent="0.5">
      <c r="A207" s="2">
        <v>206</v>
      </c>
      <c r="B207" s="20" t="s">
        <v>3</v>
      </c>
      <c r="C207" s="20" t="s">
        <v>3020</v>
      </c>
      <c r="D207" s="20" t="s">
        <v>1134</v>
      </c>
      <c r="E207" s="20" t="s">
        <v>1133</v>
      </c>
      <c r="F207" s="2" t="s">
        <v>1136</v>
      </c>
      <c r="G207" s="20" t="s">
        <v>983</v>
      </c>
      <c r="H207" s="36">
        <v>44958</v>
      </c>
      <c r="I207" s="20">
        <v>2023</v>
      </c>
      <c r="J207" s="20" t="s">
        <v>61</v>
      </c>
      <c r="K207" s="20" t="s">
        <v>3021</v>
      </c>
      <c r="L207" s="20" t="s">
        <v>2515</v>
      </c>
      <c r="M207" s="20" t="s">
        <v>1135</v>
      </c>
      <c r="N207" s="20" t="b">
        <v>1</v>
      </c>
      <c r="O207" s="2" t="b">
        <f>IF(Table1938[[#This Row],[Title]]="",TRUE,FALSE)</f>
        <v>0</v>
      </c>
      <c r="P207" s="2" t="b">
        <f>IF(Table1938[[#This Row],[Author]]="",TRUE,FALSE)</f>
        <v>0</v>
      </c>
      <c r="Q207" s="2" t="b">
        <f>IF(Table1938[[#This Row],[DOI]]&lt;&gt;"", FALSE,TRUE)</f>
        <v>0</v>
      </c>
      <c r="R207" s="2" t="b">
        <f>IF(Table1938[[#This Row],[Abstract]]="",TRUE,FALSE)</f>
        <v>0</v>
      </c>
      <c r="S207" s="2" t="b">
        <f>IF(OR(Table1938[[#This Row],[Document Type]]="book",Table1938[[#This Row],[Document Type]]="bookSection"),TRUE,FALSE)</f>
        <v>0</v>
      </c>
      <c r="T207" s="2" t="b">
        <f>NOT(IF(OR(Table1938[[#This Row],[Language]]&lt;&gt;"en",Table1938[[#This Row],[Language]]&lt;&gt;"EN",Table1938[[#This Row],[Language]]&lt;&gt;"spa",Table1938[[#This Row],[Language]]&lt;&gt;"SPA"),TRUE,FALSE))</f>
        <v>0</v>
      </c>
      <c r="U207" s="2" t="b">
        <f>IF(AND(Table1938[[#This Row],[EC-01]]=FALSE,Table1938[[#This Row],[EC-02]]=FALSE,Table1938[[#This Row],[EC-03]]=FALSE,Table1938[[#This Row],[EC-04]]=FALSE,Table1938[[#This Row],[EC-05]]=FALSE,Table1938[[#This Row],[EC-06]]=FALSE),TRUE,FALSE)</f>
        <v>1</v>
      </c>
      <c r="V207" s="2" t="b">
        <f>IF(Table1938[[#This Row],[Date]]&lt;&gt;"",AND(YEAR(Table1938[[#This Row],[Date]])&gt;=2010, YEAR(Table1938[[#This Row],[Date]])&lt;=2024),FALSE)</f>
        <v>1</v>
      </c>
      <c r="W207" s="2" t="b">
        <f>IF(Table1938[[#This Row],[Date]]&lt;&gt;"",AND(YEAR(Table1938[[#This Row],[Date]])&gt;=2010, YEAR(Table1938[[#This Row],[Date]])&lt;=2020),FALSE)</f>
        <v>0</v>
      </c>
      <c r="X207" s="2" t="b">
        <f>IF(AND(Table1938[[#This Row],[Accesible]]=TRUE,Table1938[[#This Row],[DOI]]&lt;&gt;""),TRUE,FALSE)</f>
        <v>1</v>
      </c>
      <c r="Y207" s="2" t="b">
        <f>OR(Table1938[[#This Row],[Document Type]]="journalArticle",Table1938[[#This Row],[Document Type]]="conferencePaper",Table1938[[#This Row],[Document Type]]="review")</f>
        <v>1</v>
      </c>
      <c r="Z207" s="2" t="b" cm="1">
        <f t="array" ref="Z207">SUMPRODUCT(--ISNUMBER(SEARCH({"dimensional analysis","dimensionless coefficients","Π","Pi","theorem","software","design","tools","development","architecture","similar"}, LOWER(Table1938[[#This Row],[Title]]))))&gt;0</f>
        <v>1</v>
      </c>
      <c r="AA207" s="2" t="b" cm="1">
        <f t="array" ref="AA207">SUMPRODUCT(--ISNUMBER(SEARCH({"dimensional analysis","dimensionless coefficients","Π","Pi","theorem","software","design","tools","development","architecture","similar"}, LOWER(Table1938[[#This Row],[Abstract]]))))&gt;0</f>
        <v>1</v>
      </c>
      <c r="AB207" s="2" t="b">
        <f>AND(OR(Table1938[[#This Row],[IC-01 @2024]:[IC-01 @2020]])=TRUE,Table1938[[#This Row],[IC-02]]=TRUE,Table1938[[#This Row],[IC-03]]=TRUE,Table1938[[#This Row],[IC-04]]=TRUE,Table1938[[#This Row],[IC-05]]=TRUE)</f>
        <v>1</v>
      </c>
      <c r="AC207" s="2" t="b">
        <f>AND(Table1938[[#This Row],[Pass-IC]]=TRUE,Table1938[[#This Row],[Pass-EC]]=TRUE)</f>
        <v>1</v>
      </c>
      <c r="AD207" s="2" t="b">
        <f>COUNTIF($D$25:D207, Table1938[[#This Row],[Title]]) = 1</f>
        <v>1</v>
      </c>
      <c r="AE207" s="2" t="b">
        <f>AND(Table1938[[#This Row],[IC + EC]:[Unique]])</f>
        <v>1</v>
      </c>
      <c r="AF207" s="2" t="b">
        <v>1</v>
      </c>
      <c r="AG207" s="2" t="b">
        <v>1</v>
      </c>
      <c r="AH207" s="2" t="b">
        <v>0</v>
      </c>
      <c r="AI207" s="2" t="b">
        <f>IF(AND(Table1938[[#This Row],[Double Check]]=TRUE,Table1938[[#This Row],[Inspected]]=TRUE,Table1938[[#This Row],[Relevant]]=TRUE),TRUE,FALSE)</f>
        <v>0</v>
      </c>
    </row>
    <row r="208" spans="1:35" ht="43" x14ac:dyDescent="0.5">
      <c r="A208" s="2">
        <v>207</v>
      </c>
      <c r="B208" s="20" t="s">
        <v>3</v>
      </c>
      <c r="C208" s="20" t="s">
        <v>3022</v>
      </c>
      <c r="D208" s="20" t="s">
        <v>1868</v>
      </c>
      <c r="E208" s="20" t="s">
        <v>331</v>
      </c>
      <c r="F208" s="2" t="s">
        <v>1870</v>
      </c>
      <c r="G208" s="20" t="s">
        <v>956</v>
      </c>
      <c r="H208" s="36">
        <v>42278</v>
      </c>
      <c r="I208" s="20">
        <v>2015</v>
      </c>
      <c r="J208" s="20" t="s">
        <v>61</v>
      </c>
      <c r="K208" s="20" t="s">
        <v>3023</v>
      </c>
      <c r="L208" s="20" t="s">
        <v>2515</v>
      </c>
      <c r="M208" s="20" t="s">
        <v>1869</v>
      </c>
      <c r="N208" s="20" t="b">
        <v>1</v>
      </c>
      <c r="O208" s="2" t="b">
        <f>IF(Table1938[[#This Row],[Title]]="",TRUE,FALSE)</f>
        <v>0</v>
      </c>
      <c r="P208" s="2" t="b">
        <f>IF(Table1938[[#This Row],[Author]]="",TRUE,FALSE)</f>
        <v>0</v>
      </c>
      <c r="Q208" s="2" t="b">
        <f>IF(Table1938[[#This Row],[DOI]]&lt;&gt;"", FALSE,TRUE)</f>
        <v>0</v>
      </c>
      <c r="R208" s="2" t="b">
        <f>IF(Table1938[[#This Row],[Abstract]]="",TRUE,FALSE)</f>
        <v>0</v>
      </c>
      <c r="S208" s="2" t="b">
        <f>IF(OR(Table1938[[#This Row],[Document Type]]="book",Table1938[[#This Row],[Document Type]]="bookSection"),TRUE,FALSE)</f>
        <v>0</v>
      </c>
      <c r="T208" s="2" t="b">
        <f>NOT(IF(OR(Table1938[[#This Row],[Language]]&lt;&gt;"en",Table1938[[#This Row],[Language]]&lt;&gt;"EN",Table1938[[#This Row],[Language]]&lt;&gt;"spa",Table1938[[#This Row],[Language]]&lt;&gt;"SPA"),TRUE,FALSE))</f>
        <v>0</v>
      </c>
      <c r="U208" s="2" t="b">
        <f>IF(AND(Table1938[[#This Row],[EC-01]]=FALSE,Table1938[[#This Row],[EC-02]]=FALSE,Table1938[[#This Row],[EC-03]]=FALSE,Table1938[[#This Row],[EC-04]]=FALSE,Table1938[[#This Row],[EC-05]]=FALSE,Table1938[[#This Row],[EC-06]]=FALSE),TRUE,FALSE)</f>
        <v>1</v>
      </c>
      <c r="V208" s="2" t="b">
        <f>IF(Table1938[[#This Row],[Date]]&lt;&gt;"",AND(YEAR(Table1938[[#This Row],[Date]])&gt;=2010, YEAR(Table1938[[#This Row],[Date]])&lt;=2024),FALSE)</f>
        <v>1</v>
      </c>
      <c r="W208" s="2" t="b">
        <f>IF(Table1938[[#This Row],[Date]]&lt;&gt;"",AND(YEAR(Table1938[[#This Row],[Date]])&gt;=2010, YEAR(Table1938[[#This Row],[Date]])&lt;=2020),FALSE)</f>
        <v>1</v>
      </c>
      <c r="X208" s="2" t="b">
        <f>IF(AND(Table1938[[#This Row],[Accesible]]=TRUE,Table1938[[#This Row],[DOI]]&lt;&gt;""),TRUE,FALSE)</f>
        <v>1</v>
      </c>
      <c r="Y208" s="2" t="b">
        <f>OR(Table1938[[#This Row],[Document Type]]="journalArticle",Table1938[[#This Row],[Document Type]]="conferencePaper",Table1938[[#This Row],[Document Type]]="review")</f>
        <v>1</v>
      </c>
      <c r="Z208" s="2" t="b" cm="1">
        <f t="array" ref="Z208">SUMPRODUCT(--ISNUMBER(SEARCH({"dimensional analysis","dimensionless coefficients","Π","Pi","theorem","software","design","tools","development","architecture","similar"}, LOWER(Table1938[[#This Row],[Title]]))))&gt;0</f>
        <v>0</v>
      </c>
      <c r="AA208" s="2" t="b" cm="1">
        <f t="array" ref="AA208">SUMPRODUCT(--ISNUMBER(SEARCH({"dimensional analysis","dimensionless coefficients","Π","Pi","theorem","software","design","tools","development","architecture","similar"}, LOWER(Table1938[[#This Row],[Abstract]]))))&gt;0</f>
        <v>0</v>
      </c>
      <c r="AB208" s="2" t="b">
        <f>AND(OR(Table1938[[#This Row],[IC-01 @2024]:[IC-01 @2020]])=TRUE,Table1938[[#This Row],[IC-02]]=TRUE,Table1938[[#This Row],[IC-03]]=TRUE,Table1938[[#This Row],[IC-04]]=TRUE,Table1938[[#This Row],[IC-05]]=TRUE)</f>
        <v>0</v>
      </c>
      <c r="AC208" s="2" t="b">
        <f>AND(Table1938[[#This Row],[Pass-IC]]=TRUE,Table1938[[#This Row],[Pass-EC]]=TRUE)</f>
        <v>0</v>
      </c>
      <c r="AD208" s="2" t="b">
        <f>COUNTIF($D$25:D208, Table1938[[#This Row],[Title]]) = 1</f>
        <v>1</v>
      </c>
      <c r="AE208" s="2" t="b">
        <f>AND(Table1938[[#This Row],[IC + EC]:[Unique]])</f>
        <v>0</v>
      </c>
      <c r="AF208" s="2" t="b">
        <v>0</v>
      </c>
      <c r="AG208" s="2" t="b">
        <v>0</v>
      </c>
      <c r="AH208" s="2" t="b">
        <v>0</v>
      </c>
      <c r="AI208" s="2" t="b">
        <f>IF(AND(Table1938[[#This Row],[Double Check]]=TRUE,Table1938[[#This Row],[Inspected]]=TRUE,Table1938[[#This Row],[Relevant]]=TRUE),TRUE,FALSE)</f>
        <v>0</v>
      </c>
    </row>
    <row r="209" spans="1:35" ht="43" x14ac:dyDescent="0.5">
      <c r="A209" s="2">
        <v>208</v>
      </c>
      <c r="B209" s="20" t="s">
        <v>3</v>
      </c>
      <c r="C209" s="20" t="s">
        <v>3024</v>
      </c>
      <c r="D209" s="20" t="s">
        <v>318</v>
      </c>
      <c r="E209" s="20" t="s">
        <v>343</v>
      </c>
      <c r="F209" s="2" t="s">
        <v>368</v>
      </c>
      <c r="G209" s="20" t="s">
        <v>943</v>
      </c>
      <c r="H209" s="36">
        <v>42248</v>
      </c>
      <c r="I209" s="20">
        <v>2015</v>
      </c>
      <c r="J209" s="20" t="s">
        <v>61</v>
      </c>
      <c r="K209" s="20" t="s">
        <v>3025</v>
      </c>
      <c r="L209" s="20" t="s">
        <v>2515</v>
      </c>
      <c r="M209" s="20" t="s">
        <v>393</v>
      </c>
      <c r="N209" s="20" t="b">
        <v>1</v>
      </c>
      <c r="O209" s="2" t="b">
        <f>IF(Table1938[[#This Row],[Title]]="",TRUE,FALSE)</f>
        <v>0</v>
      </c>
      <c r="P209" s="2" t="b">
        <f>IF(Table1938[[#This Row],[Author]]="",TRUE,FALSE)</f>
        <v>0</v>
      </c>
      <c r="Q209" s="2" t="b">
        <f>IF(Table1938[[#This Row],[DOI]]&lt;&gt;"", FALSE,TRUE)</f>
        <v>0</v>
      </c>
      <c r="R209" s="2" t="b">
        <f>IF(Table1938[[#This Row],[Abstract]]="",TRUE,FALSE)</f>
        <v>0</v>
      </c>
      <c r="S209" s="2" t="b">
        <f>IF(OR(Table1938[[#This Row],[Document Type]]="book",Table1938[[#This Row],[Document Type]]="bookSection"),TRUE,FALSE)</f>
        <v>0</v>
      </c>
      <c r="T209" s="2" t="b">
        <f>NOT(IF(OR(Table1938[[#This Row],[Language]]&lt;&gt;"en",Table1938[[#This Row],[Language]]&lt;&gt;"EN",Table1938[[#This Row],[Language]]&lt;&gt;"spa",Table1938[[#This Row],[Language]]&lt;&gt;"SPA"),TRUE,FALSE))</f>
        <v>0</v>
      </c>
      <c r="U209" s="2" t="b">
        <f>IF(AND(Table1938[[#This Row],[EC-01]]=FALSE,Table1938[[#This Row],[EC-02]]=FALSE,Table1938[[#This Row],[EC-03]]=FALSE,Table1938[[#This Row],[EC-04]]=FALSE,Table1938[[#This Row],[EC-05]]=FALSE,Table1938[[#This Row],[EC-06]]=FALSE),TRUE,FALSE)</f>
        <v>1</v>
      </c>
      <c r="V209" s="2" t="b">
        <f>IF(Table1938[[#This Row],[Date]]&lt;&gt;"",AND(YEAR(Table1938[[#This Row],[Date]])&gt;=2010, YEAR(Table1938[[#This Row],[Date]])&lt;=2024),FALSE)</f>
        <v>1</v>
      </c>
      <c r="W209" s="2" t="b">
        <f>IF(Table1938[[#This Row],[Date]]&lt;&gt;"",AND(YEAR(Table1938[[#This Row],[Date]])&gt;=2010, YEAR(Table1938[[#This Row],[Date]])&lt;=2020),FALSE)</f>
        <v>1</v>
      </c>
      <c r="X209" s="2" t="b">
        <f>IF(AND(Table1938[[#This Row],[Accesible]]=TRUE,Table1938[[#This Row],[DOI]]&lt;&gt;""),TRUE,FALSE)</f>
        <v>1</v>
      </c>
      <c r="Y209" s="2" t="b">
        <f>OR(Table1938[[#This Row],[Document Type]]="journalArticle",Table1938[[#This Row],[Document Type]]="conferencePaper",Table1938[[#This Row],[Document Type]]="review")</f>
        <v>1</v>
      </c>
      <c r="Z209" s="2" t="b" cm="1">
        <f t="array" ref="Z209">SUMPRODUCT(--ISNUMBER(SEARCH({"dimensional analysis","dimensionless coefficients","Π","Pi","theorem","software","design","tools","development","architecture","similar"}, LOWER(Table1938[[#This Row],[Title]]))))&gt;0</f>
        <v>0</v>
      </c>
      <c r="AA209" s="2" t="b" cm="1">
        <f t="array" ref="AA209">SUMPRODUCT(--ISNUMBER(SEARCH({"dimensional analysis","dimensionless coefficients","Π","Pi","theorem","software","design","tools","development","architecture","similar"}, LOWER(Table1938[[#This Row],[Abstract]]))))&gt;0</f>
        <v>1</v>
      </c>
      <c r="AB209" s="2" t="b">
        <f>AND(OR(Table1938[[#This Row],[IC-01 @2024]:[IC-01 @2020]])=TRUE,Table1938[[#This Row],[IC-02]]=TRUE,Table1938[[#This Row],[IC-03]]=TRUE,Table1938[[#This Row],[IC-04]]=TRUE,Table1938[[#This Row],[IC-05]]=TRUE)</f>
        <v>0</v>
      </c>
      <c r="AC209" s="2" t="b">
        <f>AND(Table1938[[#This Row],[Pass-IC]]=TRUE,Table1938[[#This Row],[Pass-EC]]=TRUE)</f>
        <v>0</v>
      </c>
      <c r="AD209" s="2" t="b">
        <f>COUNTIF($D$25:D209, Table1938[[#This Row],[Title]]) = 1</f>
        <v>1</v>
      </c>
      <c r="AE209" s="2" t="b">
        <f>AND(Table1938[[#This Row],[IC + EC]:[Unique]])</f>
        <v>0</v>
      </c>
      <c r="AF209" s="2" t="b">
        <v>0</v>
      </c>
      <c r="AG209" s="2" t="b">
        <v>0</v>
      </c>
      <c r="AH209" s="2" t="b">
        <v>0</v>
      </c>
      <c r="AI209" s="2" t="b">
        <f>IF(AND(Table1938[[#This Row],[Double Check]]=TRUE,Table1938[[#This Row],[Inspected]]=TRUE,Table1938[[#This Row],[Relevant]]=TRUE),TRUE,FALSE)</f>
        <v>0</v>
      </c>
    </row>
    <row r="210" spans="1:35" ht="57.35" x14ac:dyDescent="0.5">
      <c r="A210" s="2">
        <v>209</v>
      </c>
      <c r="B210" s="20" t="s">
        <v>3</v>
      </c>
      <c r="C210" s="20" t="s">
        <v>3026</v>
      </c>
      <c r="D210" s="20" t="s">
        <v>1299</v>
      </c>
      <c r="E210" s="20" t="s">
        <v>1298</v>
      </c>
      <c r="F210" s="2" t="s">
        <v>1302</v>
      </c>
      <c r="G210" s="20" t="s">
        <v>1300</v>
      </c>
      <c r="H210" s="36">
        <v>45536</v>
      </c>
      <c r="I210" s="20">
        <v>2024</v>
      </c>
      <c r="J210" s="20" t="s">
        <v>61</v>
      </c>
      <c r="K210" s="20" t="s">
        <v>3027</v>
      </c>
      <c r="L210" s="20" t="s">
        <v>2515</v>
      </c>
      <c r="M210" s="20" t="s">
        <v>1301</v>
      </c>
      <c r="N210" s="20" t="b">
        <v>1</v>
      </c>
      <c r="O210" s="2" t="b">
        <f>IF(Table1938[[#This Row],[Title]]="",TRUE,FALSE)</f>
        <v>0</v>
      </c>
      <c r="P210" s="2" t="b">
        <f>IF(Table1938[[#This Row],[Author]]="",TRUE,FALSE)</f>
        <v>0</v>
      </c>
      <c r="Q210" s="2" t="b">
        <f>IF(Table1938[[#This Row],[DOI]]&lt;&gt;"", FALSE,TRUE)</f>
        <v>0</v>
      </c>
      <c r="R210" s="2" t="b">
        <f>IF(Table1938[[#This Row],[Abstract]]="",TRUE,FALSE)</f>
        <v>0</v>
      </c>
      <c r="S210" s="2" t="b">
        <f>IF(OR(Table1938[[#This Row],[Document Type]]="book",Table1938[[#This Row],[Document Type]]="bookSection"),TRUE,FALSE)</f>
        <v>0</v>
      </c>
      <c r="T210" s="2" t="b">
        <f>NOT(IF(OR(Table1938[[#This Row],[Language]]&lt;&gt;"en",Table1938[[#This Row],[Language]]&lt;&gt;"EN",Table1938[[#This Row],[Language]]&lt;&gt;"spa",Table1938[[#This Row],[Language]]&lt;&gt;"SPA"),TRUE,FALSE))</f>
        <v>0</v>
      </c>
      <c r="U210" s="2" t="b">
        <f>IF(AND(Table1938[[#This Row],[EC-01]]=FALSE,Table1938[[#This Row],[EC-02]]=FALSE,Table1938[[#This Row],[EC-03]]=FALSE,Table1938[[#This Row],[EC-04]]=FALSE,Table1938[[#This Row],[EC-05]]=FALSE,Table1938[[#This Row],[EC-06]]=FALSE),TRUE,FALSE)</f>
        <v>1</v>
      </c>
      <c r="V210" s="2" t="b">
        <f>IF(Table1938[[#This Row],[Date]]&lt;&gt;"",AND(YEAR(Table1938[[#This Row],[Date]])&gt;=2010, YEAR(Table1938[[#This Row],[Date]])&lt;=2024),FALSE)</f>
        <v>1</v>
      </c>
      <c r="W210" s="2" t="b">
        <f>IF(Table1938[[#This Row],[Date]]&lt;&gt;"",AND(YEAR(Table1938[[#This Row],[Date]])&gt;=2010, YEAR(Table1938[[#This Row],[Date]])&lt;=2020),FALSE)</f>
        <v>0</v>
      </c>
      <c r="X210" s="2" t="b">
        <f>IF(AND(Table1938[[#This Row],[Accesible]]=TRUE,Table1938[[#This Row],[DOI]]&lt;&gt;""),TRUE,FALSE)</f>
        <v>1</v>
      </c>
      <c r="Y210" s="2" t="b">
        <f>OR(Table1938[[#This Row],[Document Type]]="journalArticle",Table1938[[#This Row],[Document Type]]="conferencePaper",Table1938[[#This Row],[Document Type]]="review")</f>
        <v>1</v>
      </c>
      <c r="Z210" s="2" t="b" cm="1">
        <f t="array" ref="Z210">SUMPRODUCT(--ISNUMBER(SEARCH({"dimensional analysis","dimensionless coefficients","Π","Pi","theorem","software","design","tools","development","architecture","similar"}, LOWER(Table1938[[#This Row],[Title]]))))&gt;0</f>
        <v>0</v>
      </c>
      <c r="AA210" s="2" t="b" cm="1">
        <f t="array" ref="AA210">SUMPRODUCT(--ISNUMBER(SEARCH({"dimensional analysis","dimensionless coefficients","Π","Pi","theorem","software","design","tools","development","architecture","similar"}, LOWER(Table1938[[#This Row],[Abstract]]))))&gt;0</f>
        <v>1</v>
      </c>
      <c r="AB210" s="2" t="b">
        <f>AND(OR(Table1938[[#This Row],[IC-01 @2024]:[IC-01 @2020]])=TRUE,Table1938[[#This Row],[IC-02]]=TRUE,Table1938[[#This Row],[IC-03]]=TRUE,Table1938[[#This Row],[IC-04]]=TRUE,Table1938[[#This Row],[IC-05]]=TRUE)</f>
        <v>0</v>
      </c>
      <c r="AC210" s="2" t="b">
        <f>AND(Table1938[[#This Row],[Pass-IC]]=TRUE,Table1938[[#This Row],[Pass-EC]]=TRUE)</f>
        <v>0</v>
      </c>
      <c r="AD210" s="2" t="b">
        <f>COUNTIF($D$25:D210, Table1938[[#This Row],[Title]]) = 1</f>
        <v>1</v>
      </c>
      <c r="AE210" s="2" t="b">
        <f>AND(Table1938[[#This Row],[IC + EC]:[Unique]])</f>
        <v>0</v>
      </c>
      <c r="AF210" s="2" t="b">
        <v>0</v>
      </c>
      <c r="AG210" s="2" t="b">
        <v>0</v>
      </c>
      <c r="AH210" s="2" t="b">
        <v>0</v>
      </c>
      <c r="AI210" s="2" t="b">
        <f>IF(AND(Table1938[[#This Row],[Double Check]]=TRUE,Table1938[[#This Row],[Inspected]]=TRUE,Table1938[[#This Row],[Relevant]]=TRUE),TRUE,FALSE)</f>
        <v>0</v>
      </c>
    </row>
    <row r="211" spans="1:35" ht="71.7" x14ac:dyDescent="0.5">
      <c r="A211" s="2">
        <v>210</v>
      </c>
      <c r="B211" s="20" t="s">
        <v>3</v>
      </c>
      <c r="C211" s="20" t="s">
        <v>3028</v>
      </c>
      <c r="D211" s="20" t="s">
        <v>1487</v>
      </c>
      <c r="E211" s="20" t="s">
        <v>1486</v>
      </c>
      <c r="F211" s="2" t="s">
        <v>1489</v>
      </c>
      <c r="G211" s="20" t="s">
        <v>918</v>
      </c>
      <c r="H211" s="36">
        <v>44910</v>
      </c>
      <c r="I211" s="20">
        <v>2022</v>
      </c>
      <c r="J211" s="20" t="s">
        <v>61</v>
      </c>
      <c r="K211" s="20" t="s">
        <v>3029</v>
      </c>
      <c r="L211" s="20" t="s">
        <v>2515</v>
      </c>
      <c r="M211" s="20" t="s">
        <v>1488</v>
      </c>
      <c r="N211" s="20" t="b">
        <v>1</v>
      </c>
      <c r="O211" s="2" t="b">
        <f>IF(Table1938[[#This Row],[Title]]="",TRUE,FALSE)</f>
        <v>0</v>
      </c>
      <c r="P211" s="2" t="b">
        <f>IF(Table1938[[#This Row],[Author]]="",TRUE,FALSE)</f>
        <v>0</v>
      </c>
      <c r="Q211" s="2" t="b">
        <f>IF(Table1938[[#This Row],[DOI]]&lt;&gt;"", FALSE,TRUE)</f>
        <v>0</v>
      </c>
      <c r="R211" s="2" t="b">
        <f>IF(Table1938[[#This Row],[Abstract]]="",TRUE,FALSE)</f>
        <v>0</v>
      </c>
      <c r="S211" s="2" t="b">
        <f>IF(OR(Table1938[[#This Row],[Document Type]]="book",Table1938[[#This Row],[Document Type]]="bookSection"),TRUE,FALSE)</f>
        <v>0</v>
      </c>
      <c r="T211" s="2" t="b">
        <f>NOT(IF(OR(Table1938[[#This Row],[Language]]&lt;&gt;"en",Table1938[[#This Row],[Language]]&lt;&gt;"EN",Table1938[[#This Row],[Language]]&lt;&gt;"spa",Table1938[[#This Row],[Language]]&lt;&gt;"SPA"),TRUE,FALSE))</f>
        <v>0</v>
      </c>
      <c r="U211" s="2" t="b">
        <f>IF(AND(Table1938[[#This Row],[EC-01]]=FALSE,Table1938[[#This Row],[EC-02]]=FALSE,Table1938[[#This Row],[EC-03]]=FALSE,Table1938[[#This Row],[EC-04]]=FALSE,Table1938[[#This Row],[EC-05]]=FALSE,Table1938[[#This Row],[EC-06]]=FALSE),TRUE,FALSE)</f>
        <v>1</v>
      </c>
      <c r="V211" s="2" t="b">
        <f>IF(Table1938[[#This Row],[Date]]&lt;&gt;"",AND(YEAR(Table1938[[#This Row],[Date]])&gt;=2010, YEAR(Table1938[[#This Row],[Date]])&lt;=2024),FALSE)</f>
        <v>1</v>
      </c>
      <c r="W211" s="2" t="b">
        <f>IF(Table1938[[#This Row],[Date]]&lt;&gt;"",AND(YEAR(Table1938[[#This Row],[Date]])&gt;=2010, YEAR(Table1938[[#This Row],[Date]])&lt;=2020),FALSE)</f>
        <v>0</v>
      </c>
      <c r="X211" s="2" t="b">
        <f>IF(AND(Table1938[[#This Row],[Accesible]]=TRUE,Table1938[[#This Row],[DOI]]&lt;&gt;""),TRUE,FALSE)</f>
        <v>1</v>
      </c>
      <c r="Y211" s="2" t="b">
        <f>OR(Table1938[[#This Row],[Document Type]]="journalArticle",Table1938[[#This Row],[Document Type]]="conferencePaper",Table1938[[#This Row],[Document Type]]="review")</f>
        <v>1</v>
      </c>
      <c r="Z211" s="2" t="b" cm="1">
        <f t="array" ref="Z211">SUMPRODUCT(--ISNUMBER(SEARCH({"dimensional analysis","dimensionless coefficients","Π","Pi","theorem","software","design","tools","development","architecture","similar"}, LOWER(Table1938[[#This Row],[Title]]))))&gt;0</f>
        <v>0</v>
      </c>
      <c r="AA211" s="2" t="b" cm="1">
        <f t="array" ref="AA211">SUMPRODUCT(--ISNUMBER(SEARCH({"dimensional analysis","dimensionless coefficients","Π","Pi","theorem","software","design","tools","development","architecture","similar"}, LOWER(Table1938[[#This Row],[Abstract]]))))&gt;0</f>
        <v>1</v>
      </c>
      <c r="AB211" s="2" t="b">
        <f>AND(OR(Table1938[[#This Row],[IC-01 @2024]:[IC-01 @2020]])=TRUE,Table1938[[#This Row],[IC-02]]=TRUE,Table1938[[#This Row],[IC-03]]=TRUE,Table1938[[#This Row],[IC-04]]=TRUE,Table1938[[#This Row],[IC-05]]=TRUE)</f>
        <v>0</v>
      </c>
      <c r="AC211" s="2" t="b">
        <f>AND(Table1938[[#This Row],[Pass-IC]]=TRUE,Table1938[[#This Row],[Pass-EC]]=TRUE)</f>
        <v>0</v>
      </c>
      <c r="AD211" s="2" t="b">
        <f>COUNTIF($D$25:D211, Table1938[[#This Row],[Title]]) = 1</f>
        <v>1</v>
      </c>
      <c r="AE211" s="2" t="b">
        <f>AND(Table1938[[#This Row],[IC + EC]:[Unique]])</f>
        <v>0</v>
      </c>
      <c r="AF211" s="2" t="b">
        <v>0</v>
      </c>
      <c r="AG211" s="2" t="b">
        <v>0</v>
      </c>
      <c r="AH211" s="2" t="b">
        <v>0</v>
      </c>
      <c r="AI211" s="2" t="b">
        <f>IF(AND(Table1938[[#This Row],[Double Check]]=TRUE,Table1938[[#This Row],[Inspected]]=TRUE,Table1938[[#This Row],[Relevant]]=TRUE),TRUE,FALSE)</f>
        <v>0</v>
      </c>
    </row>
    <row r="212" spans="1:35" ht="57.35" x14ac:dyDescent="0.5">
      <c r="A212" s="2">
        <v>211</v>
      </c>
      <c r="B212" s="20" t="s">
        <v>3</v>
      </c>
      <c r="C212" s="20" t="s">
        <v>3030</v>
      </c>
      <c r="D212" s="20" t="s">
        <v>2204</v>
      </c>
      <c r="E212" s="20" t="s">
        <v>2203</v>
      </c>
      <c r="F212" s="2" t="s">
        <v>2206</v>
      </c>
      <c r="G212" s="20" t="s">
        <v>995</v>
      </c>
      <c r="H212" s="36">
        <v>43405</v>
      </c>
      <c r="I212" s="20">
        <v>2018</v>
      </c>
      <c r="J212" s="20" t="s">
        <v>61</v>
      </c>
      <c r="K212" s="20" t="s">
        <v>3031</v>
      </c>
      <c r="L212" s="20" t="s">
        <v>2515</v>
      </c>
      <c r="M212" s="20" t="s">
        <v>2205</v>
      </c>
      <c r="N212" s="20" t="b">
        <v>1</v>
      </c>
      <c r="O212" s="2" t="b">
        <f>IF(Table1938[[#This Row],[Title]]="",TRUE,FALSE)</f>
        <v>0</v>
      </c>
      <c r="P212" s="2" t="b">
        <f>IF(Table1938[[#This Row],[Author]]="",TRUE,FALSE)</f>
        <v>0</v>
      </c>
      <c r="Q212" s="2" t="b">
        <f>IF(Table1938[[#This Row],[DOI]]&lt;&gt;"", FALSE,TRUE)</f>
        <v>0</v>
      </c>
      <c r="R212" s="2" t="b">
        <f>IF(Table1938[[#This Row],[Abstract]]="",TRUE,FALSE)</f>
        <v>0</v>
      </c>
      <c r="S212" s="2" t="b">
        <f>IF(OR(Table1938[[#This Row],[Document Type]]="book",Table1938[[#This Row],[Document Type]]="bookSection"),TRUE,FALSE)</f>
        <v>0</v>
      </c>
      <c r="T212" s="2" t="b">
        <f>NOT(IF(OR(Table1938[[#This Row],[Language]]&lt;&gt;"en",Table1938[[#This Row],[Language]]&lt;&gt;"EN",Table1938[[#This Row],[Language]]&lt;&gt;"spa",Table1938[[#This Row],[Language]]&lt;&gt;"SPA"),TRUE,FALSE))</f>
        <v>0</v>
      </c>
      <c r="U212" s="2" t="b">
        <f>IF(AND(Table1938[[#This Row],[EC-01]]=FALSE,Table1938[[#This Row],[EC-02]]=FALSE,Table1938[[#This Row],[EC-03]]=FALSE,Table1938[[#This Row],[EC-04]]=FALSE,Table1938[[#This Row],[EC-05]]=FALSE,Table1938[[#This Row],[EC-06]]=FALSE),TRUE,FALSE)</f>
        <v>1</v>
      </c>
      <c r="V212" s="2" t="b">
        <f>IF(Table1938[[#This Row],[Date]]&lt;&gt;"",AND(YEAR(Table1938[[#This Row],[Date]])&gt;=2010, YEAR(Table1938[[#This Row],[Date]])&lt;=2024),FALSE)</f>
        <v>1</v>
      </c>
      <c r="W212" s="2" t="b">
        <f>IF(Table1938[[#This Row],[Date]]&lt;&gt;"",AND(YEAR(Table1938[[#This Row],[Date]])&gt;=2010, YEAR(Table1938[[#This Row],[Date]])&lt;=2020),FALSE)</f>
        <v>1</v>
      </c>
      <c r="X212" s="2" t="b">
        <f>IF(AND(Table1938[[#This Row],[Accesible]]=TRUE,Table1938[[#This Row],[DOI]]&lt;&gt;""),TRUE,FALSE)</f>
        <v>1</v>
      </c>
      <c r="Y212" s="2" t="b">
        <f>OR(Table1938[[#This Row],[Document Type]]="journalArticle",Table1938[[#This Row],[Document Type]]="conferencePaper",Table1938[[#This Row],[Document Type]]="review")</f>
        <v>1</v>
      </c>
      <c r="Z212" s="2" t="b" cm="1">
        <f t="array" ref="Z212">SUMPRODUCT(--ISNUMBER(SEARCH({"dimensional analysis","dimensionless coefficients","Π","Pi","theorem","software","design","tools","development","architecture","similar"}, LOWER(Table1938[[#This Row],[Title]]))))&gt;0</f>
        <v>0</v>
      </c>
      <c r="AA212" s="2" t="b" cm="1">
        <f t="array" ref="AA212">SUMPRODUCT(--ISNUMBER(SEARCH({"dimensional analysis","dimensionless coefficients","Π","Pi","theorem","software","design","tools","development","architecture","similar"}, LOWER(Table1938[[#This Row],[Abstract]]))))&gt;0</f>
        <v>0</v>
      </c>
      <c r="AB212" s="2" t="b">
        <f>AND(OR(Table1938[[#This Row],[IC-01 @2024]:[IC-01 @2020]])=TRUE,Table1938[[#This Row],[IC-02]]=TRUE,Table1938[[#This Row],[IC-03]]=TRUE,Table1938[[#This Row],[IC-04]]=TRUE,Table1938[[#This Row],[IC-05]]=TRUE)</f>
        <v>0</v>
      </c>
      <c r="AC212" s="2" t="b">
        <f>AND(Table1938[[#This Row],[Pass-IC]]=TRUE,Table1938[[#This Row],[Pass-EC]]=TRUE)</f>
        <v>0</v>
      </c>
      <c r="AD212" s="2" t="b">
        <f>COUNTIF($D$25:D212, Table1938[[#This Row],[Title]]) = 1</f>
        <v>1</v>
      </c>
      <c r="AE212" s="2" t="b">
        <f>AND(Table1938[[#This Row],[IC + EC]:[Unique]])</f>
        <v>0</v>
      </c>
      <c r="AF212" s="2" t="b">
        <v>0</v>
      </c>
      <c r="AG212" s="2" t="b">
        <v>0</v>
      </c>
      <c r="AH212" s="2" t="b">
        <v>0</v>
      </c>
      <c r="AI212" s="2" t="b">
        <f>IF(AND(Table1938[[#This Row],[Double Check]]=TRUE,Table1938[[#This Row],[Inspected]]=TRUE,Table1938[[#This Row],[Relevant]]=TRUE),TRUE,FALSE)</f>
        <v>0</v>
      </c>
    </row>
    <row r="213" spans="1:35" ht="57.35" x14ac:dyDescent="0.5">
      <c r="A213" s="2">
        <v>212</v>
      </c>
      <c r="B213" s="20" t="s">
        <v>3</v>
      </c>
      <c r="C213" s="20" t="s">
        <v>3032</v>
      </c>
      <c r="D213" s="20" t="s">
        <v>1901</v>
      </c>
      <c r="E213" s="20" t="s">
        <v>1900</v>
      </c>
      <c r="F213" s="2" t="s">
        <v>1903</v>
      </c>
      <c r="G213" s="20" t="s">
        <v>1386</v>
      </c>
      <c r="H213" s="36">
        <v>45292</v>
      </c>
      <c r="I213" s="20">
        <v>2024</v>
      </c>
      <c r="J213" s="20" t="s">
        <v>61</v>
      </c>
      <c r="K213" s="20" t="s">
        <v>3033</v>
      </c>
      <c r="L213" s="20" t="s">
        <v>2515</v>
      </c>
      <c r="M213" s="20" t="s">
        <v>1902</v>
      </c>
      <c r="N213" s="20" t="b">
        <v>1</v>
      </c>
      <c r="O213" s="2" t="b">
        <f>IF(Table1938[[#This Row],[Title]]="",TRUE,FALSE)</f>
        <v>0</v>
      </c>
      <c r="P213" s="2" t="b">
        <f>IF(Table1938[[#This Row],[Author]]="",TRUE,FALSE)</f>
        <v>0</v>
      </c>
      <c r="Q213" s="2" t="b">
        <f>IF(Table1938[[#This Row],[DOI]]&lt;&gt;"", FALSE,TRUE)</f>
        <v>0</v>
      </c>
      <c r="R213" s="2" t="b">
        <f>IF(Table1938[[#This Row],[Abstract]]="",TRUE,FALSE)</f>
        <v>0</v>
      </c>
      <c r="S213" s="2" t="b">
        <f>IF(OR(Table1938[[#This Row],[Document Type]]="book",Table1938[[#This Row],[Document Type]]="bookSection"),TRUE,FALSE)</f>
        <v>0</v>
      </c>
      <c r="T213" s="2" t="b">
        <f>NOT(IF(OR(Table1938[[#This Row],[Language]]&lt;&gt;"en",Table1938[[#This Row],[Language]]&lt;&gt;"EN",Table1938[[#This Row],[Language]]&lt;&gt;"spa",Table1938[[#This Row],[Language]]&lt;&gt;"SPA"),TRUE,FALSE))</f>
        <v>0</v>
      </c>
      <c r="U213" s="2" t="b">
        <f>IF(AND(Table1938[[#This Row],[EC-01]]=FALSE,Table1938[[#This Row],[EC-02]]=FALSE,Table1938[[#This Row],[EC-03]]=FALSE,Table1938[[#This Row],[EC-04]]=FALSE,Table1938[[#This Row],[EC-05]]=FALSE,Table1938[[#This Row],[EC-06]]=FALSE),TRUE,FALSE)</f>
        <v>1</v>
      </c>
      <c r="V213" s="2" t="b">
        <f>IF(Table1938[[#This Row],[Date]]&lt;&gt;"",AND(YEAR(Table1938[[#This Row],[Date]])&gt;=2010, YEAR(Table1938[[#This Row],[Date]])&lt;=2024),FALSE)</f>
        <v>1</v>
      </c>
      <c r="W213" s="2" t="b">
        <f>IF(Table1938[[#This Row],[Date]]&lt;&gt;"",AND(YEAR(Table1938[[#This Row],[Date]])&gt;=2010, YEAR(Table1938[[#This Row],[Date]])&lt;=2020),FALSE)</f>
        <v>0</v>
      </c>
      <c r="X213" s="2" t="b">
        <f>IF(AND(Table1938[[#This Row],[Accesible]]=TRUE,Table1938[[#This Row],[DOI]]&lt;&gt;""),TRUE,FALSE)</f>
        <v>1</v>
      </c>
      <c r="Y213" s="2" t="b">
        <f>OR(Table1938[[#This Row],[Document Type]]="journalArticle",Table1938[[#This Row],[Document Type]]="conferencePaper",Table1938[[#This Row],[Document Type]]="review")</f>
        <v>1</v>
      </c>
      <c r="Z213" s="2" t="b" cm="1">
        <f t="array" ref="Z213">SUMPRODUCT(--ISNUMBER(SEARCH({"dimensional analysis","dimensionless coefficients","Π","Pi","theorem","software","design","tools","development","architecture","similar"}, LOWER(Table1938[[#This Row],[Title]]))))&gt;0</f>
        <v>0</v>
      </c>
      <c r="AA213" s="2" t="b" cm="1">
        <f t="array" ref="AA213">SUMPRODUCT(--ISNUMBER(SEARCH({"dimensional analysis","dimensionless coefficients","Π","Pi","theorem","software","design","tools","development","architecture","similar"}, LOWER(Table1938[[#This Row],[Abstract]]))))&gt;0</f>
        <v>0</v>
      </c>
      <c r="AB213" s="2" t="b">
        <f>AND(OR(Table1938[[#This Row],[IC-01 @2024]:[IC-01 @2020]])=TRUE,Table1938[[#This Row],[IC-02]]=TRUE,Table1938[[#This Row],[IC-03]]=TRUE,Table1938[[#This Row],[IC-04]]=TRUE,Table1938[[#This Row],[IC-05]]=TRUE)</f>
        <v>0</v>
      </c>
      <c r="AC213" s="2" t="b">
        <f>AND(Table1938[[#This Row],[Pass-IC]]=TRUE,Table1938[[#This Row],[Pass-EC]]=TRUE)</f>
        <v>0</v>
      </c>
      <c r="AD213" s="2" t="b">
        <f>COUNTIF($D$25:D213, Table1938[[#This Row],[Title]]) = 1</f>
        <v>1</v>
      </c>
      <c r="AE213" s="2" t="b">
        <f>AND(Table1938[[#This Row],[IC + EC]:[Unique]])</f>
        <v>0</v>
      </c>
      <c r="AF213" s="2" t="b">
        <v>0</v>
      </c>
      <c r="AG213" s="2" t="b">
        <v>0</v>
      </c>
      <c r="AH213" s="2" t="b">
        <v>0</v>
      </c>
      <c r="AI213" s="2" t="b">
        <f>IF(AND(Table1938[[#This Row],[Double Check]]=TRUE,Table1938[[#This Row],[Inspected]]=TRUE,Table1938[[#This Row],[Relevant]]=TRUE),TRUE,FALSE)</f>
        <v>0</v>
      </c>
    </row>
    <row r="214" spans="1:35" ht="71.7" x14ac:dyDescent="0.5">
      <c r="A214" s="2">
        <v>213</v>
      </c>
      <c r="B214" s="20" t="s">
        <v>3</v>
      </c>
      <c r="C214" s="20" t="s">
        <v>3034</v>
      </c>
      <c r="D214" s="20" t="s">
        <v>2422</v>
      </c>
      <c r="E214" s="20" t="s">
        <v>2421</v>
      </c>
      <c r="F214" s="2" t="s">
        <v>2424</v>
      </c>
      <c r="G214" s="20" t="s">
        <v>954</v>
      </c>
      <c r="H214" s="36">
        <v>41432</v>
      </c>
      <c r="I214" s="20">
        <v>2013</v>
      </c>
      <c r="J214" s="20" t="s">
        <v>61</v>
      </c>
      <c r="K214" s="20" t="s">
        <v>3035</v>
      </c>
      <c r="L214" s="20" t="s">
        <v>2515</v>
      </c>
      <c r="M214" s="20" t="s">
        <v>2423</v>
      </c>
      <c r="N214" s="20" t="b">
        <v>1</v>
      </c>
      <c r="O214" s="2" t="b">
        <f>IF(Table1938[[#This Row],[Title]]="",TRUE,FALSE)</f>
        <v>0</v>
      </c>
      <c r="P214" s="2" t="b">
        <f>IF(Table1938[[#This Row],[Author]]="",TRUE,FALSE)</f>
        <v>0</v>
      </c>
      <c r="Q214" s="2" t="b">
        <f>IF(Table1938[[#This Row],[DOI]]&lt;&gt;"", FALSE,TRUE)</f>
        <v>0</v>
      </c>
      <c r="R214" s="2" t="b">
        <f>IF(Table1938[[#This Row],[Abstract]]="",TRUE,FALSE)</f>
        <v>0</v>
      </c>
      <c r="S214" s="2" t="b">
        <f>IF(OR(Table1938[[#This Row],[Document Type]]="book",Table1938[[#This Row],[Document Type]]="bookSection"),TRUE,FALSE)</f>
        <v>0</v>
      </c>
      <c r="T214" s="2" t="b">
        <f>NOT(IF(OR(Table1938[[#This Row],[Language]]&lt;&gt;"en",Table1938[[#This Row],[Language]]&lt;&gt;"EN",Table1938[[#This Row],[Language]]&lt;&gt;"spa",Table1938[[#This Row],[Language]]&lt;&gt;"SPA"),TRUE,FALSE))</f>
        <v>0</v>
      </c>
      <c r="U214" s="2" t="b">
        <f>IF(AND(Table1938[[#This Row],[EC-01]]=FALSE,Table1938[[#This Row],[EC-02]]=FALSE,Table1938[[#This Row],[EC-03]]=FALSE,Table1938[[#This Row],[EC-04]]=FALSE,Table1938[[#This Row],[EC-05]]=FALSE,Table1938[[#This Row],[EC-06]]=FALSE),TRUE,FALSE)</f>
        <v>1</v>
      </c>
      <c r="V214" s="2" t="b">
        <f>IF(Table1938[[#This Row],[Date]]&lt;&gt;"",AND(YEAR(Table1938[[#This Row],[Date]])&gt;=2010, YEAR(Table1938[[#This Row],[Date]])&lt;=2024),FALSE)</f>
        <v>1</v>
      </c>
      <c r="W214" s="2" t="b">
        <f>IF(Table1938[[#This Row],[Date]]&lt;&gt;"",AND(YEAR(Table1938[[#This Row],[Date]])&gt;=2010, YEAR(Table1938[[#This Row],[Date]])&lt;=2020),FALSE)</f>
        <v>1</v>
      </c>
      <c r="X214" s="2" t="b">
        <f>IF(AND(Table1938[[#This Row],[Accesible]]=TRUE,Table1938[[#This Row],[DOI]]&lt;&gt;""),TRUE,FALSE)</f>
        <v>1</v>
      </c>
      <c r="Y214" s="2" t="b">
        <f>OR(Table1938[[#This Row],[Document Type]]="journalArticle",Table1938[[#This Row],[Document Type]]="conferencePaper",Table1938[[#This Row],[Document Type]]="review")</f>
        <v>1</v>
      </c>
      <c r="Z214" s="2" t="b" cm="1">
        <f t="array" ref="Z214">SUMPRODUCT(--ISNUMBER(SEARCH({"dimensional analysis","dimensionless coefficients","Π","Pi","theorem","software","design","tools","development","architecture","similar"}, LOWER(Table1938[[#This Row],[Title]]))))&gt;0</f>
        <v>0</v>
      </c>
      <c r="AA214" s="2" t="b" cm="1">
        <f t="array" ref="AA214">SUMPRODUCT(--ISNUMBER(SEARCH({"dimensional analysis","dimensionless coefficients","Π","Pi","theorem","software","design","tools","development","architecture","similar"}, LOWER(Table1938[[#This Row],[Abstract]]))))&gt;0</f>
        <v>1</v>
      </c>
      <c r="AB214" s="2" t="b">
        <f>AND(OR(Table1938[[#This Row],[IC-01 @2024]:[IC-01 @2020]])=TRUE,Table1938[[#This Row],[IC-02]]=TRUE,Table1938[[#This Row],[IC-03]]=TRUE,Table1938[[#This Row],[IC-04]]=TRUE,Table1938[[#This Row],[IC-05]]=TRUE)</f>
        <v>0</v>
      </c>
      <c r="AC214" s="2" t="b">
        <f>AND(Table1938[[#This Row],[Pass-IC]]=TRUE,Table1938[[#This Row],[Pass-EC]]=TRUE)</f>
        <v>0</v>
      </c>
      <c r="AD214" s="2" t="b">
        <f>COUNTIF($D$25:D214, Table1938[[#This Row],[Title]]) = 1</f>
        <v>1</v>
      </c>
      <c r="AE214" s="2" t="b">
        <f>AND(Table1938[[#This Row],[IC + EC]:[Unique]])</f>
        <v>0</v>
      </c>
      <c r="AF214" s="2" t="b">
        <v>0</v>
      </c>
      <c r="AG214" s="2" t="b">
        <v>0</v>
      </c>
      <c r="AH214" s="2" t="b">
        <v>0</v>
      </c>
      <c r="AI214" s="2" t="b">
        <f>IF(AND(Table1938[[#This Row],[Double Check]]=TRUE,Table1938[[#This Row],[Inspected]]=TRUE,Table1938[[#This Row],[Relevant]]=TRUE),TRUE,FALSE)</f>
        <v>0</v>
      </c>
    </row>
    <row r="215" spans="1:35" ht="57.35" x14ac:dyDescent="0.5">
      <c r="A215" s="2">
        <v>214</v>
      </c>
      <c r="B215" s="20" t="s">
        <v>3</v>
      </c>
      <c r="C215" s="20" t="s">
        <v>3036</v>
      </c>
      <c r="D215" s="20" t="s">
        <v>2172</v>
      </c>
      <c r="E215" s="20" t="s">
        <v>2171</v>
      </c>
      <c r="F215" s="2" t="s">
        <v>2174</v>
      </c>
      <c r="G215" s="20" t="s">
        <v>940</v>
      </c>
      <c r="H215" s="36">
        <v>44409</v>
      </c>
      <c r="I215" s="20">
        <v>2021</v>
      </c>
      <c r="J215" s="20" t="s">
        <v>61</v>
      </c>
      <c r="K215" s="20" t="s">
        <v>3037</v>
      </c>
      <c r="L215" s="20" t="s">
        <v>2515</v>
      </c>
      <c r="M215" s="20" t="s">
        <v>2173</v>
      </c>
      <c r="N215" s="20" t="b">
        <v>1</v>
      </c>
      <c r="O215" s="2" t="b">
        <f>IF(Table1938[[#This Row],[Title]]="",TRUE,FALSE)</f>
        <v>0</v>
      </c>
      <c r="P215" s="2" t="b">
        <f>IF(Table1938[[#This Row],[Author]]="",TRUE,FALSE)</f>
        <v>0</v>
      </c>
      <c r="Q215" s="2" t="b">
        <f>IF(Table1938[[#This Row],[DOI]]&lt;&gt;"", FALSE,TRUE)</f>
        <v>0</v>
      </c>
      <c r="R215" s="2" t="b">
        <f>IF(Table1938[[#This Row],[Abstract]]="",TRUE,FALSE)</f>
        <v>0</v>
      </c>
      <c r="S215" s="2" t="b">
        <f>IF(OR(Table1938[[#This Row],[Document Type]]="book",Table1938[[#This Row],[Document Type]]="bookSection"),TRUE,FALSE)</f>
        <v>0</v>
      </c>
      <c r="T215" s="2" t="b">
        <f>NOT(IF(OR(Table1938[[#This Row],[Language]]&lt;&gt;"en",Table1938[[#This Row],[Language]]&lt;&gt;"EN",Table1938[[#This Row],[Language]]&lt;&gt;"spa",Table1938[[#This Row],[Language]]&lt;&gt;"SPA"),TRUE,FALSE))</f>
        <v>0</v>
      </c>
      <c r="U215" s="2" t="b">
        <f>IF(AND(Table1938[[#This Row],[EC-01]]=FALSE,Table1938[[#This Row],[EC-02]]=FALSE,Table1938[[#This Row],[EC-03]]=FALSE,Table1938[[#This Row],[EC-04]]=FALSE,Table1938[[#This Row],[EC-05]]=FALSE,Table1938[[#This Row],[EC-06]]=FALSE),TRUE,FALSE)</f>
        <v>1</v>
      </c>
      <c r="V215" s="2" t="b">
        <f>IF(Table1938[[#This Row],[Date]]&lt;&gt;"",AND(YEAR(Table1938[[#This Row],[Date]])&gt;=2010, YEAR(Table1938[[#This Row],[Date]])&lt;=2024),FALSE)</f>
        <v>1</v>
      </c>
      <c r="W215" s="2" t="b">
        <f>IF(Table1938[[#This Row],[Date]]&lt;&gt;"",AND(YEAR(Table1938[[#This Row],[Date]])&gt;=2010, YEAR(Table1938[[#This Row],[Date]])&lt;=2020),FALSE)</f>
        <v>0</v>
      </c>
      <c r="X215" s="2" t="b">
        <f>IF(AND(Table1938[[#This Row],[Accesible]]=TRUE,Table1938[[#This Row],[DOI]]&lt;&gt;""),TRUE,FALSE)</f>
        <v>1</v>
      </c>
      <c r="Y215" s="2" t="b">
        <f>OR(Table1938[[#This Row],[Document Type]]="journalArticle",Table1938[[#This Row],[Document Type]]="conferencePaper",Table1938[[#This Row],[Document Type]]="review")</f>
        <v>1</v>
      </c>
      <c r="Z215" s="2" t="b" cm="1">
        <f t="array" ref="Z215">SUMPRODUCT(--ISNUMBER(SEARCH({"dimensional analysis","dimensionless coefficients","Π","Pi","theorem","software","design","tools","development","architecture","similar"}, LOWER(Table1938[[#This Row],[Title]]))))&gt;0</f>
        <v>0</v>
      </c>
      <c r="AA215" s="2" t="b" cm="1">
        <f t="array" ref="AA215">SUMPRODUCT(--ISNUMBER(SEARCH({"dimensional analysis","dimensionless coefficients","Π","Pi","theorem","software","design","tools","development","architecture","similar"}, LOWER(Table1938[[#This Row],[Abstract]]))))&gt;0</f>
        <v>1</v>
      </c>
      <c r="AB215" s="2" t="b">
        <f>AND(OR(Table1938[[#This Row],[IC-01 @2024]:[IC-01 @2020]])=TRUE,Table1938[[#This Row],[IC-02]]=TRUE,Table1938[[#This Row],[IC-03]]=TRUE,Table1938[[#This Row],[IC-04]]=TRUE,Table1938[[#This Row],[IC-05]]=TRUE)</f>
        <v>0</v>
      </c>
      <c r="AC215" s="2" t="b">
        <f>AND(Table1938[[#This Row],[Pass-IC]]=TRUE,Table1938[[#This Row],[Pass-EC]]=TRUE)</f>
        <v>0</v>
      </c>
      <c r="AD215" s="2" t="b">
        <f>COUNTIF($D$25:D215, Table1938[[#This Row],[Title]]) = 1</f>
        <v>1</v>
      </c>
      <c r="AE215" s="2" t="b">
        <f>AND(Table1938[[#This Row],[IC + EC]:[Unique]])</f>
        <v>0</v>
      </c>
      <c r="AF215" s="2" t="b">
        <v>0</v>
      </c>
      <c r="AG215" s="2" t="b">
        <v>0</v>
      </c>
      <c r="AH215" s="2" t="b">
        <v>0</v>
      </c>
      <c r="AI215" s="2" t="b">
        <f>IF(AND(Table1938[[#This Row],[Double Check]]=TRUE,Table1938[[#This Row],[Inspected]]=TRUE,Table1938[[#This Row],[Relevant]]=TRUE),TRUE,FALSE)</f>
        <v>0</v>
      </c>
    </row>
    <row r="216" spans="1:35" ht="28.7" x14ac:dyDescent="0.5">
      <c r="A216" s="2">
        <v>215</v>
      </c>
      <c r="B216" s="20" t="s">
        <v>3</v>
      </c>
      <c r="C216" s="20" t="s">
        <v>3038</v>
      </c>
      <c r="D216" s="20" t="s">
        <v>1282</v>
      </c>
      <c r="E216" s="20" t="s">
        <v>1281</v>
      </c>
      <c r="F216" s="2" t="s">
        <v>1285</v>
      </c>
      <c r="G216" s="20" t="s">
        <v>1283</v>
      </c>
      <c r="H216" s="36">
        <v>45383</v>
      </c>
      <c r="I216" s="20">
        <v>2024</v>
      </c>
      <c r="J216" s="20" t="s">
        <v>61</v>
      </c>
      <c r="K216" s="20" t="s">
        <v>3039</v>
      </c>
      <c r="L216" s="20" t="s">
        <v>2515</v>
      </c>
      <c r="M216" s="20" t="s">
        <v>1284</v>
      </c>
      <c r="N216" s="20" t="b">
        <v>1</v>
      </c>
      <c r="O216" s="2" t="b">
        <f>IF(Table1938[[#This Row],[Title]]="",TRUE,FALSE)</f>
        <v>0</v>
      </c>
      <c r="P216" s="2" t="b">
        <f>IF(Table1938[[#This Row],[Author]]="",TRUE,FALSE)</f>
        <v>0</v>
      </c>
      <c r="Q216" s="2" t="b">
        <f>IF(Table1938[[#This Row],[DOI]]&lt;&gt;"", FALSE,TRUE)</f>
        <v>0</v>
      </c>
      <c r="R216" s="2" t="b">
        <f>IF(Table1938[[#This Row],[Abstract]]="",TRUE,FALSE)</f>
        <v>0</v>
      </c>
      <c r="S216" s="2" t="b">
        <f>IF(OR(Table1938[[#This Row],[Document Type]]="book",Table1938[[#This Row],[Document Type]]="bookSection"),TRUE,FALSE)</f>
        <v>0</v>
      </c>
      <c r="T216" s="2" t="b">
        <f>NOT(IF(OR(Table1938[[#This Row],[Language]]&lt;&gt;"en",Table1938[[#This Row],[Language]]&lt;&gt;"EN",Table1938[[#This Row],[Language]]&lt;&gt;"spa",Table1938[[#This Row],[Language]]&lt;&gt;"SPA"),TRUE,FALSE))</f>
        <v>0</v>
      </c>
      <c r="U216" s="2" t="b">
        <f>IF(AND(Table1938[[#This Row],[EC-01]]=FALSE,Table1938[[#This Row],[EC-02]]=FALSE,Table1938[[#This Row],[EC-03]]=FALSE,Table1938[[#This Row],[EC-04]]=FALSE,Table1938[[#This Row],[EC-05]]=FALSE,Table1938[[#This Row],[EC-06]]=FALSE),TRUE,FALSE)</f>
        <v>1</v>
      </c>
      <c r="V216" s="2" t="b">
        <f>IF(Table1938[[#This Row],[Date]]&lt;&gt;"",AND(YEAR(Table1938[[#This Row],[Date]])&gt;=2010, YEAR(Table1938[[#This Row],[Date]])&lt;=2024),FALSE)</f>
        <v>1</v>
      </c>
      <c r="W216" s="2" t="b">
        <f>IF(Table1938[[#This Row],[Date]]&lt;&gt;"",AND(YEAR(Table1938[[#This Row],[Date]])&gt;=2010, YEAR(Table1938[[#This Row],[Date]])&lt;=2020),FALSE)</f>
        <v>0</v>
      </c>
      <c r="X216" s="2" t="b">
        <f>IF(AND(Table1938[[#This Row],[Accesible]]=TRUE,Table1938[[#This Row],[DOI]]&lt;&gt;""),TRUE,FALSE)</f>
        <v>1</v>
      </c>
      <c r="Y216" s="2" t="b">
        <f>OR(Table1938[[#This Row],[Document Type]]="journalArticle",Table1938[[#This Row],[Document Type]]="conferencePaper",Table1938[[#This Row],[Document Type]]="review")</f>
        <v>1</v>
      </c>
      <c r="Z216" s="2" t="b" cm="1">
        <f t="array" ref="Z216">SUMPRODUCT(--ISNUMBER(SEARCH({"dimensional analysis","dimensionless coefficients","Π","Pi","theorem","software","design","tools","development","architecture","similar"}, LOWER(Table1938[[#This Row],[Title]]))))&gt;0</f>
        <v>0</v>
      </c>
      <c r="AA216" s="2" t="b" cm="1">
        <f t="array" ref="AA216">SUMPRODUCT(--ISNUMBER(SEARCH({"dimensional analysis","dimensionless coefficients","Π","Pi","theorem","software","design","tools","development","architecture","similar"}, LOWER(Table1938[[#This Row],[Abstract]]))))&gt;0</f>
        <v>1</v>
      </c>
      <c r="AB216" s="2" t="b">
        <f>AND(OR(Table1938[[#This Row],[IC-01 @2024]:[IC-01 @2020]])=TRUE,Table1938[[#This Row],[IC-02]]=TRUE,Table1938[[#This Row],[IC-03]]=TRUE,Table1938[[#This Row],[IC-04]]=TRUE,Table1938[[#This Row],[IC-05]]=TRUE)</f>
        <v>0</v>
      </c>
      <c r="AC216" s="2" t="b">
        <f>AND(Table1938[[#This Row],[Pass-IC]]=TRUE,Table1938[[#This Row],[Pass-EC]]=TRUE)</f>
        <v>0</v>
      </c>
      <c r="AD216" s="2" t="b">
        <f>COUNTIF($D$25:D216, Table1938[[#This Row],[Title]]) = 1</f>
        <v>1</v>
      </c>
      <c r="AE216" s="2" t="b">
        <f>AND(Table1938[[#This Row],[IC + EC]:[Unique]])</f>
        <v>0</v>
      </c>
      <c r="AF216" s="2" t="b">
        <v>0</v>
      </c>
      <c r="AG216" s="2" t="b">
        <v>0</v>
      </c>
      <c r="AH216" s="2" t="b">
        <v>0</v>
      </c>
      <c r="AI216" s="2" t="b">
        <f>IF(AND(Table1938[[#This Row],[Double Check]]=TRUE,Table1938[[#This Row],[Inspected]]=TRUE,Table1938[[#This Row],[Relevant]]=TRUE),TRUE,FALSE)</f>
        <v>0</v>
      </c>
    </row>
    <row r="217" spans="1:35" ht="57.35" x14ac:dyDescent="0.5">
      <c r="A217" s="2">
        <v>216</v>
      </c>
      <c r="B217" s="20" t="s">
        <v>3</v>
      </c>
      <c r="C217" s="20" t="s">
        <v>3040</v>
      </c>
      <c r="D217" s="20" t="s">
        <v>1991</v>
      </c>
      <c r="E217" s="20" t="s">
        <v>1990</v>
      </c>
      <c r="F217" s="2" t="s">
        <v>1994</v>
      </c>
      <c r="G217" s="20" t="s">
        <v>1992</v>
      </c>
      <c r="H217" s="36">
        <v>45566</v>
      </c>
      <c r="I217" s="20">
        <v>2024</v>
      </c>
      <c r="J217" s="20" t="s">
        <v>61</v>
      </c>
      <c r="K217" s="20" t="s">
        <v>3041</v>
      </c>
      <c r="L217" s="20" t="s">
        <v>2515</v>
      </c>
      <c r="M217" s="20" t="s">
        <v>1993</v>
      </c>
      <c r="N217" s="20" t="b">
        <v>1</v>
      </c>
      <c r="O217" s="2" t="b">
        <f>IF(Table1938[[#This Row],[Title]]="",TRUE,FALSE)</f>
        <v>0</v>
      </c>
      <c r="P217" s="2" t="b">
        <f>IF(Table1938[[#This Row],[Author]]="",TRUE,FALSE)</f>
        <v>0</v>
      </c>
      <c r="Q217" s="2" t="b">
        <f>IF(Table1938[[#This Row],[DOI]]&lt;&gt;"", FALSE,TRUE)</f>
        <v>0</v>
      </c>
      <c r="R217" s="2" t="b">
        <f>IF(Table1938[[#This Row],[Abstract]]="",TRUE,FALSE)</f>
        <v>0</v>
      </c>
      <c r="S217" s="2" t="b">
        <f>IF(OR(Table1938[[#This Row],[Document Type]]="book",Table1938[[#This Row],[Document Type]]="bookSection"),TRUE,FALSE)</f>
        <v>0</v>
      </c>
      <c r="T217" s="2" t="b">
        <f>NOT(IF(OR(Table1938[[#This Row],[Language]]&lt;&gt;"en",Table1938[[#This Row],[Language]]&lt;&gt;"EN",Table1938[[#This Row],[Language]]&lt;&gt;"spa",Table1938[[#This Row],[Language]]&lt;&gt;"SPA"),TRUE,FALSE))</f>
        <v>0</v>
      </c>
      <c r="U217" s="2" t="b">
        <f>IF(AND(Table1938[[#This Row],[EC-01]]=FALSE,Table1938[[#This Row],[EC-02]]=FALSE,Table1938[[#This Row],[EC-03]]=FALSE,Table1938[[#This Row],[EC-04]]=FALSE,Table1938[[#This Row],[EC-05]]=FALSE,Table1938[[#This Row],[EC-06]]=FALSE),TRUE,FALSE)</f>
        <v>1</v>
      </c>
      <c r="V217" s="2" t="b">
        <f>IF(Table1938[[#This Row],[Date]]&lt;&gt;"",AND(YEAR(Table1938[[#This Row],[Date]])&gt;=2010, YEAR(Table1938[[#This Row],[Date]])&lt;=2024),FALSE)</f>
        <v>1</v>
      </c>
      <c r="W217" s="2" t="b">
        <f>IF(Table1938[[#This Row],[Date]]&lt;&gt;"",AND(YEAR(Table1938[[#This Row],[Date]])&gt;=2010, YEAR(Table1938[[#This Row],[Date]])&lt;=2020),FALSE)</f>
        <v>0</v>
      </c>
      <c r="X217" s="2" t="b">
        <f>IF(AND(Table1938[[#This Row],[Accesible]]=TRUE,Table1938[[#This Row],[DOI]]&lt;&gt;""),TRUE,FALSE)</f>
        <v>1</v>
      </c>
      <c r="Y217" s="2" t="b">
        <f>OR(Table1938[[#This Row],[Document Type]]="journalArticle",Table1938[[#This Row],[Document Type]]="conferencePaper",Table1938[[#This Row],[Document Type]]="review")</f>
        <v>1</v>
      </c>
      <c r="Z217" s="2" t="b" cm="1">
        <f t="array" ref="Z217">SUMPRODUCT(--ISNUMBER(SEARCH({"dimensional analysis","dimensionless coefficients","Π","Pi","theorem","software","design","tools","development","architecture","similar"}, LOWER(Table1938[[#This Row],[Title]]))))&gt;0</f>
        <v>0</v>
      </c>
      <c r="AA217" s="2" t="b" cm="1">
        <f t="array" ref="AA217">SUMPRODUCT(--ISNUMBER(SEARCH({"dimensional analysis","dimensionless coefficients","Π","Pi","theorem","software","design","tools","development","architecture","similar"}, LOWER(Table1938[[#This Row],[Abstract]]))))&gt;0</f>
        <v>1</v>
      </c>
      <c r="AB217" s="2" t="b">
        <f>AND(OR(Table1938[[#This Row],[IC-01 @2024]:[IC-01 @2020]])=TRUE,Table1938[[#This Row],[IC-02]]=TRUE,Table1938[[#This Row],[IC-03]]=TRUE,Table1938[[#This Row],[IC-04]]=TRUE,Table1938[[#This Row],[IC-05]]=TRUE)</f>
        <v>0</v>
      </c>
      <c r="AC217" s="2" t="b">
        <f>AND(Table1938[[#This Row],[Pass-IC]]=TRUE,Table1938[[#This Row],[Pass-EC]]=TRUE)</f>
        <v>0</v>
      </c>
      <c r="AD217" s="2" t="b">
        <f>COUNTIF($D$25:D217, Table1938[[#This Row],[Title]]) = 1</f>
        <v>1</v>
      </c>
      <c r="AE217" s="2" t="b">
        <f>AND(Table1938[[#This Row],[IC + EC]:[Unique]])</f>
        <v>0</v>
      </c>
      <c r="AF217" s="2" t="b">
        <v>0</v>
      </c>
      <c r="AG217" s="2" t="b">
        <v>0</v>
      </c>
      <c r="AH217" s="2" t="b">
        <v>0</v>
      </c>
      <c r="AI217" s="2" t="b">
        <f>IF(AND(Table1938[[#This Row],[Double Check]]=TRUE,Table1938[[#This Row],[Inspected]]=TRUE,Table1938[[#This Row],[Relevant]]=TRUE),TRUE,FALSE)</f>
        <v>0</v>
      </c>
    </row>
    <row r="218" spans="1:35" ht="57.35" x14ac:dyDescent="0.5">
      <c r="A218" s="2">
        <v>217</v>
      </c>
      <c r="B218" s="20" t="s">
        <v>3</v>
      </c>
      <c r="C218" s="20" t="s">
        <v>3042</v>
      </c>
      <c r="D218" s="20" t="s">
        <v>1800</v>
      </c>
      <c r="E218" s="20" t="s">
        <v>1799</v>
      </c>
      <c r="F218" s="2" t="s">
        <v>1802</v>
      </c>
      <c r="G218" s="20" t="s">
        <v>938</v>
      </c>
      <c r="H218" s="36">
        <v>45566</v>
      </c>
      <c r="I218" s="20">
        <v>2024</v>
      </c>
      <c r="J218" s="20" t="s">
        <v>61</v>
      </c>
      <c r="K218" s="20" t="s">
        <v>3043</v>
      </c>
      <c r="L218" s="20" t="s">
        <v>2515</v>
      </c>
      <c r="M218" s="20" t="s">
        <v>1801</v>
      </c>
      <c r="N218" s="20" t="b">
        <v>1</v>
      </c>
      <c r="O218" s="2" t="b">
        <f>IF(Table1938[[#This Row],[Title]]="",TRUE,FALSE)</f>
        <v>0</v>
      </c>
      <c r="P218" s="2" t="b">
        <f>IF(Table1938[[#This Row],[Author]]="",TRUE,FALSE)</f>
        <v>0</v>
      </c>
      <c r="Q218" s="2" t="b">
        <f>IF(Table1938[[#This Row],[DOI]]&lt;&gt;"", FALSE,TRUE)</f>
        <v>0</v>
      </c>
      <c r="R218" s="2" t="b">
        <f>IF(Table1938[[#This Row],[Abstract]]="",TRUE,FALSE)</f>
        <v>0</v>
      </c>
      <c r="S218" s="2" t="b">
        <f>IF(OR(Table1938[[#This Row],[Document Type]]="book",Table1938[[#This Row],[Document Type]]="bookSection"),TRUE,FALSE)</f>
        <v>0</v>
      </c>
      <c r="T218" s="2" t="b">
        <f>NOT(IF(OR(Table1938[[#This Row],[Language]]&lt;&gt;"en",Table1938[[#This Row],[Language]]&lt;&gt;"EN",Table1938[[#This Row],[Language]]&lt;&gt;"spa",Table1938[[#This Row],[Language]]&lt;&gt;"SPA"),TRUE,FALSE))</f>
        <v>0</v>
      </c>
      <c r="U218" s="2" t="b">
        <f>IF(AND(Table1938[[#This Row],[EC-01]]=FALSE,Table1938[[#This Row],[EC-02]]=FALSE,Table1938[[#This Row],[EC-03]]=FALSE,Table1938[[#This Row],[EC-04]]=FALSE,Table1938[[#This Row],[EC-05]]=FALSE,Table1938[[#This Row],[EC-06]]=FALSE),TRUE,FALSE)</f>
        <v>1</v>
      </c>
      <c r="V218" s="2" t="b">
        <f>IF(Table1938[[#This Row],[Date]]&lt;&gt;"",AND(YEAR(Table1938[[#This Row],[Date]])&gt;=2010, YEAR(Table1938[[#This Row],[Date]])&lt;=2024),FALSE)</f>
        <v>1</v>
      </c>
      <c r="W218" s="2" t="b">
        <f>IF(Table1938[[#This Row],[Date]]&lt;&gt;"",AND(YEAR(Table1938[[#This Row],[Date]])&gt;=2010, YEAR(Table1938[[#This Row],[Date]])&lt;=2020),FALSE)</f>
        <v>0</v>
      </c>
      <c r="X218" s="2" t="b">
        <f>IF(AND(Table1938[[#This Row],[Accesible]]=TRUE,Table1938[[#This Row],[DOI]]&lt;&gt;""),TRUE,FALSE)</f>
        <v>1</v>
      </c>
      <c r="Y218" s="2" t="b">
        <f>OR(Table1938[[#This Row],[Document Type]]="journalArticle",Table1938[[#This Row],[Document Type]]="conferencePaper",Table1938[[#This Row],[Document Type]]="review")</f>
        <v>1</v>
      </c>
      <c r="Z218" s="2" t="b" cm="1">
        <f t="array" ref="Z218">SUMPRODUCT(--ISNUMBER(SEARCH({"dimensional analysis","dimensionless coefficients","Π","Pi","theorem","software","design","tools","development","architecture","similar"}, LOWER(Table1938[[#This Row],[Title]]))))&gt;0</f>
        <v>0</v>
      </c>
      <c r="AA218" s="2" t="b" cm="1">
        <f t="array" ref="AA218">SUMPRODUCT(--ISNUMBER(SEARCH({"dimensional analysis","dimensionless coefficients","Π","Pi","theorem","software","design","tools","development","architecture","similar"}, LOWER(Table1938[[#This Row],[Abstract]]))))&gt;0</f>
        <v>1</v>
      </c>
      <c r="AB218" s="2" t="b">
        <f>AND(OR(Table1938[[#This Row],[IC-01 @2024]:[IC-01 @2020]])=TRUE,Table1938[[#This Row],[IC-02]]=TRUE,Table1938[[#This Row],[IC-03]]=TRUE,Table1938[[#This Row],[IC-04]]=TRUE,Table1938[[#This Row],[IC-05]]=TRUE)</f>
        <v>0</v>
      </c>
      <c r="AC218" s="2" t="b">
        <f>AND(Table1938[[#This Row],[Pass-IC]]=TRUE,Table1938[[#This Row],[Pass-EC]]=TRUE)</f>
        <v>0</v>
      </c>
      <c r="AD218" s="2" t="b">
        <f>COUNTIF($D$25:D218, Table1938[[#This Row],[Title]]) = 1</f>
        <v>1</v>
      </c>
      <c r="AE218" s="2" t="b">
        <f>AND(Table1938[[#This Row],[IC + EC]:[Unique]])</f>
        <v>0</v>
      </c>
      <c r="AF218" s="2" t="b">
        <v>0</v>
      </c>
      <c r="AG218" s="2" t="b">
        <v>0</v>
      </c>
      <c r="AH218" s="2" t="b">
        <v>0</v>
      </c>
      <c r="AI218" s="2" t="b">
        <f>IF(AND(Table1938[[#This Row],[Double Check]]=TRUE,Table1938[[#This Row],[Inspected]]=TRUE,Table1938[[#This Row],[Relevant]]=TRUE),TRUE,FALSE)</f>
        <v>0</v>
      </c>
    </row>
    <row r="219" spans="1:35" ht="57.35" x14ac:dyDescent="0.5">
      <c r="A219" s="2">
        <v>218</v>
      </c>
      <c r="B219" s="20" t="s">
        <v>3</v>
      </c>
      <c r="C219" s="20" t="s">
        <v>3044</v>
      </c>
      <c r="D219" s="20" t="s">
        <v>1278</v>
      </c>
      <c r="E219" s="20" t="s">
        <v>1277</v>
      </c>
      <c r="F219" s="2" t="s">
        <v>1280</v>
      </c>
      <c r="G219" s="20" t="s">
        <v>950</v>
      </c>
      <c r="H219" s="36">
        <v>44409</v>
      </c>
      <c r="I219" s="20">
        <v>2021</v>
      </c>
      <c r="J219" s="20" t="s">
        <v>61</v>
      </c>
      <c r="K219" s="20" t="s">
        <v>3045</v>
      </c>
      <c r="L219" s="20" t="s">
        <v>2515</v>
      </c>
      <c r="M219" s="20" t="s">
        <v>1279</v>
      </c>
      <c r="N219" s="20" t="b">
        <v>1</v>
      </c>
      <c r="O219" s="2" t="b">
        <f>IF(Table1938[[#This Row],[Title]]="",TRUE,FALSE)</f>
        <v>0</v>
      </c>
      <c r="P219" s="2" t="b">
        <f>IF(Table1938[[#This Row],[Author]]="",TRUE,FALSE)</f>
        <v>0</v>
      </c>
      <c r="Q219" s="2" t="b">
        <f>IF(Table1938[[#This Row],[DOI]]&lt;&gt;"", FALSE,TRUE)</f>
        <v>0</v>
      </c>
      <c r="R219" s="2" t="b">
        <f>IF(Table1938[[#This Row],[Abstract]]="",TRUE,FALSE)</f>
        <v>0</v>
      </c>
      <c r="S219" s="2" t="b">
        <f>IF(OR(Table1938[[#This Row],[Document Type]]="book",Table1938[[#This Row],[Document Type]]="bookSection"),TRUE,FALSE)</f>
        <v>0</v>
      </c>
      <c r="T219" s="2" t="b">
        <f>NOT(IF(OR(Table1938[[#This Row],[Language]]&lt;&gt;"en",Table1938[[#This Row],[Language]]&lt;&gt;"EN",Table1938[[#This Row],[Language]]&lt;&gt;"spa",Table1938[[#This Row],[Language]]&lt;&gt;"SPA"),TRUE,FALSE))</f>
        <v>0</v>
      </c>
      <c r="U219" s="2" t="b">
        <f>IF(AND(Table1938[[#This Row],[EC-01]]=FALSE,Table1938[[#This Row],[EC-02]]=FALSE,Table1938[[#This Row],[EC-03]]=FALSE,Table1938[[#This Row],[EC-04]]=FALSE,Table1938[[#This Row],[EC-05]]=FALSE,Table1938[[#This Row],[EC-06]]=FALSE),TRUE,FALSE)</f>
        <v>1</v>
      </c>
      <c r="V219" s="2" t="b">
        <f>IF(Table1938[[#This Row],[Date]]&lt;&gt;"",AND(YEAR(Table1938[[#This Row],[Date]])&gt;=2010, YEAR(Table1938[[#This Row],[Date]])&lt;=2024),FALSE)</f>
        <v>1</v>
      </c>
      <c r="W219" s="2" t="b">
        <f>IF(Table1938[[#This Row],[Date]]&lt;&gt;"",AND(YEAR(Table1938[[#This Row],[Date]])&gt;=2010, YEAR(Table1938[[#This Row],[Date]])&lt;=2020),FALSE)</f>
        <v>0</v>
      </c>
      <c r="X219" s="2" t="b">
        <f>IF(AND(Table1938[[#This Row],[Accesible]]=TRUE,Table1938[[#This Row],[DOI]]&lt;&gt;""),TRUE,FALSE)</f>
        <v>1</v>
      </c>
      <c r="Y219" s="2" t="b">
        <f>OR(Table1938[[#This Row],[Document Type]]="journalArticle",Table1938[[#This Row],[Document Type]]="conferencePaper",Table1938[[#This Row],[Document Type]]="review")</f>
        <v>1</v>
      </c>
      <c r="Z219" s="2" t="b" cm="1">
        <f t="array" ref="Z219">SUMPRODUCT(--ISNUMBER(SEARCH({"dimensional analysis","dimensionless coefficients","Π","Pi","theorem","software","design","tools","development","architecture","similar"}, LOWER(Table1938[[#This Row],[Title]]))))&gt;0</f>
        <v>1</v>
      </c>
      <c r="AA219" s="2" t="b" cm="1">
        <f t="array" ref="AA219">SUMPRODUCT(--ISNUMBER(SEARCH({"dimensional analysis","dimensionless coefficients","Π","Pi","theorem","software","design","tools","development","architecture","similar"}, LOWER(Table1938[[#This Row],[Abstract]]))))&gt;0</f>
        <v>1</v>
      </c>
      <c r="AB219" s="2" t="b">
        <f>AND(OR(Table1938[[#This Row],[IC-01 @2024]:[IC-01 @2020]])=TRUE,Table1938[[#This Row],[IC-02]]=TRUE,Table1938[[#This Row],[IC-03]]=TRUE,Table1938[[#This Row],[IC-04]]=TRUE,Table1938[[#This Row],[IC-05]]=TRUE)</f>
        <v>1</v>
      </c>
      <c r="AC219" s="2" t="b">
        <f>AND(Table1938[[#This Row],[Pass-IC]]=TRUE,Table1938[[#This Row],[Pass-EC]]=TRUE)</f>
        <v>1</v>
      </c>
      <c r="AD219" s="2" t="b">
        <f>COUNTIF($D$25:D219, Table1938[[#This Row],[Title]]) = 1</f>
        <v>1</v>
      </c>
      <c r="AE219" s="2" t="b">
        <f>AND(Table1938[[#This Row],[IC + EC]:[Unique]])</f>
        <v>1</v>
      </c>
      <c r="AF219" s="2" t="b">
        <v>1</v>
      </c>
      <c r="AG219" s="2" t="b">
        <v>0</v>
      </c>
      <c r="AH219" s="2" t="b">
        <v>0</v>
      </c>
      <c r="AI219" s="2" t="b">
        <f>IF(AND(Table1938[[#This Row],[Double Check]]=TRUE,Table1938[[#This Row],[Inspected]]=TRUE,Table1938[[#This Row],[Relevant]]=TRUE),TRUE,FALSE)</f>
        <v>0</v>
      </c>
    </row>
    <row r="220" spans="1:35" ht="71.7" x14ac:dyDescent="0.5">
      <c r="A220" s="2">
        <v>219</v>
      </c>
      <c r="B220" s="20" t="s">
        <v>3</v>
      </c>
      <c r="C220" s="20" t="s">
        <v>3046</v>
      </c>
      <c r="D220" s="20" t="s">
        <v>1244</v>
      </c>
      <c r="E220" s="20" t="s">
        <v>1243</v>
      </c>
      <c r="F220" s="2" t="s">
        <v>1247</v>
      </c>
      <c r="G220" s="20" t="s">
        <v>1245</v>
      </c>
      <c r="H220" s="36">
        <v>44713</v>
      </c>
      <c r="I220" s="20">
        <v>2022</v>
      </c>
      <c r="J220" s="20" t="s">
        <v>61</v>
      </c>
      <c r="K220" s="20" t="s">
        <v>3047</v>
      </c>
      <c r="L220" s="20" t="s">
        <v>2515</v>
      </c>
      <c r="M220" s="20" t="s">
        <v>1246</v>
      </c>
      <c r="N220" s="20" t="b">
        <v>1</v>
      </c>
      <c r="O220" s="2" t="b">
        <f>IF(Table1938[[#This Row],[Title]]="",TRUE,FALSE)</f>
        <v>0</v>
      </c>
      <c r="P220" s="2" t="b">
        <f>IF(Table1938[[#This Row],[Author]]="",TRUE,FALSE)</f>
        <v>0</v>
      </c>
      <c r="Q220" s="2" t="b">
        <f>IF(Table1938[[#This Row],[DOI]]&lt;&gt;"", FALSE,TRUE)</f>
        <v>0</v>
      </c>
      <c r="R220" s="2" t="b">
        <f>IF(Table1938[[#This Row],[Abstract]]="",TRUE,FALSE)</f>
        <v>0</v>
      </c>
      <c r="S220" s="2" t="b">
        <f>IF(OR(Table1938[[#This Row],[Document Type]]="book",Table1938[[#This Row],[Document Type]]="bookSection"),TRUE,FALSE)</f>
        <v>0</v>
      </c>
      <c r="T220" s="2" t="b">
        <f>NOT(IF(OR(Table1938[[#This Row],[Language]]&lt;&gt;"en",Table1938[[#This Row],[Language]]&lt;&gt;"EN",Table1938[[#This Row],[Language]]&lt;&gt;"spa",Table1938[[#This Row],[Language]]&lt;&gt;"SPA"),TRUE,FALSE))</f>
        <v>0</v>
      </c>
      <c r="U220" s="2" t="b">
        <f>IF(AND(Table1938[[#This Row],[EC-01]]=FALSE,Table1938[[#This Row],[EC-02]]=FALSE,Table1938[[#This Row],[EC-03]]=FALSE,Table1938[[#This Row],[EC-04]]=FALSE,Table1938[[#This Row],[EC-05]]=FALSE,Table1938[[#This Row],[EC-06]]=FALSE),TRUE,FALSE)</f>
        <v>1</v>
      </c>
      <c r="V220" s="2" t="b">
        <f>IF(Table1938[[#This Row],[Date]]&lt;&gt;"",AND(YEAR(Table1938[[#This Row],[Date]])&gt;=2010, YEAR(Table1938[[#This Row],[Date]])&lt;=2024),FALSE)</f>
        <v>1</v>
      </c>
      <c r="W220" s="2" t="b">
        <f>IF(Table1938[[#This Row],[Date]]&lt;&gt;"",AND(YEAR(Table1938[[#This Row],[Date]])&gt;=2010, YEAR(Table1938[[#This Row],[Date]])&lt;=2020),FALSE)</f>
        <v>0</v>
      </c>
      <c r="X220" s="2" t="b">
        <f>IF(AND(Table1938[[#This Row],[Accesible]]=TRUE,Table1938[[#This Row],[DOI]]&lt;&gt;""),TRUE,FALSE)</f>
        <v>1</v>
      </c>
      <c r="Y220" s="2" t="b">
        <f>OR(Table1938[[#This Row],[Document Type]]="journalArticle",Table1938[[#This Row],[Document Type]]="conferencePaper",Table1938[[#This Row],[Document Type]]="review")</f>
        <v>1</v>
      </c>
      <c r="Z220" s="2" t="b" cm="1">
        <f t="array" ref="Z220">SUMPRODUCT(--ISNUMBER(SEARCH({"dimensional analysis","dimensionless coefficients","Π","Pi","theorem","software","design","tools","development","architecture","similar"}, LOWER(Table1938[[#This Row],[Title]]))))&gt;0</f>
        <v>1</v>
      </c>
      <c r="AA220" s="2" t="b" cm="1">
        <f t="array" ref="AA220">SUMPRODUCT(--ISNUMBER(SEARCH({"dimensional analysis","dimensionless coefficients","Π","Pi","theorem","software","design","tools","development","architecture","similar"}, LOWER(Table1938[[#This Row],[Abstract]]))))&gt;0</f>
        <v>1</v>
      </c>
      <c r="AB220" s="2" t="b">
        <f>AND(OR(Table1938[[#This Row],[IC-01 @2024]:[IC-01 @2020]])=TRUE,Table1938[[#This Row],[IC-02]]=TRUE,Table1938[[#This Row],[IC-03]]=TRUE,Table1938[[#This Row],[IC-04]]=TRUE,Table1938[[#This Row],[IC-05]]=TRUE)</f>
        <v>1</v>
      </c>
      <c r="AC220" s="2" t="b">
        <f>AND(Table1938[[#This Row],[Pass-IC]]=TRUE,Table1938[[#This Row],[Pass-EC]]=TRUE)</f>
        <v>1</v>
      </c>
      <c r="AD220" s="2" t="b">
        <f>COUNTIF($D$25:D220, Table1938[[#This Row],[Title]]) = 1</f>
        <v>1</v>
      </c>
      <c r="AE220" s="2" t="b">
        <f>AND(Table1938[[#This Row],[IC + EC]:[Unique]])</f>
        <v>1</v>
      </c>
      <c r="AF220" s="2" t="b">
        <v>1</v>
      </c>
      <c r="AG220" s="2" t="b">
        <v>0</v>
      </c>
      <c r="AH220" s="2" t="b">
        <v>0</v>
      </c>
      <c r="AI220" s="2" t="b">
        <f>IF(AND(Table1938[[#This Row],[Double Check]]=TRUE,Table1938[[#This Row],[Inspected]]=TRUE,Table1938[[#This Row],[Relevant]]=TRUE),TRUE,FALSE)</f>
        <v>0</v>
      </c>
    </row>
    <row r="221" spans="1:35" ht="86" x14ac:dyDescent="0.5">
      <c r="A221" s="2">
        <v>220</v>
      </c>
      <c r="B221" s="20" t="s">
        <v>3</v>
      </c>
      <c r="C221" s="20" t="s">
        <v>3048</v>
      </c>
      <c r="D221" s="20" t="s">
        <v>1458</v>
      </c>
      <c r="E221" s="20" t="s">
        <v>1457</v>
      </c>
      <c r="F221" s="2" t="s">
        <v>1460</v>
      </c>
      <c r="G221" s="20" t="s">
        <v>938</v>
      </c>
      <c r="H221" s="36">
        <v>42979</v>
      </c>
      <c r="I221" s="20">
        <v>2017</v>
      </c>
      <c r="J221" s="20" t="s">
        <v>61</v>
      </c>
      <c r="K221" s="20" t="s">
        <v>3049</v>
      </c>
      <c r="L221" s="20" t="s">
        <v>2515</v>
      </c>
      <c r="M221" s="20" t="s">
        <v>1459</v>
      </c>
      <c r="N221" s="20" t="b">
        <v>1</v>
      </c>
      <c r="O221" s="2" t="b">
        <f>IF(Table1938[[#This Row],[Title]]="",TRUE,FALSE)</f>
        <v>0</v>
      </c>
      <c r="P221" s="2" t="b">
        <f>IF(Table1938[[#This Row],[Author]]="",TRUE,FALSE)</f>
        <v>0</v>
      </c>
      <c r="Q221" s="2" t="b">
        <f>IF(Table1938[[#This Row],[DOI]]&lt;&gt;"", FALSE,TRUE)</f>
        <v>0</v>
      </c>
      <c r="R221" s="2" t="b">
        <f>IF(Table1938[[#This Row],[Abstract]]="",TRUE,FALSE)</f>
        <v>0</v>
      </c>
      <c r="S221" s="2" t="b">
        <f>IF(OR(Table1938[[#This Row],[Document Type]]="book",Table1938[[#This Row],[Document Type]]="bookSection"),TRUE,FALSE)</f>
        <v>0</v>
      </c>
      <c r="T221" s="2" t="b">
        <f>NOT(IF(OR(Table1938[[#This Row],[Language]]&lt;&gt;"en",Table1938[[#This Row],[Language]]&lt;&gt;"EN",Table1938[[#This Row],[Language]]&lt;&gt;"spa",Table1938[[#This Row],[Language]]&lt;&gt;"SPA"),TRUE,FALSE))</f>
        <v>0</v>
      </c>
      <c r="U221" s="2" t="b">
        <f>IF(AND(Table1938[[#This Row],[EC-01]]=FALSE,Table1938[[#This Row],[EC-02]]=FALSE,Table1938[[#This Row],[EC-03]]=FALSE,Table1938[[#This Row],[EC-04]]=FALSE,Table1938[[#This Row],[EC-05]]=FALSE,Table1938[[#This Row],[EC-06]]=FALSE),TRUE,FALSE)</f>
        <v>1</v>
      </c>
      <c r="V221" s="2" t="b">
        <f>IF(Table1938[[#This Row],[Date]]&lt;&gt;"",AND(YEAR(Table1938[[#This Row],[Date]])&gt;=2010, YEAR(Table1938[[#This Row],[Date]])&lt;=2024),FALSE)</f>
        <v>1</v>
      </c>
      <c r="W221" s="2" t="b">
        <f>IF(Table1938[[#This Row],[Date]]&lt;&gt;"",AND(YEAR(Table1938[[#This Row],[Date]])&gt;=2010, YEAR(Table1938[[#This Row],[Date]])&lt;=2020),FALSE)</f>
        <v>1</v>
      </c>
      <c r="X221" s="2" t="b">
        <f>IF(AND(Table1938[[#This Row],[Accesible]]=TRUE,Table1938[[#This Row],[DOI]]&lt;&gt;""),TRUE,FALSE)</f>
        <v>1</v>
      </c>
      <c r="Y221" s="2" t="b">
        <f>OR(Table1938[[#This Row],[Document Type]]="journalArticle",Table1938[[#This Row],[Document Type]]="conferencePaper",Table1938[[#This Row],[Document Type]]="review")</f>
        <v>1</v>
      </c>
      <c r="Z221" s="2" t="b" cm="1">
        <f t="array" ref="Z221">SUMPRODUCT(--ISNUMBER(SEARCH({"dimensional analysis","dimensionless coefficients","Π","Pi","theorem","software","design","tools","development","architecture","similar"}, LOWER(Table1938[[#This Row],[Title]]))))&gt;0</f>
        <v>1</v>
      </c>
      <c r="AA221" s="2" t="b" cm="1">
        <f t="array" ref="AA221">SUMPRODUCT(--ISNUMBER(SEARCH({"dimensional analysis","dimensionless coefficients","Π","Pi","theorem","software","design","tools","development","architecture","similar"}, LOWER(Table1938[[#This Row],[Abstract]]))))&gt;0</f>
        <v>1</v>
      </c>
      <c r="AB221" s="2" t="b">
        <f>AND(OR(Table1938[[#This Row],[IC-01 @2024]:[IC-01 @2020]])=TRUE,Table1938[[#This Row],[IC-02]]=TRUE,Table1938[[#This Row],[IC-03]]=TRUE,Table1938[[#This Row],[IC-04]]=TRUE,Table1938[[#This Row],[IC-05]]=TRUE)</f>
        <v>1</v>
      </c>
      <c r="AC221" s="2" t="b">
        <f>AND(Table1938[[#This Row],[Pass-IC]]=TRUE,Table1938[[#This Row],[Pass-EC]]=TRUE)</f>
        <v>1</v>
      </c>
      <c r="AD221" s="2" t="b">
        <f>COUNTIF($D$25:D221, Table1938[[#This Row],[Title]]) = 1</f>
        <v>1</v>
      </c>
      <c r="AE221" s="2" t="b">
        <f>AND(Table1938[[#This Row],[IC + EC]:[Unique]])</f>
        <v>1</v>
      </c>
      <c r="AF221" s="2" t="b">
        <v>1</v>
      </c>
      <c r="AG221" s="2" t="b">
        <v>0</v>
      </c>
      <c r="AH221" s="2" t="b">
        <v>0</v>
      </c>
      <c r="AI221" s="2" t="b">
        <f>IF(AND(Table1938[[#This Row],[Double Check]]=TRUE,Table1938[[#This Row],[Inspected]]=TRUE,Table1938[[#This Row],[Relevant]]=TRUE),TRUE,FALSE)</f>
        <v>0</v>
      </c>
    </row>
    <row r="222" spans="1:35" ht="57.35" x14ac:dyDescent="0.5">
      <c r="A222" s="2">
        <v>221</v>
      </c>
      <c r="B222" s="20" t="s">
        <v>3</v>
      </c>
      <c r="C222" s="20" t="s">
        <v>3050</v>
      </c>
      <c r="D222" s="20" t="s">
        <v>1077</v>
      </c>
      <c r="E222" s="20" t="s">
        <v>1076</v>
      </c>
      <c r="F222" s="2" t="s">
        <v>1079</v>
      </c>
      <c r="G222" s="20" t="s">
        <v>937</v>
      </c>
      <c r="H222" s="36">
        <v>45641</v>
      </c>
      <c r="I222" s="20">
        <v>2024</v>
      </c>
      <c r="J222" s="20" t="s">
        <v>61</v>
      </c>
      <c r="K222" s="20" t="s">
        <v>3051</v>
      </c>
      <c r="L222" s="20" t="s">
        <v>2515</v>
      </c>
      <c r="M222" s="20" t="s">
        <v>1078</v>
      </c>
      <c r="N222" s="20" t="b">
        <v>1</v>
      </c>
      <c r="O222" s="2" t="b">
        <f>IF(Table1938[[#This Row],[Title]]="",TRUE,FALSE)</f>
        <v>0</v>
      </c>
      <c r="P222" s="2" t="b">
        <f>IF(Table1938[[#This Row],[Author]]="",TRUE,FALSE)</f>
        <v>0</v>
      </c>
      <c r="Q222" s="2" t="b">
        <f>IF(Table1938[[#This Row],[DOI]]&lt;&gt;"", FALSE,TRUE)</f>
        <v>0</v>
      </c>
      <c r="R222" s="2" t="b">
        <f>IF(Table1938[[#This Row],[Abstract]]="",TRUE,FALSE)</f>
        <v>0</v>
      </c>
      <c r="S222" s="2" t="b">
        <f>IF(OR(Table1938[[#This Row],[Document Type]]="book",Table1938[[#This Row],[Document Type]]="bookSection"),TRUE,FALSE)</f>
        <v>0</v>
      </c>
      <c r="T222" s="2" t="b">
        <f>NOT(IF(OR(Table1938[[#This Row],[Language]]&lt;&gt;"en",Table1938[[#This Row],[Language]]&lt;&gt;"EN",Table1938[[#This Row],[Language]]&lt;&gt;"spa",Table1938[[#This Row],[Language]]&lt;&gt;"SPA"),TRUE,FALSE))</f>
        <v>0</v>
      </c>
      <c r="U222" s="2" t="b">
        <f>IF(AND(Table1938[[#This Row],[EC-01]]=FALSE,Table1938[[#This Row],[EC-02]]=FALSE,Table1938[[#This Row],[EC-03]]=FALSE,Table1938[[#This Row],[EC-04]]=FALSE,Table1938[[#This Row],[EC-05]]=FALSE,Table1938[[#This Row],[EC-06]]=FALSE),TRUE,FALSE)</f>
        <v>1</v>
      </c>
      <c r="V222" s="2" t="b">
        <f>IF(Table1938[[#This Row],[Date]]&lt;&gt;"",AND(YEAR(Table1938[[#This Row],[Date]])&gt;=2010, YEAR(Table1938[[#This Row],[Date]])&lt;=2024),FALSE)</f>
        <v>1</v>
      </c>
      <c r="W222" s="2" t="b">
        <f>IF(Table1938[[#This Row],[Date]]&lt;&gt;"",AND(YEAR(Table1938[[#This Row],[Date]])&gt;=2010, YEAR(Table1938[[#This Row],[Date]])&lt;=2020),FALSE)</f>
        <v>0</v>
      </c>
      <c r="X222" s="2" t="b">
        <f>IF(AND(Table1938[[#This Row],[Accesible]]=TRUE,Table1938[[#This Row],[DOI]]&lt;&gt;""),TRUE,FALSE)</f>
        <v>1</v>
      </c>
      <c r="Y222" s="2" t="b">
        <f>OR(Table1938[[#This Row],[Document Type]]="journalArticle",Table1938[[#This Row],[Document Type]]="conferencePaper",Table1938[[#This Row],[Document Type]]="review")</f>
        <v>1</v>
      </c>
      <c r="Z222" s="2" t="b" cm="1">
        <f t="array" ref="Z222">SUMPRODUCT(--ISNUMBER(SEARCH({"dimensional analysis","dimensionless coefficients","Π","Pi","theorem","software","design","tools","development","architecture","similar"}, LOWER(Table1938[[#This Row],[Title]]))))&gt;0</f>
        <v>1</v>
      </c>
      <c r="AA222" s="2" t="b" cm="1">
        <f t="array" ref="AA222">SUMPRODUCT(--ISNUMBER(SEARCH({"dimensional analysis","dimensionless coefficients","Π","Pi","theorem","software","design","tools","development","architecture","similar"}, LOWER(Table1938[[#This Row],[Abstract]]))))&gt;0</f>
        <v>1</v>
      </c>
      <c r="AB222" s="2" t="b">
        <f>AND(OR(Table1938[[#This Row],[IC-01 @2024]:[IC-01 @2020]])=TRUE,Table1938[[#This Row],[IC-02]]=TRUE,Table1938[[#This Row],[IC-03]]=TRUE,Table1938[[#This Row],[IC-04]]=TRUE,Table1938[[#This Row],[IC-05]]=TRUE)</f>
        <v>1</v>
      </c>
      <c r="AC222" s="2" t="b">
        <f>AND(Table1938[[#This Row],[Pass-IC]]=TRUE,Table1938[[#This Row],[Pass-EC]]=TRUE)</f>
        <v>1</v>
      </c>
      <c r="AD222" s="2" t="b">
        <f>COUNTIF($D$25:D222, Table1938[[#This Row],[Title]]) = 1</f>
        <v>1</v>
      </c>
      <c r="AE222" s="2" t="b">
        <f>AND(Table1938[[#This Row],[IC + EC]:[Unique]])</f>
        <v>1</v>
      </c>
      <c r="AF222" s="2" t="b">
        <v>1</v>
      </c>
      <c r="AG222" s="2" t="b">
        <v>0</v>
      </c>
      <c r="AH222" s="2" t="b">
        <v>0</v>
      </c>
      <c r="AI222" s="2" t="b">
        <f>IF(AND(Table1938[[#This Row],[Double Check]]=TRUE,Table1938[[#This Row],[Inspected]]=TRUE,Table1938[[#This Row],[Relevant]]=TRUE),TRUE,FALSE)</f>
        <v>0</v>
      </c>
    </row>
    <row r="223" spans="1:35" ht="71.7" x14ac:dyDescent="0.5">
      <c r="A223" s="2">
        <v>222</v>
      </c>
      <c r="B223" s="20" t="s">
        <v>3</v>
      </c>
      <c r="C223" s="20" t="s">
        <v>3052</v>
      </c>
      <c r="D223" s="20" t="s">
        <v>2063</v>
      </c>
      <c r="E223" s="20" t="s">
        <v>2062</v>
      </c>
      <c r="F223" s="2" t="s">
        <v>2065</v>
      </c>
      <c r="G223" s="20" t="s">
        <v>942</v>
      </c>
      <c r="H223" s="36">
        <v>45425</v>
      </c>
      <c r="I223" s="20">
        <v>2024</v>
      </c>
      <c r="J223" s="20" t="s">
        <v>61</v>
      </c>
      <c r="K223" s="20" t="s">
        <v>3053</v>
      </c>
      <c r="L223" s="20" t="s">
        <v>2515</v>
      </c>
      <c r="M223" s="20" t="s">
        <v>2064</v>
      </c>
      <c r="N223" s="20" t="b">
        <v>1</v>
      </c>
      <c r="O223" s="2" t="b">
        <f>IF(Table1938[[#This Row],[Title]]="",TRUE,FALSE)</f>
        <v>0</v>
      </c>
      <c r="P223" s="2" t="b">
        <f>IF(Table1938[[#This Row],[Author]]="",TRUE,FALSE)</f>
        <v>0</v>
      </c>
      <c r="Q223" s="2" t="b">
        <f>IF(Table1938[[#This Row],[DOI]]&lt;&gt;"", FALSE,TRUE)</f>
        <v>0</v>
      </c>
      <c r="R223" s="2" t="b">
        <f>IF(Table1938[[#This Row],[Abstract]]="",TRUE,FALSE)</f>
        <v>0</v>
      </c>
      <c r="S223" s="2" t="b">
        <f>IF(OR(Table1938[[#This Row],[Document Type]]="book",Table1938[[#This Row],[Document Type]]="bookSection"),TRUE,FALSE)</f>
        <v>0</v>
      </c>
      <c r="T223" s="2" t="b">
        <f>NOT(IF(OR(Table1938[[#This Row],[Language]]&lt;&gt;"en",Table1938[[#This Row],[Language]]&lt;&gt;"EN",Table1938[[#This Row],[Language]]&lt;&gt;"spa",Table1938[[#This Row],[Language]]&lt;&gt;"SPA"),TRUE,FALSE))</f>
        <v>0</v>
      </c>
      <c r="U223" s="2" t="b">
        <f>IF(AND(Table1938[[#This Row],[EC-01]]=FALSE,Table1938[[#This Row],[EC-02]]=FALSE,Table1938[[#This Row],[EC-03]]=FALSE,Table1938[[#This Row],[EC-04]]=FALSE,Table1938[[#This Row],[EC-05]]=FALSE,Table1938[[#This Row],[EC-06]]=FALSE),TRUE,FALSE)</f>
        <v>1</v>
      </c>
      <c r="V223" s="2" t="b">
        <f>IF(Table1938[[#This Row],[Date]]&lt;&gt;"",AND(YEAR(Table1938[[#This Row],[Date]])&gt;=2010, YEAR(Table1938[[#This Row],[Date]])&lt;=2024),FALSE)</f>
        <v>1</v>
      </c>
      <c r="W223" s="2" t="b">
        <f>IF(Table1938[[#This Row],[Date]]&lt;&gt;"",AND(YEAR(Table1938[[#This Row],[Date]])&gt;=2010, YEAR(Table1938[[#This Row],[Date]])&lt;=2020),FALSE)</f>
        <v>0</v>
      </c>
      <c r="X223" s="2" t="b">
        <f>IF(AND(Table1938[[#This Row],[Accesible]]=TRUE,Table1938[[#This Row],[DOI]]&lt;&gt;""),TRUE,FALSE)</f>
        <v>1</v>
      </c>
      <c r="Y223" s="2" t="b">
        <f>OR(Table1938[[#This Row],[Document Type]]="journalArticle",Table1938[[#This Row],[Document Type]]="conferencePaper",Table1938[[#This Row],[Document Type]]="review")</f>
        <v>1</v>
      </c>
      <c r="Z223" s="2" t="b" cm="1">
        <f t="array" ref="Z223">SUMPRODUCT(--ISNUMBER(SEARCH({"dimensional analysis","dimensionless coefficients","Π","Pi","theorem","software","design","tools","development","architecture","similar"}, LOWER(Table1938[[#This Row],[Title]]))))&gt;0</f>
        <v>1</v>
      </c>
      <c r="AA223" s="2" t="b" cm="1">
        <f t="array" ref="AA223">SUMPRODUCT(--ISNUMBER(SEARCH({"dimensional analysis","dimensionless coefficients","Π","Pi","theorem","software","design","tools","development","architecture","similar"}, LOWER(Table1938[[#This Row],[Abstract]]))))&gt;0</f>
        <v>1</v>
      </c>
      <c r="AB223" s="2" t="b">
        <f>AND(OR(Table1938[[#This Row],[IC-01 @2024]:[IC-01 @2020]])=TRUE,Table1938[[#This Row],[IC-02]]=TRUE,Table1938[[#This Row],[IC-03]]=TRUE,Table1938[[#This Row],[IC-04]]=TRUE,Table1938[[#This Row],[IC-05]]=TRUE)</f>
        <v>1</v>
      </c>
      <c r="AC223" s="2" t="b">
        <f>AND(Table1938[[#This Row],[Pass-IC]]=TRUE,Table1938[[#This Row],[Pass-EC]]=TRUE)</f>
        <v>1</v>
      </c>
      <c r="AD223" s="2" t="b">
        <f>COUNTIF($D$25:D223, Table1938[[#This Row],[Title]]) = 1</f>
        <v>1</v>
      </c>
      <c r="AE223" s="2" t="b">
        <f>AND(Table1938[[#This Row],[IC + EC]:[Unique]])</f>
        <v>1</v>
      </c>
      <c r="AF223" s="2" t="b">
        <v>1</v>
      </c>
      <c r="AG223" s="2" t="b">
        <v>0</v>
      </c>
      <c r="AH223" s="2" t="b">
        <v>0</v>
      </c>
      <c r="AI223" s="2" t="b">
        <f>IF(AND(Table1938[[#This Row],[Double Check]]=TRUE,Table1938[[#This Row],[Inspected]]=TRUE,Table1938[[#This Row],[Relevant]]=TRUE),TRUE,FALSE)</f>
        <v>0</v>
      </c>
    </row>
    <row r="224" spans="1:35" ht="43" x14ac:dyDescent="0.5">
      <c r="A224" s="2">
        <v>223</v>
      </c>
      <c r="B224" s="20" t="s">
        <v>3</v>
      </c>
      <c r="C224" s="20" t="s">
        <v>3054</v>
      </c>
      <c r="D224" s="20" t="s">
        <v>1917</v>
      </c>
      <c r="E224" s="20" t="s">
        <v>1916</v>
      </c>
      <c r="F224" s="2" t="s">
        <v>1919</v>
      </c>
      <c r="G224" s="20" t="s">
        <v>927</v>
      </c>
      <c r="H224" s="36">
        <v>44866</v>
      </c>
      <c r="I224" s="20">
        <v>2022</v>
      </c>
      <c r="J224" s="20" t="s">
        <v>61</v>
      </c>
      <c r="K224" s="20" t="s">
        <v>3055</v>
      </c>
      <c r="L224" s="20" t="s">
        <v>2515</v>
      </c>
      <c r="M224" s="20" t="s">
        <v>1918</v>
      </c>
      <c r="N224" s="20" t="b">
        <v>1</v>
      </c>
      <c r="O224" s="2" t="b">
        <f>IF(Table1938[[#This Row],[Title]]="",TRUE,FALSE)</f>
        <v>0</v>
      </c>
      <c r="P224" s="2" t="b">
        <f>IF(Table1938[[#This Row],[Author]]="",TRUE,FALSE)</f>
        <v>0</v>
      </c>
      <c r="Q224" s="2" t="b">
        <f>IF(Table1938[[#This Row],[DOI]]&lt;&gt;"", FALSE,TRUE)</f>
        <v>0</v>
      </c>
      <c r="R224" s="2" t="b">
        <f>IF(Table1938[[#This Row],[Abstract]]="",TRUE,FALSE)</f>
        <v>0</v>
      </c>
      <c r="S224" s="2" t="b">
        <f>IF(OR(Table1938[[#This Row],[Document Type]]="book",Table1938[[#This Row],[Document Type]]="bookSection"),TRUE,FALSE)</f>
        <v>0</v>
      </c>
      <c r="T224" s="2" t="b">
        <f>NOT(IF(OR(Table1938[[#This Row],[Language]]&lt;&gt;"en",Table1938[[#This Row],[Language]]&lt;&gt;"EN",Table1938[[#This Row],[Language]]&lt;&gt;"spa",Table1938[[#This Row],[Language]]&lt;&gt;"SPA"),TRUE,FALSE))</f>
        <v>0</v>
      </c>
      <c r="U224" s="2" t="b">
        <f>IF(AND(Table1938[[#This Row],[EC-01]]=FALSE,Table1938[[#This Row],[EC-02]]=FALSE,Table1938[[#This Row],[EC-03]]=FALSE,Table1938[[#This Row],[EC-04]]=FALSE,Table1938[[#This Row],[EC-05]]=FALSE,Table1938[[#This Row],[EC-06]]=FALSE),TRUE,FALSE)</f>
        <v>1</v>
      </c>
      <c r="V224" s="2" t="b">
        <f>IF(Table1938[[#This Row],[Date]]&lt;&gt;"",AND(YEAR(Table1938[[#This Row],[Date]])&gt;=2010, YEAR(Table1938[[#This Row],[Date]])&lt;=2024),FALSE)</f>
        <v>1</v>
      </c>
      <c r="W224" s="2" t="b">
        <f>IF(Table1938[[#This Row],[Date]]&lt;&gt;"",AND(YEAR(Table1938[[#This Row],[Date]])&gt;=2010, YEAR(Table1938[[#This Row],[Date]])&lt;=2020),FALSE)</f>
        <v>0</v>
      </c>
      <c r="X224" s="2" t="b">
        <f>IF(AND(Table1938[[#This Row],[Accesible]]=TRUE,Table1938[[#This Row],[DOI]]&lt;&gt;""),TRUE,FALSE)</f>
        <v>1</v>
      </c>
      <c r="Y224" s="2" t="b">
        <f>OR(Table1938[[#This Row],[Document Type]]="journalArticle",Table1938[[#This Row],[Document Type]]="conferencePaper",Table1938[[#This Row],[Document Type]]="review")</f>
        <v>1</v>
      </c>
      <c r="Z224" s="2" t="b" cm="1">
        <f t="array" ref="Z224">SUMPRODUCT(--ISNUMBER(SEARCH({"dimensional analysis","dimensionless coefficients","Π","Pi","theorem","software","design","tools","development","architecture","similar"}, LOWER(Table1938[[#This Row],[Title]]))))&gt;0</f>
        <v>0</v>
      </c>
      <c r="AA224" s="2" t="b" cm="1">
        <f t="array" ref="AA224">SUMPRODUCT(--ISNUMBER(SEARCH({"dimensional analysis","dimensionless coefficients","Π","Pi","theorem","software","design","tools","development","architecture","similar"}, LOWER(Table1938[[#This Row],[Abstract]]))))&gt;0</f>
        <v>0</v>
      </c>
      <c r="AB224" s="2" t="b">
        <f>AND(OR(Table1938[[#This Row],[IC-01 @2024]:[IC-01 @2020]])=TRUE,Table1938[[#This Row],[IC-02]]=TRUE,Table1938[[#This Row],[IC-03]]=TRUE,Table1938[[#This Row],[IC-04]]=TRUE,Table1938[[#This Row],[IC-05]]=TRUE)</f>
        <v>0</v>
      </c>
      <c r="AC224" s="2" t="b">
        <f>AND(Table1938[[#This Row],[Pass-IC]]=TRUE,Table1938[[#This Row],[Pass-EC]]=TRUE)</f>
        <v>0</v>
      </c>
      <c r="AD224" s="2" t="b">
        <f>COUNTIF($D$25:D224, Table1938[[#This Row],[Title]]) = 1</f>
        <v>1</v>
      </c>
      <c r="AE224" s="2" t="b">
        <f>AND(Table1938[[#This Row],[IC + EC]:[Unique]])</f>
        <v>0</v>
      </c>
      <c r="AF224" s="2" t="b">
        <v>0</v>
      </c>
      <c r="AG224" s="2" t="b">
        <v>0</v>
      </c>
      <c r="AH224" s="2" t="b">
        <v>0</v>
      </c>
      <c r="AI224" s="2" t="b">
        <f>IF(AND(Table1938[[#This Row],[Double Check]]=TRUE,Table1938[[#This Row],[Inspected]]=TRUE,Table1938[[#This Row],[Relevant]]=TRUE),TRUE,FALSE)</f>
        <v>0</v>
      </c>
    </row>
    <row r="225" spans="1:35" ht="57.35" x14ac:dyDescent="0.5">
      <c r="A225" s="2">
        <v>224</v>
      </c>
      <c r="B225" s="20" t="s">
        <v>3</v>
      </c>
      <c r="C225" s="20" t="s">
        <v>3056</v>
      </c>
      <c r="D225" s="20" t="s">
        <v>2004</v>
      </c>
      <c r="E225" s="20" t="s">
        <v>2003</v>
      </c>
      <c r="F225" s="2" t="s">
        <v>2006</v>
      </c>
      <c r="G225" s="20" t="s">
        <v>939</v>
      </c>
      <c r="H225" s="36">
        <v>44423</v>
      </c>
      <c r="I225" s="20">
        <v>2021</v>
      </c>
      <c r="J225" s="20" t="s">
        <v>61</v>
      </c>
      <c r="K225" s="20" t="s">
        <v>3057</v>
      </c>
      <c r="L225" s="20" t="s">
        <v>2515</v>
      </c>
      <c r="M225" s="20" t="s">
        <v>2005</v>
      </c>
      <c r="N225" s="20" t="b">
        <v>1</v>
      </c>
      <c r="O225" s="2" t="b">
        <f>IF(Table1938[[#This Row],[Title]]="",TRUE,FALSE)</f>
        <v>0</v>
      </c>
      <c r="P225" s="2" t="b">
        <f>IF(Table1938[[#This Row],[Author]]="",TRUE,FALSE)</f>
        <v>0</v>
      </c>
      <c r="Q225" s="2" t="b">
        <f>IF(Table1938[[#This Row],[DOI]]&lt;&gt;"", FALSE,TRUE)</f>
        <v>0</v>
      </c>
      <c r="R225" s="2" t="b">
        <f>IF(Table1938[[#This Row],[Abstract]]="",TRUE,FALSE)</f>
        <v>0</v>
      </c>
      <c r="S225" s="2" t="b">
        <f>IF(OR(Table1938[[#This Row],[Document Type]]="book",Table1938[[#This Row],[Document Type]]="bookSection"),TRUE,FALSE)</f>
        <v>0</v>
      </c>
      <c r="T225" s="2" t="b">
        <f>NOT(IF(OR(Table1938[[#This Row],[Language]]&lt;&gt;"en",Table1938[[#This Row],[Language]]&lt;&gt;"EN",Table1938[[#This Row],[Language]]&lt;&gt;"spa",Table1938[[#This Row],[Language]]&lt;&gt;"SPA"),TRUE,FALSE))</f>
        <v>0</v>
      </c>
      <c r="U225" s="2" t="b">
        <f>IF(AND(Table1938[[#This Row],[EC-01]]=FALSE,Table1938[[#This Row],[EC-02]]=FALSE,Table1938[[#This Row],[EC-03]]=FALSE,Table1938[[#This Row],[EC-04]]=FALSE,Table1938[[#This Row],[EC-05]]=FALSE,Table1938[[#This Row],[EC-06]]=FALSE),TRUE,FALSE)</f>
        <v>1</v>
      </c>
      <c r="V225" s="2" t="b">
        <f>IF(Table1938[[#This Row],[Date]]&lt;&gt;"",AND(YEAR(Table1938[[#This Row],[Date]])&gt;=2010, YEAR(Table1938[[#This Row],[Date]])&lt;=2024),FALSE)</f>
        <v>1</v>
      </c>
      <c r="W225" s="2" t="b">
        <f>IF(Table1938[[#This Row],[Date]]&lt;&gt;"",AND(YEAR(Table1938[[#This Row],[Date]])&gt;=2010, YEAR(Table1938[[#This Row],[Date]])&lt;=2020),FALSE)</f>
        <v>0</v>
      </c>
      <c r="X225" s="2" t="b">
        <f>IF(AND(Table1938[[#This Row],[Accesible]]=TRUE,Table1938[[#This Row],[DOI]]&lt;&gt;""),TRUE,FALSE)</f>
        <v>1</v>
      </c>
      <c r="Y225" s="2" t="b">
        <f>OR(Table1938[[#This Row],[Document Type]]="journalArticle",Table1938[[#This Row],[Document Type]]="conferencePaper",Table1938[[#This Row],[Document Type]]="review")</f>
        <v>1</v>
      </c>
      <c r="Z225" s="2" t="b" cm="1">
        <f t="array" ref="Z225">SUMPRODUCT(--ISNUMBER(SEARCH({"dimensional analysis","dimensionless coefficients","Π","Pi","theorem","software","design","tools","development","architecture","similar"}, LOWER(Table1938[[#This Row],[Title]]))))&gt;0</f>
        <v>0</v>
      </c>
      <c r="AA225" s="2" t="b" cm="1">
        <f t="array" ref="AA225">SUMPRODUCT(--ISNUMBER(SEARCH({"dimensional analysis","dimensionless coefficients","Π","Pi","theorem","software","design","tools","development","architecture","similar"}, LOWER(Table1938[[#This Row],[Abstract]]))))&gt;0</f>
        <v>1</v>
      </c>
      <c r="AB225" s="2" t="b">
        <f>AND(OR(Table1938[[#This Row],[IC-01 @2024]:[IC-01 @2020]])=TRUE,Table1938[[#This Row],[IC-02]]=TRUE,Table1938[[#This Row],[IC-03]]=TRUE,Table1938[[#This Row],[IC-04]]=TRUE,Table1938[[#This Row],[IC-05]]=TRUE)</f>
        <v>0</v>
      </c>
      <c r="AC225" s="2" t="b">
        <f>AND(Table1938[[#This Row],[Pass-IC]]=TRUE,Table1938[[#This Row],[Pass-EC]]=TRUE)</f>
        <v>0</v>
      </c>
      <c r="AD225" s="2" t="b">
        <f>COUNTIF($D$25:D225, Table1938[[#This Row],[Title]]) = 1</f>
        <v>1</v>
      </c>
      <c r="AE225" s="2" t="b">
        <f>AND(Table1938[[#This Row],[IC + EC]:[Unique]])</f>
        <v>0</v>
      </c>
      <c r="AF225" s="2" t="b">
        <v>0</v>
      </c>
      <c r="AG225" s="2" t="b">
        <v>0</v>
      </c>
      <c r="AH225" s="2" t="b">
        <v>0</v>
      </c>
      <c r="AI225" s="2" t="b">
        <f>IF(AND(Table1938[[#This Row],[Double Check]]=TRUE,Table1938[[#This Row],[Inspected]]=TRUE,Table1938[[#This Row],[Relevant]]=TRUE),TRUE,FALSE)</f>
        <v>0</v>
      </c>
    </row>
    <row r="226" spans="1:35" ht="57.35" x14ac:dyDescent="0.5">
      <c r="A226" s="2">
        <v>225</v>
      </c>
      <c r="B226" s="20" t="s">
        <v>3</v>
      </c>
      <c r="C226" s="20" t="s">
        <v>3058</v>
      </c>
      <c r="D226" s="20" t="s">
        <v>1195</v>
      </c>
      <c r="E226" s="20" t="s">
        <v>1194</v>
      </c>
      <c r="F226" s="2" t="s">
        <v>1197</v>
      </c>
      <c r="G226" s="20" t="s">
        <v>951</v>
      </c>
      <c r="H226" s="36">
        <v>45458</v>
      </c>
      <c r="I226" s="20">
        <v>2024</v>
      </c>
      <c r="J226" s="20" t="s">
        <v>61</v>
      </c>
      <c r="K226" s="20" t="s">
        <v>3059</v>
      </c>
      <c r="L226" s="20" t="s">
        <v>2515</v>
      </c>
      <c r="M226" s="20" t="s">
        <v>1196</v>
      </c>
      <c r="N226" s="20" t="b">
        <v>1</v>
      </c>
      <c r="O226" s="2" t="b">
        <f>IF(Table1938[[#This Row],[Title]]="",TRUE,FALSE)</f>
        <v>0</v>
      </c>
      <c r="P226" s="2" t="b">
        <f>IF(Table1938[[#This Row],[Author]]="",TRUE,FALSE)</f>
        <v>0</v>
      </c>
      <c r="Q226" s="2" t="b">
        <f>IF(Table1938[[#This Row],[DOI]]&lt;&gt;"", FALSE,TRUE)</f>
        <v>0</v>
      </c>
      <c r="R226" s="2" t="b">
        <f>IF(Table1938[[#This Row],[Abstract]]="",TRUE,FALSE)</f>
        <v>0</v>
      </c>
      <c r="S226" s="2" t="b">
        <f>IF(OR(Table1938[[#This Row],[Document Type]]="book",Table1938[[#This Row],[Document Type]]="bookSection"),TRUE,FALSE)</f>
        <v>0</v>
      </c>
      <c r="T226" s="2" t="b">
        <f>NOT(IF(OR(Table1938[[#This Row],[Language]]&lt;&gt;"en",Table1938[[#This Row],[Language]]&lt;&gt;"EN",Table1938[[#This Row],[Language]]&lt;&gt;"spa",Table1938[[#This Row],[Language]]&lt;&gt;"SPA"),TRUE,FALSE))</f>
        <v>0</v>
      </c>
      <c r="U226" s="2" t="b">
        <f>IF(AND(Table1938[[#This Row],[EC-01]]=FALSE,Table1938[[#This Row],[EC-02]]=FALSE,Table1938[[#This Row],[EC-03]]=FALSE,Table1938[[#This Row],[EC-04]]=FALSE,Table1938[[#This Row],[EC-05]]=FALSE,Table1938[[#This Row],[EC-06]]=FALSE),TRUE,FALSE)</f>
        <v>1</v>
      </c>
      <c r="V226" s="2" t="b">
        <f>IF(Table1938[[#This Row],[Date]]&lt;&gt;"",AND(YEAR(Table1938[[#This Row],[Date]])&gt;=2010, YEAR(Table1938[[#This Row],[Date]])&lt;=2024),FALSE)</f>
        <v>1</v>
      </c>
      <c r="W226" s="2" t="b">
        <f>IF(Table1938[[#This Row],[Date]]&lt;&gt;"",AND(YEAR(Table1938[[#This Row],[Date]])&gt;=2010, YEAR(Table1938[[#This Row],[Date]])&lt;=2020),FALSE)</f>
        <v>0</v>
      </c>
      <c r="X226" s="2" t="b">
        <f>IF(AND(Table1938[[#This Row],[Accesible]]=TRUE,Table1938[[#This Row],[DOI]]&lt;&gt;""),TRUE,FALSE)</f>
        <v>1</v>
      </c>
      <c r="Y226" s="2" t="b">
        <f>OR(Table1938[[#This Row],[Document Type]]="journalArticle",Table1938[[#This Row],[Document Type]]="conferencePaper",Table1938[[#This Row],[Document Type]]="review")</f>
        <v>1</v>
      </c>
      <c r="Z226" s="2" t="b" cm="1">
        <f t="array" ref="Z226">SUMPRODUCT(--ISNUMBER(SEARCH({"dimensional analysis","dimensionless coefficients","Π","Pi","theorem","software","design","tools","development","architecture","similar"}, LOWER(Table1938[[#This Row],[Title]]))))&gt;0</f>
        <v>1</v>
      </c>
      <c r="AA226" s="2" t="b" cm="1">
        <f t="array" ref="AA226">SUMPRODUCT(--ISNUMBER(SEARCH({"dimensional analysis","dimensionless coefficients","Π","Pi","theorem","software","design","tools","development","architecture","similar"}, LOWER(Table1938[[#This Row],[Abstract]]))))&gt;0</f>
        <v>1</v>
      </c>
      <c r="AB226" s="2" t="b">
        <f>AND(OR(Table1938[[#This Row],[IC-01 @2024]:[IC-01 @2020]])=TRUE,Table1938[[#This Row],[IC-02]]=TRUE,Table1938[[#This Row],[IC-03]]=TRUE,Table1938[[#This Row],[IC-04]]=TRUE,Table1938[[#This Row],[IC-05]]=TRUE)</f>
        <v>1</v>
      </c>
      <c r="AC226" s="2" t="b">
        <f>AND(Table1938[[#This Row],[Pass-IC]]=TRUE,Table1938[[#This Row],[Pass-EC]]=TRUE)</f>
        <v>1</v>
      </c>
      <c r="AD226" s="2" t="b">
        <f>COUNTIF($D$25:D226, Table1938[[#This Row],[Title]]) = 1</f>
        <v>1</v>
      </c>
      <c r="AE226" s="2" t="b">
        <f>AND(Table1938[[#This Row],[IC + EC]:[Unique]])</f>
        <v>1</v>
      </c>
      <c r="AF226" s="2" t="b">
        <v>1</v>
      </c>
      <c r="AG226" s="2" t="b">
        <v>0</v>
      </c>
      <c r="AH226" s="2" t="b">
        <v>0</v>
      </c>
      <c r="AI226" s="2" t="b">
        <f>IF(AND(Table1938[[#This Row],[Double Check]]=TRUE,Table1938[[#This Row],[Inspected]]=TRUE,Table1938[[#This Row],[Relevant]]=TRUE),TRUE,FALSE)</f>
        <v>0</v>
      </c>
    </row>
    <row r="227" spans="1:35" ht="71.7" x14ac:dyDescent="0.5">
      <c r="A227" s="2">
        <v>226</v>
      </c>
      <c r="B227" s="20" t="s">
        <v>3</v>
      </c>
      <c r="C227" s="20" t="s">
        <v>3060</v>
      </c>
      <c r="D227" s="20" t="s">
        <v>304</v>
      </c>
      <c r="E227" s="20" t="s">
        <v>329</v>
      </c>
      <c r="F227" s="2" t="s">
        <v>354</v>
      </c>
      <c r="G227" s="20" t="s">
        <v>1014</v>
      </c>
      <c r="H227" s="36">
        <v>43040</v>
      </c>
      <c r="I227" s="20">
        <v>2017</v>
      </c>
      <c r="J227" s="20" t="s">
        <v>61</v>
      </c>
      <c r="K227" s="20" t="s">
        <v>3061</v>
      </c>
      <c r="L227" s="20" t="s">
        <v>2515</v>
      </c>
      <c r="M227" s="20" t="s">
        <v>379</v>
      </c>
      <c r="N227" s="20" t="b">
        <v>1</v>
      </c>
      <c r="O227" s="2" t="b">
        <f>IF(Table1938[[#This Row],[Title]]="",TRUE,FALSE)</f>
        <v>0</v>
      </c>
      <c r="P227" s="2" t="b">
        <f>IF(Table1938[[#This Row],[Author]]="",TRUE,FALSE)</f>
        <v>0</v>
      </c>
      <c r="Q227" s="2" t="b">
        <f>IF(Table1938[[#This Row],[DOI]]&lt;&gt;"", FALSE,TRUE)</f>
        <v>0</v>
      </c>
      <c r="R227" s="2" t="b">
        <f>IF(Table1938[[#This Row],[Abstract]]="",TRUE,FALSE)</f>
        <v>0</v>
      </c>
      <c r="S227" s="2" t="b">
        <f>IF(OR(Table1938[[#This Row],[Document Type]]="book",Table1938[[#This Row],[Document Type]]="bookSection"),TRUE,FALSE)</f>
        <v>0</v>
      </c>
      <c r="T227" s="2" t="b">
        <f>NOT(IF(OR(Table1938[[#This Row],[Language]]&lt;&gt;"en",Table1938[[#This Row],[Language]]&lt;&gt;"EN",Table1938[[#This Row],[Language]]&lt;&gt;"spa",Table1938[[#This Row],[Language]]&lt;&gt;"SPA"),TRUE,FALSE))</f>
        <v>0</v>
      </c>
      <c r="U227" s="2" t="b">
        <f>IF(AND(Table1938[[#This Row],[EC-01]]=FALSE,Table1938[[#This Row],[EC-02]]=FALSE,Table1938[[#This Row],[EC-03]]=FALSE,Table1938[[#This Row],[EC-04]]=FALSE,Table1938[[#This Row],[EC-05]]=FALSE,Table1938[[#This Row],[EC-06]]=FALSE),TRUE,FALSE)</f>
        <v>1</v>
      </c>
      <c r="V227" s="2" t="b">
        <f>IF(Table1938[[#This Row],[Date]]&lt;&gt;"",AND(YEAR(Table1938[[#This Row],[Date]])&gt;=2010, YEAR(Table1938[[#This Row],[Date]])&lt;=2024),FALSE)</f>
        <v>1</v>
      </c>
      <c r="W227" s="2" t="b">
        <f>IF(Table1938[[#This Row],[Date]]&lt;&gt;"",AND(YEAR(Table1938[[#This Row],[Date]])&gt;=2010, YEAR(Table1938[[#This Row],[Date]])&lt;=2020),FALSE)</f>
        <v>1</v>
      </c>
      <c r="X227" s="2" t="b">
        <f>IF(AND(Table1938[[#This Row],[Accesible]]=TRUE,Table1938[[#This Row],[DOI]]&lt;&gt;""),TRUE,FALSE)</f>
        <v>1</v>
      </c>
      <c r="Y227" s="2" t="b">
        <f>OR(Table1938[[#This Row],[Document Type]]="journalArticle",Table1938[[#This Row],[Document Type]]="conferencePaper",Table1938[[#This Row],[Document Type]]="review")</f>
        <v>1</v>
      </c>
      <c r="Z227" s="2" t="b" cm="1">
        <f t="array" ref="Z227">SUMPRODUCT(--ISNUMBER(SEARCH({"dimensional analysis","dimensionless coefficients","Π","Pi","theorem","software","design","tools","development","architecture","similar"}, LOWER(Table1938[[#This Row],[Title]]))))&gt;0</f>
        <v>0</v>
      </c>
      <c r="AA227" s="2" t="b" cm="1">
        <f t="array" ref="AA227">SUMPRODUCT(--ISNUMBER(SEARCH({"dimensional analysis","dimensionless coefficients","Π","Pi","theorem","software","design","tools","development","architecture","similar"}, LOWER(Table1938[[#This Row],[Abstract]]))))&gt;0</f>
        <v>0</v>
      </c>
      <c r="AB227" s="2" t="b">
        <f>AND(OR(Table1938[[#This Row],[IC-01 @2024]:[IC-01 @2020]])=TRUE,Table1938[[#This Row],[IC-02]]=TRUE,Table1938[[#This Row],[IC-03]]=TRUE,Table1938[[#This Row],[IC-04]]=TRUE,Table1938[[#This Row],[IC-05]]=TRUE)</f>
        <v>0</v>
      </c>
      <c r="AC227" s="2" t="b">
        <f>AND(Table1938[[#This Row],[Pass-IC]]=TRUE,Table1938[[#This Row],[Pass-EC]]=TRUE)</f>
        <v>0</v>
      </c>
      <c r="AD227" s="2" t="b">
        <f>COUNTIF($D$25:D227, Table1938[[#This Row],[Title]]) = 1</f>
        <v>1</v>
      </c>
      <c r="AE227" s="2" t="b">
        <f>AND(Table1938[[#This Row],[IC + EC]:[Unique]])</f>
        <v>0</v>
      </c>
      <c r="AF227" s="2" t="b">
        <v>0</v>
      </c>
      <c r="AG227" s="2" t="b">
        <v>0</v>
      </c>
      <c r="AH227" s="2" t="b">
        <v>0</v>
      </c>
      <c r="AI227" s="2" t="b">
        <f>IF(AND(Table1938[[#This Row],[Double Check]]=TRUE,Table1938[[#This Row],[Inspected]]=TRUE,Table1938[[#This Row],[Relevant]]=TRUE),TRUE,FALSE)</f>
        <v>0</v>
      </c>
    </row>
    <row r="228" spans="1:35" ht="57.35" x14ac:dyDescent="0.5">
      <c r="A228" s="2">
        <v>227</v>
      </c>
      <c r="B228" s="20" t="s">
        <v>3</v>
      </c>
      <c r="C228" s="20" t="s">
        <v>3062</v>
      </c>
      <c r="D228" s="20" t="s">
        <v>1051</v>
      </c>
      <c r="E228" s="20" t="s">
        <v>1050</v>
      </c>
      <c r="F228" s="2" t="s">
        <v>1054</v>
      </c>
      <c r="G228" s="20" t="s">
        <v>1052</v>
      </c>
      <c r="H228" s="36">
        <v>44896</v>
      </c>
      <c r="I228" s="20">
        <v>2022</v>
      </c>
      <c r="J228" s="20" t="s">
        <v>61</v>
      </c>
      <c r="K228" s="20" t="s">
        <v>3063</v>
      </c>
      <c r="L228" s="20" t="s">
        <v>2515</v>
      </c>
      <c r="M228" s="20" t="s">
        <v>1053</v>
      </c>
      <c r="N228" s="20" t="b">
        <v>1</v>
      </c>
      <c r="O228" s="2" t="b">
        <f>IF(Table1938[[#This Row],[Title]]="",TRUE,FALSE)</f>
        <v>0</v>
      </c>
      <c r="P228" s="2" t="b">
        <f>IF(Table1938[[#This Row],[Author]]="",TRUE,FALSE)</f>
        <v>0</v>
      </c>
      <c r="Q228" s="2" t="b">
        <f>IF(Table1938[[#This Row],[DOI]]&lt;&gt;"", FALSE,TRUE)</f>
        <v>0</v>
      </c>
      <c r="R228" s="2" t="b">
        <f>IF(Table1938[[#This Row],[Abstract]]="",TRUE,FALSE)</f>
        <v>0</v>
      </c>
      <c r="S228" s="2" t="b">
        <f>IF(OR(Table1938[[#This Row],[Document Type]]="book",Table1938[[#This Row],[Document Type]]="bookSection"),TRUE,FALSE)</f>
        <v>0</v>
      </c>
      <c r="T228" s="2" t="b">
        <f>NOT(IF(OR(Table1938[[#This Row],[Language]]&lt;&gt;"en",Table1938[[#This Row],[Language]]&lt;&gt;"EN",Table1938[[#This Row],[Language]]&lt;&gt;"spa",Table1938[[#This Row],[Language]]&lt;&gt;"SPA"),TRUE,FALSE))</f>
        <v>0</v>
      </c>
      <c r="U228" s="2" t="b">
        <f>IF(AND(Table1938[[#This Row],[EC-01]]=FALSE,Table1938[[#This Row],[EC-02]]=FALSE,Table1938[[#This Row],[EC-03]]=FALSE,Table1938[[#This Row],[EC-04]]=FALSE,Table1938[[#This Row],[EC-05]]=FALSE,Table1938[[#This Row],[EC-06]]=FALSE),TRUE,FALSE)</f>
        <v>1</v>
      </c>
      <c r="V228" s="2" t="b">
        <f>IF(Table1938[[#This Row],[Date]]&lt;&gt;"",AND(YEAR(Table1938[[#This Row],[Date]])&gt;=2010, YEAR(Table1938[[#This Row],[Date]])&lt;=2024),FALSE)</f>
        <v>1</v>
      </c>
      <c r="W228" s="2" t="b">
        <f>IF(Table1938[[#This Row],[Date]]&lt;&gt;"",AND(YEAR(Table1938[[#This Row],[Date]])&gt;=2010, YEAR(Table1938[[#This Row],[Date]])&lt;=2020),FALSE)</f>
        <v>0</v>
      </c>
      <c r="X228" s="2" t="b">
        <f>IF(AND(Table1938[[#This Row],[Accesible]]=TRUE,Table1938[[#This Row],[DOI]]&lt;&gt;""),TRUE,FALSE)</f>
        <v>1</v>
      </c>
      <c r="Y228" s="2" t="b">
        <f>OR(Table1938[[#This Row],[Document Type]]="journalArticle",Table1938[[#This Row],[Document Type]]="conferencePaper",Table1938[[#This Row],[Document Type]]="review")</f>
        <v>1</v>
      </c>
      <c r="Z228" s="2" t="b" cm="1">
        <f t="array" ref="Z228">SUMPRODUCT(--ISNUMBER(SEARCH({"dimensional analysis","dimensionless coefficients","Π","Pi","theorem","software","design","tools","development","architecture","similar"}, LOWER(Table1938[[#This Row],[Title]]))))&gt;0</f>
        <v>1</v>
      </c>
      <c r="AA228" s="2" t="b" cm="1">
        <f t="array" ref="AA228">SUMPRODUCT(--ISNUMBER(SEARCH({"dimensional analysis","dimensionless coefficients","Π","Pi","theorem","software","design","tools","development","architecture","similar"}, LOWER(Table1938[[#This Row],[Abstract]]))))&gt;0</f>
        <v>1</v>
      </c>
      <c r="AB228" s="2" t="b">
        <f>AND(OR(Table1938[[#This Row],[IC-01 @2024]:[IC-01 @2020]])=TRUE,Table1938[[#This Row],[IC-02]]=TRUE,Table1938[[#This Row],[IC-03]]=TRUE,Table1938[[#This Row],[IC-04]]=TRUE,Table1938[[#This Row],[IC-05]]=TRUE)</f>
        <v>1</v>
      </c>
      <c r="AC228" s="2" t="b">
        <f>AND(Table1938[[#This Row],[Pass-IC]]=TRUE,Table1938[[#This Row],[Pass-EC]]=TRUE)</f>
        <v>1</v>
      </c>
      <c r="AD228" s="2" t="b">
        <f>COUNTIF($D$25:D228, Table1938[[#This Row],[Title]]) = 1</f>
        <v>1</v>
      </c>
      <c r="AE228" s="2" t="b">
        <f>AND(Table1938[[#This Row],[IC + EC]:[Unique]])</f>
        <v>1</v>
      </c>
      <c r="AF228" s="2" t="b">
        <v>1</v>
      </c>
      <c r="AG228" s="2" t="b">
        <v>0</v>
      </c>
      <c r="AH228" s="2" t="b">
        <v>0</v>
      </c>
      <c r="AI228" s="2" t="b">
        <f>IF(AND(Table1938[[#This Row],[Double Check]]=TRUE,Table1938[[#This Row],[Inspected]]=TRUE,Table1938[[#This Row],[Relevant]]=TRUE),TRUE,FALSE)</f>
        <v>0</v>
      </c>
    </row>
    <row r="229" spans="1:35" ht="28.7" x14ac:dyDescent="0.5">
      <c r="A229" s="2">
        <v>228</v>
      </c>
      <c r="B229" s="20" t="s">
        <v>3</v>
      </c>
      <c r="C229" s="20" t="s">
        <v>3064</v>
      </c>
      <c r="D229" s="20" t="s">
        <v>1861</v>
      </c>
      <c r="E229" s="20" t="s">
        <v>1860</v>
      </c>
      <c r="F229" s="2" t="s">
        <v>1863</v>
      </c>
      <c r="G229" s="20" t="s">
        <v>996</v>
      </c>
      <c r="H229" s="36">
        <v>45383</v>
      </c>
      <c r="I229" s="20">
        <v>2024</v>
      </c>
      <c r="J229" s="20" t="s">
        <v>61</v>
      </c>
      <c r="K229" s="20" t="s">
        <v>3065</v>
      </c>
      <c r="L229" s="20" t="s">
        <v>2515</v>
      </c>
      <c r="M229" s="20" t="s">
        <v>1862</v>
      </c>
      <c r="N229" s="20" t="b">
        <v>1</v>
      </c>
      <c r="O229" s="2" t="b">
        <f>IF(Table1938[[#This Row],[Title]]="",TRUE,FALSE)</f>
        <v>0</v>
      </c>
      <c r="P229" s="2" t="b">
        <f>IF(Table1938[[#This Row],[Author]]="",TRUE,FALSE)</f>
        <v>0</v>
      </c>
      <c r="Q229" s="2" t="b">
        <f>IF(Table1938[[#This Row],[DOI]]&lt;&gt;"", FALSE,TRUE)</f>
        <v>0</v>
      </c>
      <c r="R229" s="2" t="b">
        <f>IF(Table1938[[#This Row],[Abstract]]="",TRUE,FALSE)</f>
        <v>0</v>
      </c>
      <c r="S229" s="2" t="b">
        <f>IF(OR(Table1938[[#This Row],[Document Type]]="book",Table1938[[#This Row],[Document Type]]="bookSection"),TRUE,FALSE)</f>
        <v>0</v>
      </c>
      <c r="T229" s="2" t="b">
        <f>NOT(IF(OR(Table1938[[#This Row],[Language]]&lt;&gt;"en",Table1938[[#This Row],[Language]]&lt;&gt;"EN",Table1938[[#This Row],[Language]]&lt;&gt;"spa",Table1938[[#This Row],[Language]]&lt;&gt;"SPA"),TRUE,FALSE))</f>
        <v>0</v>
      </c>
      <c r="U229" s="2" t="b">
        <f>IF(AND(Table1938[[#This Row],[EC-01]]=FALSE,Table1938[[#This Row],[EC-02]]=FALSE,Table1938[[#This Row],[EC-03]]=FALSE,Table1938[[#This Row],[EC-04]]=FALSE,Table1938[[#This Row],[EC-05]]=FALSE,Table1938[[#This Row],[EC-06]]=FALSE),TRUE,FALSE)</f>
        <v>1</v>
      </c>
      <c r="V229" s="2" t="b">
        <f>IF(Table1938[[#This Row],[Date]]&lt;&gt;"",AND(YEAR(Table1938[[#This Row],[Date]])&gt;=2010, YEAR(Table1938[[#This Row],[Date]])&lt;=2024),FALSE)</f>
        <v>1</v>
      </c>
      <c r="W229" s="2" t="b">
        <f>IF(Table1938[[#This Row],[Date]]&lt;&gt;"",AND(YEAR(Table1938[[#This Row],[Date]])&gt;=2010, YEAR(Table1938[[#This Row],[Date]])&lt;=2020),FALSE)</f>
        <v>0</v>
      </c>
      <c r="X229" s="2" t="b">
        <f>IF(AND(Table1938[[#This Row],[Accesible]]=TRUE,Table1938[[#This Row],[DOI]]&lt;&gt;""),TRUE,FALSE)</f>
        <v>1</v>
      </c>
      <c r="Y229" s="2" t="b">
        <f>OR(Table1938[[#This Row],[Document Type]]="journalArticle",Table1938[[#This Row],[Document Type]]="conferencePaper",Table1938[[#This Row],[Document Type]]="review")</f>
        <v>1</v>
      </c>
      <c r="Z229" s="2" t="b" cm="1">
        <f t="array" ref="Z229">SUMPRODUCT(--ISNUMBER(SEARCH({"dimensional analysis","dimensionless coefficients","Π","Pi","theorem","software","design","tools","development","architecture","similar"}, LOWER(Table1938[[#This Row],[Title]]))))&gt;0</f>
        <v>0</v>
      </c>
      <c r="AA229" s="2" t="b" cm="1">
        <f t="array" ref="AA229">SUMPRODUCT(--ISNUMBER(SEARCH({"dimensional analysis","dimensionless coefficients","Π","Pi","theorem","software","design","tools","development","architecture","similar"}, LOWER(Table1938[[#This Row],[Abstract]]))))&gt;0</f>
        <v>0</v>
      </c>
      <c r="AB229" s="2" t="b">
        <f>AND(OR(Table1938[[#This Row],[IC-01 @2024]:[IC-01 @2020]])=TRUE,Table1938[[#This Row],[IC-02]]=TRUE,Table1938[[#This Row],[IC-03]]=TRUE,Table1938[[#This Row],[IC-04]]=TRUE,Table1938[[#This Row],[IC-05]]=TRUE)</f>
        <v>0</v>
      </c>
      <c r="AC229" s="2" t="b">
        <f>AND(Table1938[[#This Row],[Pass-IC]]=TRUE,Table1938[[#This Row],[Pass-EC]]=TRUE)</f>
        <v>0</v>
      </c>
      <c r="AD229" s="2" t="b">
        <f>COUNTIF($D$25:D229, Table1938[[#This Row],[Title]]) = 1</f>
        <v>1</v>
      </c>
      <c r="AE229" s="2" t="b">
        <f>AND(Table1938[[#This Row],[IC + EC]:[Unique]])</f>
        <v>0</v>
      </c>
      <c r="AF229" s="2" t="b">
        <v>0</v>
      </c>
      <c r="AG229" s="2" t="b">
        <v>0</v>
      </c>
      <c r="AH229" s="2" t="b">
        <v>0</v>
      </c>
      <c r="AI229" s="2" t="b">
        <f>IF(AND(Table1938[[#This Row],[Double Check]]=TRUE,Table1938[[#This Row],[Inspected]]=TRUE,Table1938[[#This Row],[Relevant]]=TRUE),TRUE,FALSE)</f>
        <v>0</v>
      </c>
    </row>
    <row r="230" spans="1:35" ht="71.7" x14ac:dyDescent="0.5">
      <c r="A230" s="2">
        <v>229</v>
      </c>
      <c r="B230" s="20" t="s">
        <v>3</v>
      </c>
      <c r="C230" s="20" t="s">
        <v>3066</v>
      </c>
      <c r="D230" s="20" t="s">
        <v>1735</v>
      </c>
      <c r="E230" s="20" t="s">
        <v>1734</v>
      </c>
      <c r="F230" s="2" t="s">
        <v>1737</v>
      </c>
      <c r="G230" s="20" t="s">
        <v>1003</v>
      </c>
      <c r="H230" s="36">
        <v>44927</v>
      </c>
      <c r="I230" s="20">
        <v>2023</v>
      </c>
      <c r="J230" s="20" t="s">
        <v>61</v>
      </c>
      <c r="K230" s="20" t="s">
        <v>3067</v>
      </c>
      <c r="L230" s="20" t="s">
        <v>2515</v>
      </c>
      <c r="M230" s="20" t="s">
        <v>1736</v>
      </c>
      <c r="N230" s="20" t="b">
        <v>1</v>
      </c>
      <c r="O230" s="2" t="b">
        <f>IF(Table1938[[#This Row],[Title]]="",TRUE,FALSE)</f>
        <v>0</v>
      </c>
      <c r="P230" s="2" t="b">
        <f>IF(Table1938[[#This Row],[Author]]="",TRUE,FALSE)</f>
        <v>0</v>
      </c>
      <c r="Q230" s="2" t="b">
        <f>IF(Table1938[[#This Row],[DOI]]&lt;&gt;"", FALSE,TRUE)</f>
        <v>0</v>
      </c>
      <c r="R230" s="2" t="b">
        <f>IF(Table1938[[#This Row],[Abstract]]="",TRUE,FALSE)</f>
        <v>0</v>
      </c>
      <c r="S230" s="2" t="b">
        <f>IF(OR(Table1938[[#This Row],[Document Type]]="book",Table1938[[#This Row],[Document Type]]="bookSection"),TRUE,FALSE)</f>
        <v>0</v>
      </c>
      <c r="T230" s="2" t="b">
        <f>NOT(IF(OR(Table1938[[#This Row],[Language]]&lt;&gt;"en",Table1938[[#This Row],[Language]]&lt;&gt;"EN",Table1938[[#This Row],[Language]]&lt;&gt;"spa",Table1938[[#This Row],[Language]]&lt;&gt;"SPA"),TRUE,FALSE))</f>
        <v>0</v>
      </c>
      <c r="U230" s="2" t="b">
        <f>IF(AND(Table1938[[#This Row],[EC-01]]=FALSE,Table1938[[#This Row],[EC-02]]=FALSE,Table1938[[#This Row],[EC-03]]=FALSE,Table1938[[#This Row],[EC-04]]=FALSE,Table1938[[#This Row],[EC-05]]=FALSE,Table1938[[#This Row],[EC-06]]=FALSE),TRUE,FALSE)</f>
        <v>1</v>
      </c>
      <c r="V230" s="2" t="b">
        <f>IF(Table1938[[#This Row],[Date]]&lt;&gt;"",AND(YEAR(Table1938[[#This Row],[Date]])&gt;=2010, YEAR(Table1938[[#This Row],[Date]])&lt;=2024),FALSE)</f>
        <v>1</v>
      </c>
      <c r="W230" s="2" t="b">
        <f>IF(Table1938[[#This Row],[Date]]&lt;&gt;"",AND(YEAR(Table1938[[#This Row],[Date]])&gt;=2010, YEAR(Table1938[[#This Row],[Date]])&lt;=2020),FALSE)</f>
        <v>0</v>
      </c>
      <c r="X230" s="2" t="b">
        <f>IF(AND(Table1938[[#This Row],[Accesible]]=TRUE,Table1938[[#This Row],[DOI]]&lt;&gt;""),TRUE,FALSE)</f>
        <v>1</v>
      </c>
      <c r="Y230" s="2" t="b">
        <f>OR(Table1938[[#This Row],[Document Type]]="journalArticle",Table1938[[#This Row],[Document Type]]="conferencePaper",Table1938[[#This Row],[Document Type]]="review")</f>
        <v>1</v>
      </c>
      <c r="Z230" s="2" t="b" cm="1">
        <f t="array" ref="Z230">SUMPRODUCT(--ISNUMBER(SEARCH({"dimensional analysis","dimensionless coefficients","Π","Pi","theorem","software","design","tools","development","architecture","similar"}, LOWER(Table1938[[#This Row],[Title]]))))&gt;0</f>
        <v>0</v>
      </c>
      <c r="AA230" s="2" t="b" cm="1">
        <f t="array" ref="AA230">SUMPRODUCT(--ISNUMBER(SEARCH({"dimensional analysis","dimensionless coefficients","Π","Pi","theorem","software","design","tools","development","architecture","similar"}, LOWER(Table1938[[#This Row],[Abstract]]))))&gt;0</f>
        <v>1</v>
      </c>
      <c r="AB230" s="2" t="b">
        <f>AND(OR(Table1938[[#This Row],[IC-01 @2024]:[IC-01 @2020]])=TRUE,Table1938[[#This Row],[IC-02]]=TRUE,Table1938[[#This Row],[IC-03]]=TRUE,Table1938[[#This Row],[IC-04]]=TRUE,Table1938[[#This Row],[IC-05]]=TRUE)</f>
        <v>0</v>
      </c>
      <c r="AC230" s="2" t="b">
        <f>AND(Table1938[[#This Row],[Pass-IC]]=TRUE,Table1938[[#This Row],[Pass-EC]]=TRUE)</f>
        <v>0</v>
      </c>
      <c r="AD230" s="2" t="b">
        <f>COUNTIF($D$25:D230, Table1938[[#This Row],[Title]]) = 1</f>
        <v>1</v>
      </c>
      <c r="AE230" s="2" t="b">
        <f>AND(Table1938[[#This Row],[IC + EC]:[Unique]])</f>
        <v>0</v>
      </c>
      <c r="AF230" s="2" t="b">
        <v>0</v>
      </c>
      <c r="AG230" s="2" t="b">
        <v>0</v>
      </c>
      <c r="AH230" s="2" t="b">
        <v>0</v>
      </c>
      <c r="AI230" s="2" t="b">
        <f>IF(AND(Table1938[[#This Row],[Double Check]]=TRUE,Table1938[[#This Row],[Inspected]]=TRUE,Table1938[[#This Row],[Relevant]]=TRUE),TRUE,FALSE)</f>
        <v>0</v>
      </c>
    </row>
    <row r="231" spans="1:35" ht="43" x14ac:dyDescent="0.5">
      <c r="A231" s="2">
        <v>230</v>
      </c>
      <c r="B231" s="20" t="s">
        <v>3</v>
      </c>
      <c r="C231" s="20" t="s">
        <v>3068</v>
      </c>
      <c r="D231" s="20" t="s">
        <v>1426</v>
      </c>
      <c r="E231" s="20" t="s">
        <v>1425</v>
      </c>
      <c r="F231" s="2" t="s">
        <v>1428</v>
      </c>
      <c r="G231" s="20" t="s">
        <v>941</v>
      </c>
      <c r="H231" s="36">
        <v>44105</v>
      </c>
      <c r="I231" s="20">
        <v>2020</v>
      </c>
      <c r="J231" s="20" t="s">
        <v>61</v>
      </c>
      <c r="K231" s="20" t="s">
        <v>3069</v>
      </c>
      <c r="L231" s="20" t="s">
        <v>2515</v>
      </c>
      <c r="M231" s="20" t="s">
        <v>1427</v>
      </c>
      <c r="N231" s="20" t="b">
        <v>1</v>
      </c>
      <c r="O231" s="2" t="b">
        <f>IF(Table1938[[#This Row],[Title]]="",TRUE,FALSE)</f>
        <v>0</v>
      </c>
      <c r="P231" s="2" t="b">
        <f>IF(Table1938[[#This Row],[Author]]="",TRUE,FALSE)</f>
        <v>0</v>
      </c>
      <c r="Q231" s="2" t="b">
        <f>IF(Table1938[[#This Row],[DOI]]&lt;&gt;"", FALSE,TRUE)</f>
        <v>0</v>
      </c>
      <c r="R231" s="2" t="b">
        <f>IF(Table1938[[#This Row],[Abstract]]="",TRUE,FALSE)</f>
        <v>0</v>
      </c>
      <c r="S231" s="2" t="b">
        <f>IF(OR(Table1938[[#This Row],[Document Type]]="book",Table1938[[#This Row],[Document Type]]="bookSection"),TRUE,FALSE)</f>
        <v>0</v>
      </c>
      <c r="T231" s="2" t="b">
        <f>NOT(IF(OR(Table1938[[#This Row],[Language]]&lt;&gt;"en",Table1938[[#This Row],[Language]]&lt;&gt;"EN",Table1938[[#This Row],[Language]]&lt;&gt;"spa",Table1938[[#This Row],[Language]]&lt;&gt;"SPA"),TRUE,FALSE))</f>
        <v>0</v>
      </c>
      <c r="U231" s="2" t="b">
        <f>IF(AND(Table1938[[#This Row],[EC-01]]=FALSE,Table1938[[#This Row],[EC-02]]=FALSE,Table1938[[#This Row],[EC-03]]=FALSE,Table1938[[#This Row],[EC-04]]=FALSE,Table1938[[#This Row],[EC-05]]=FALSE,Table1938[[#This Row],[EC-06]]=FALSE),TRUE,FALSE)</f>
        <v>1</v>
      </c>
      <c r="V231" s="2" t="b">
        <f>IF(Table1938[[#This Row],[Date]]&lt;&gt;"",AND(YEAR(Table1938[[#This Row],[Date]])&gt;=2010, YEAR(Table1938[[#This Row],[Date]])&lt;=2024),FALSE)</f>
        <v>1</v>
      </c>
      <c r="W231" s="2" t="b">
        <f>IF(Table1938[[#This Row],[Date]]&lt;&gt;"",AND(YEAR(Table1938[[#This Row],[Date]])&gt;=2010, YEAR(Table1938[[#This Row],[Date]])&lt;=2020),FALSE)</f>
        <v>1</v>
      </c>
      <c r="X231" s="2" t="b">
        <f>IF(AND(Table1938[[#This Row],[Accesible]]=TRUE,Table1938[[#This Row],[DOI]]&lt;&gt;""),TRUE,FALSE)</f>
        <v>1</v>
      </c>
      <c r="Y231" s="2" t="b">
        <f>OR(Table1938[[#This Row],[Document Type]]="journalArticle",Table1938[[#This Row],[Document Type]]="conferencePaper",Table1938[[#This Row],[Document Type]]="review")</f>
        <v>1</v>
      </c>
      <c r="Z231" s="2" t="b" cm="1">
        <f t="array" ref="Z231">SUMPRODUCT(--ISNUMBER(SEARCH({"dimensional analysis","dimensionless coefficients","Π","Pi","theorem","software","design","tools","development","architecture","similar"}, LOWER(Table1938[[#This Row],[Title]]))))&gt;0</f>
        <v>1</v>
      </c>
      <c r="AA231" s="2" t="b" cm="1">
        <f t="array" ref="AA231">SUMPRODUCT(--ISNUMBER(SEARCH({"dimensional analysis","dimensionless coefficients","Π","Pi","theorem","software","design","tools","development","architecture","similar"}, LOWER(Table1938[[#This Row],[Abstract]]))))&gt;0</f>
        <v>1</v>
      </c>
      <c r="AB231" s="2" t="b">
        <f>AND(OR(Table1938[[#This Row],[IC-01 @2024]:[IC-01 @2020]])=TRUE,Table1938[[#This Row],[IC-02]]=TRUE,Table1938[[#This Row],[IC-03]]=TRUE,Table1938[[#This Row],[IC-04]]=TRUE,Table1938[[#This Row],[IC-05]]=TRUE)</f>
        <v>1</v>
      </c>
      <c r="AC231" s="2" t="b">
        <f>AND(Table1938[[#This Row],[Pass-IC]]=TRUE,Table1938[[#This Row],[Pass-EC]]=TRUE)</f>
        <v>1</v>
      </c>
      <c r="AD231" s="2" t="b">
        <f>COUNTIF($D$25:D231, Table1938[[#This Row],[Title]]) = 1</f>
        <v>1</v>
      </c>
      <c r="AE231" s="2" t="b">
        <f>AND(Table1938[[#This Row],[IC + EC]:[Unique]])</f>
        <v>1</v>
      </c>
      <c r="AF231" s="2" t="b">
        <v>1</v>
      </c>
      <c r="AG231" s="2" t="b">
        <v>0</v>
      </c>
      <c r="AH231" s="2" t="b">
        <v>0</v>
      </c>
      <c r="AI231" s="2" t="b">
        <f>IF(AND(Table1938[[#This Row],[Double Check]]=TRUE,Table1938[[#This Row],[Inspected]]=TRUE,Table1938[[#This Row],[Relevant]]=TRUE),TRUE,FALSE)</f>
        <v>0</v>
      </c>
    </row>
    <row r="232" spans="1:35" ht="43" x14ac:dyDescent="0.5">
      <c r="A232" s="2">
        <v>231</v>
      </c>
      <c r="B232" s="20" t="s">
        <v>3</v>
      </c>
      <c r="C232" s="20" t="s">
        <v>3070</v>
      </c>
      <c r="D232" s="20" t="s">
        <v>1524</v>
      </c>
      <c r="E232" s="20" t="s">
        <v>1523</v>
      </c>
      <c r="F232" s="2" t="s">
        <v>1527</v>
      </c>
      <c r="G232" s="20" t="s">
        <v>1525</v>
      </c>
      <c r="H232" s="36">
        <v>43800</v>
      </c>
      <c r="I232" s="20">
        <v>2019</v>
      </c>
      <c r="J232" s="20" t="s">
        <v>61</v>
      </c>
      <c r="K232" s="20" t="s">
        <v>3071</v>
      </c>
      <c r="L232" s="20" t="s">
        <v>2515</v>
      </c>
      <c r="M232" s="20" t="s">
        <v>1526</v>
      </c>
      <c r="N232" s="20" t="b">
        <v>1</v>
      </c>
      <c r="O232" s="2" t="b">
        <f>IF(Table1938[[#This Row],[Title]]="",TRUE,FALSE)</f>
        <v>0</v>
      </c>
      <c r="P232" s="2" t="b">
        <f>IF(Table1938[[#This Row],[Author]]="",TRUE,FALSE)</f>
        <v>0</v>
      </c>
      <c r="Q232" s="2" t="b">
        <f>IF(Table1938[[#This Row],[DOI]]&lt;&gt;"", FALSE,TRUE)</f>
        <v>0</v>
      </c>
      <c r="R232" s="2" t="b">
        <f>IF(Table1938[[#This Row],[Abstract]]="",TRUE,FALSE)</f>
        <v>0</v>
      </c>
      <c r="S232" s="2" t="b">
        <f>IF(OR(Table1938[[#This Row],[Document Type]]="book",Table1938[[#This Row],[Document Type]]="bookSection"),TRUE,FALSE)</f>
        <v>0</v>
      </c>
      <c r="T232" s="2" t="b">
        <f>NOT(IF(OR(Table1938[[#This Row],[Language]]&lt;&gt;"en",Table1938[[#This Row],[Language]]&lt;&gt;"EN",Table1938[[#This Row],[Language]]&lt;&gt;"spa",Table1938[[#This Row],[Language]]&lt;&gt;"SPA"),TRUE,FALSE))</f>
        <v>0</v>
      </c>
      <c r="U232" s="2" t="b">
        <f>IF(AND(Table1938[[#This Row],[EC-01]]=FALSE,Table1938[[#This Row],[EC-02]]=FALSE,Table1938[[#This Row],[EC-03]]=FALSE,Table1938[[#This Row],[EC-04]]=FALSE,Table1938[[#This Row],[EC-05]]=FALSE,Table1938[[#This Row],[EC-06]]=FALSE),TRUE,FALSE)</f>
        <v>1</v>
      </c>
      <c r="V232" s="2" t="b">
        <f>IF(Table1938[[#This Row],[Date]]&lt;&gt;"",AND(YEAR(Table1938[[#This Row],[Date]])&gt;=2010, YEAR(Table1938[[#This Row],[Date]])&lt;=2024),FALSE)</f>
        <v>1</v>
      </c>
      <c r="W232" s="2" t="b">
        <f>IF(Table1938[[#This Row],[Date]]&lt;&gt;"",AND(YEAR(Table1938[[#This Row],[Date]])&gt;=2010, YEAR(Table1938[[#This Row],[Date]])&lt;=2020),FALSE)</f>
        <v>1</v>
      </c>
      <c r="X232" s="2" t="b">
        <f>IF(AND(Table1938[[#This Row],[Accesible]]=TRUE,Table1938[[#This Row],[DOI]]&lt;&gt;""),TRUE,FALSE)</f>
        <v>1</v>
      </c>
      <c r="Y232" s="2" t="b">
        <f>OR(Table1938[[#This Row],[Document Type]]="journalArticle",Table1938[[#This Row],[Document Type]]="conferencePaper",Table1938[[#This Row],[Document Type]]="review")</f>
        <v>1</v>
      </c>
      <c r="Z232" s="2" t="b" cm="1">
        <f t="array" ref="Z232">SUMPRODUCT(--ISNUMBER(SEARCH({"dimensional analysis","dimensionless coefficients","Π","Pi","theorem","software","design","tools","development","architecture","similar"}, LOWER(Table1938[[#This Row],[Title]]))))&gt;0</f>
        <v>1</v>
      </c>
      <c r="AA232" s="2" t="b" cm="1">
        <f t="array" ref="AA232">SUMPRODUCT(--ISNUMBER(SEARCH({"dimensional analysis","dimensionless coefficients","Π","Pi","theorem","software","design","tools","development","architecture","similar"}, LOWER(Table1938[[#This Row],[Abstract]]))))&gt;0</f>
        <v>1</v>
      </c>
      <c r="AB232" s="2" t="b">
        <f>AND(OR(Table1938[[#This Row],[IC-01 @2024]:[IC-01 @2020]])=TRUE,Table1938[[#This Row],[IC-02]]=TRUE,Table1938[[#This Row],[IC-03]]=TRUE,Table1938[[#This Row],[IC-04]]=TRUE,Table1938[[#This Row],[IC-05]]=TRUE)</f>
        <v>1</v>
      </c>
      <c r="AC232" s="2" t="b">
        <f>AND(Table1938[[#This Row],[Pass-IC]]=TRUE,Table1938[[#This Row],[Pass-EC]]=TRUE)</f>
        <v>1</v>
      </c>
      <c r="AD232" s="2" t="b">
        <f>COUNTIF($D$25:D232, Table1938[[#This Row],[Title]]) = 1</f>
        <v>1</v>
      </c>
      <c r="AE232" s="2" t="b">
        <f>AND(Table1938[[#This Row],[IC + EC]:[Unique]])</f>
        <v>1</v>
      </c>
      <c r="AF232" s="2" t="b">
        <v>1</v>
      </c>
      <c r="AG232" s="2" t="b">
        <v>0</v>
      </c>
      <c r="AH232" s="2" t="b">
        <v>0</v>
      </c>
      <c r="AI232" s="2" t="b">
        <f>IF(AND(Table1938[[#This Row],[Double Check]]=TRUE,Table1938[[#This Row],[Inspected]]=TRUE,Table1938[[#This Row],[Relevant]]=TRUE),TRUE,FALSE)</f>
        <v>0</v>
      </c>
    </row>
    <row r="233" spans="1:35" ht="57.35" x14ac:dyDescent="0.5">
      <c r="A233" s="2">
        <v>232</v>
      </c>
      <c r="B233" s="20" t="s">
        <v>3</v>
      </c>
      <c r="C233" s="20" t="s">
        <v>3072</v>
      </c>
      <c r="D233" s="20" t="s">
        <v>1934</v>
      </c>
      <c r="E233" s="20" t="s">
        <v>1933</v>
      </c>
      <c r="F233" s="2" t="s">
        <v>1936</v>
      </c>
      <c r="G233" s="20" t="s">
        <v>1008</v>
      </c>
      <c r="H233" s="36">
        <v>45383</v>
      </c>
      <c r="I233" s="20">
        <v>2024</v>
      </c>
      <c r="J233" s="20" t="s">
        <v>61</v>
      </c>
      <c r="K233" s="20" t="s">
        <v>3073</v>
      </c>
      <c r="L233" s="20" t="s">
        <v>2515</v>
      </c>
      <c r="M233" s="20" t="s">
        <v>1935</v>
      </c>
      <c r="N233" s="20" t="b">
        <v>1</v>
      </c>
      <c r="O233" s="2" t="b">
        <f>IF(Table1938[[#This Row],[Title]]="",TRUE,FALSE)</f>
        <v>0</v>
      </c>
      <c r="P233" s="2" t="b">
        <f>IF(Table1938[[#This Row],[Author]]="",TRUE,FALSE)</f>
        <v>0</v>
      </c>
      <c r="Q233" s="2" t="b">
        <f>IF(Table1938[[#This Row],[DOI]]&lt;&gt;"", FALSE,TRUE)</f>
        <v>0</v>
      </c>
      <c r="R233" s="2" t="b">
        <f>IF(Table1938[[#This Row],[Abstract]]="",TRUE,FALSE)</f>
        <v>0</v>
      </c>
      <c r="S233" s="2" t="b">
        <f>IF(OR(Table1938[[#This Row],[Document Type]]="book",Table1938[[#This Row],[Document Type]]="bookSection"),TRUE,FALSE)</f>
        <v>0</v>
      </c>
      <c r="T233" s="2" t="b">
        <f>NOT(IF(OR(Table1938[[#This Row],[Language]]&lt;&gt;"en",Table1938[[#This Row],[Language]]&lt;&gt;"EN",Table1938[[#This Row],[Language]]&lt;&gt;"spa",Table1938[[#This Row],[Language]]&lt;&gt;"SPA"),TRUE,FALSE))</f>
        <v>0</v>
      </c>
      <c r="U233" s="2" t="b">
        <f>IF(AND(Table1938[[#This Row],[EC-01]]=FALSE,Table1938[[#This Row],[EC-02]]=FALSE,Table1938[[#This Row],[EC-03]]=FALSE,Table1938[[#This Row],[EC-04]]=FALSE,Table1938[[#This Row],[EC-05]]=FALSE,Table1938[[#This Row],[EC-06]]=FALSE),TRUE,FALSE)</f>
        <v>1</v>
      </c>
      <c r="V233" s="2" t="b">
        <f>IF(Table1938[[#This Row],[Date]]&lt;&gt;"",AND(YEAR(Table1938[[#This Row],[Date]])&gt;=2010, YEAR(Table1938[[#This Row],[Date]])&lt;=2024),FALSE)</f>
        <v>1</v>
      </c>
      <c r="W233" s="2" t="b">
        <f>IF(Table1938[[#This Row],[Date]]&lt;&gt;"",AND(YEAR(Table1938[[#This Row],[Date]])&gt;=2010, YEAR(Table1938[[#This Row],[Date]])&lt;=2020),FALSE)</f>
        <v>0</v>
      </c>
      <c r="X233" s="2" t="b">
        <f>IF(AND(Table1938[[#This Row],[Accesible]]=TRUE,Table1938[[#This Row],[DOI]]&lt;&gt;""),TRUE,FALSE)</f>
        <v>1</v>
      </c>
      <c r="Y233" s="2" t="b">
        <f>OR(Table1938[[#This Row],[Document Type]]="journalArticle",Table1938[[#This Row],[Document Type]]="conferencePaper",Table1938[[#This Row],[Document Type]]="review")</f>
        <v>1</v>
      </c>
      <c r="Z233" s="2" t="b" cm="1">
        <f t="array" ref="Z233">SUMPRODUCT(--ISNUMBER(SEARCH({"dimensional analysis","dimensionless coefficients","Π","Pi","theorem","software","design","tools","development","architecture","similar"}, LOWER(Table1938[[#This Row],[Title]]))))&gt;0</f>
        <v>0</v>
      </c>
      <c r="AA233" s="2" t="b" cm="1">
        <f t="array" ref="AA233">SUMPRODUCT(--ISNUMBER(SEARCH({"dimensional analysis","dimensionless coefficients","Π","Pi","theorem","software","design","tools","development","architecture","similar"}, LOWER(Table1938[[#This Row],[Abstract]]))))&gt;0</f>
        <v>1</v>
      </c>
      <c r="AB233" s="2" t="b">
        <f>AND(OR(Table1938[[#This Row],[IC-01 @2024]:[IC-01 @2020]])=TRUE,Table1938[[#This Row],[IC-02]]=TRUE,Table1938[[#This Row],[IC-03]]=TRUE,Table1938[[#This Row],[IC-04]]=TRUE,Table1938[[#This Row],[IC-05]]=TRUE)</f>
        <v>0</v>
      </c>
      <c r="AC233" s="2" t="b">
        <f>AND(Table1938[[#This Row],[Pass-IC]]=TRUE,Table1938[[#This Row],[Pass-EC]]=TRUE)</f>
        <v>0</v>
      </c>
      <c r="AD233" s="2" t="b">
        <f>COUNTIF($D$25:D233, Table1938[[#This Row],[Title]]) = 1</f>
        <v>1</v>
      </c>
      <c r="AE233" s="2" t="b">
        <f>AND(Table1938[[#This Row],[IC + EC]:[Unique]])</f>
        <v>0</v>
      </c>
      <c r="AF233" s="2" t="b">
        <v>0</v>
      </c>
      <c r="AG233" s="2" t="b">
        <v>0</v>
      </c>
      <c r="AH233" s="2" t="b">
        <v>0</v>
      </c>
      <c r="AI233" s="2" t="b">
        <f>IF(AND(Table1938[[#This Row],[Double Check]]=TRUE,Table1938[[#This Row],[Inspected]]=TRUE,Table1938[[#This Row],[Relevant]]=TRUE),TRUE,FALSE)</f>
        <v>0</v>
      </c>
    </row>
    <row r="234" spans="1:35" ht="43" x14ac:dyDescent="0.5">
      <c r="A234" s="2">
        <v>233</v>
      </c>
      <c r="B234" s="20" t="s">
        <v>3</v>
      </c>
      <c r="C234" s="20" t="s">
        <v>3074</v>
      </c>
      <c r="D234" s="20" t="s">
        <v>1543</v>
      </c>
      <c r="E234" s="20" t="s">
        <v>1542</v>
      </c>
      <c r="F234" s="2" t="s">
        <v>1545</v>
      </c>
      <c r="G234" s="20" t="s">
        <v>928</v>
      </c>
      <c r="H234" s="36">
        <v>43252</v>
      </c>
      <c r="I234" s="20">
        <v>2018</v>
      </c>
      <c r="J234" s="20" t="s">
        <v>61</v>
      </c>
      <c r="K234" s="20" t="s">
        <v>3075</v>
      </c>
      <c r="L234" s="20" t="s">
        <v>2515</v>
      </c>
      <c r="M234" s="20" t="s">
        <v>1544</v>
      </c>
      <c r="N234" s="20" t="b">
        <v>1</v>
      </c>
      <c r="O234" s="2" t="b">
        <f>IF(Table1938[[#This Row],[Title]]="",TRUE,FALSE)</f>
        <v>0</v>
      </c>
      <c r="P234" s="2" t="b">
        <f>IF(Table1938[[#This Row],[Author]]="",TRUE,FALSE)</f>
        <v>0</v>
      </c>
      <c r="Q234" s="2" t="b">
        <f>IF(Table1938[[#This Row],[DOI]]&lt;&gt;"", FALSE,TRUE)</f>
        <v>0</v>
      </c>
      <c r="R234" s="2" t="b">
        <f>IF(Table1938[[#This Row],[Abstract]]="",TRUE,FALSE)</f>
        <v>0</v>
      </c>
      <c r="S234" s="2" t="b">
        <f>IF(OR(Table1938[[#This Row],[Document Type]]="book",Table1938[[#This Row],[Document Type]]="bookSection"),TRUE,FALSE)</f>
        <v>0</v>
      </c>
      <c r="T234" s="2" t="b">
        <f>NOT(IF(OR(Table1938[[#This Row],[Language]]&lt;&gt;"en",Table1938[[#This Row],[Language]]&lt;&gt;"EN",Table1938[[#This Row],[Language]]&lt;&gt;"spa",Table1938[[#This Row],[Language]]&lt;&gt;"SPA"),TRUE,FALSE))</f>
        <v>0</v>
      </c>
      <c r="U234" s="2" t="b">
        <f>IF(AND(Table1938[[#This Row],[EC-01]]=FALSE,Table1938[[#This Row],[EC-02]]=FALSE,Table1938[[#This Row],[EC-03]]=FALSE,Table1938[[#This Row],[EC-04]]=FALSE,Table1938[[#This Row],[EC-05]]=FALSE,Table1938[[#This Row],[EC-06]]=FALSE),TRUE,FALSE)</f>
        <v>1</v>
      </c>
      <c r="V234" s="2" t="b">
        <f>IF(Table1938[[#This Row],[Date]]&lt;&gt;"",AND(YEAR(Table1938[[#This Row],[Date]])&gt;=2010, YEAR(Table1938[[#This Row],[Date]])&lt;=2024),FALSE)</f>
        <v>1</v>
      </c>
      <c r="W234" s="2" t="b">
        <f>IF(Table1938[[#This Row],[Date]]&lt;&gt;"",AND(YEAR(Table1938[[#This Row],[Date]])&gt;=2010, YEAR(Table1938[[#This Row],[Date]])&lt;=2020),FALSE)</f>
        <v>1</v>
      </c>
      <c r="X234" s="2" t="b">
        <f>IF(AND(Table1938[[#This Row],[Accesible]]=TRUE,Table1938[[#This Row],[DOI]]&lt;&gt;""),TRUE,FALSE)</f>
        <v>1</v>
      </c>
      <c r="Y234" s="2" t="b">
        <f>OR(Table1938[[#This Row],[Document Type]]="journalArticle",Table1938[[#This Row],[Document Type]]="conferencePaper",Table1938[[#This Row],[Document Type]]="review")</f>
        <v>1</v>
      </c>
      <c r="Z234" s="2" t="b" cm="1">
        <f t="array" ref="Z234">SUMPRODUCT(--ISNUMBER(SEARCH({"dimensional analysis","dimensionless coefficients","Π","Pi","theorem","software","design","tools","development","architecture","similar"}, LOWER(Table1938[[#This Row],[Title]]))))&gt;0</f>
        <v>1</v>
      </c>
      <c r="AA234" s="2" t="b" cm="1">
        <f t="array" ref="AA234">SUMPRODUCT(--ISNUMBER(SEARCH({"dimensional analysis","dimensionless coefficients","Π","Pi","theorem","software","design","tools","development","architecture","similar"}, LOWER(Table1938[[#This Row],[Abstract]]))))&gt;0</f>
        <v>1</v>
      </c>
      <c r="AB234" s="2" t="b">
        <f>AND(OR(Table1938[[#This Row],[IC-01 @2024]:[IC-01 @2020]])=TRUE,Table1938[[#This Row],[IC-02]]=TRUE,Table1938[[#This Row],[IC-03]]=TRUE,Table1938[[#This Row],[IC-04]]=TRUE,Table1938[[#This Row],[IC-05]]=TRUE)</f>
        <v>1</v>
      </c>
      <c r="AC234" s="2" t="b">
        <f>AND(Table1938[[#This Row],[Pass-IC]]=TRUE,Table1938[[#This Row],[Pass-EC]]=TRUE)</f>
        <v>1</v>
      </c>
      <c r="AD234" s="2" t="b">
        <f>COUNTIF($D$25:D234, Table1938[[#This Row],[Title]]) = 1</f>
        <v>1</v>
      </c>
      <c r="AE234" s="2" t="b">
        <f>AND(Table1938[[#This Row],[IC + EC]:[Unique]])</f>
        <v>1</v>
      </c>
      <c r="AF234" s="2" t="b">
        <v>1</v>
      </c>
      <c r="AG234" s="2" t="b">
        <v>0</v>
      </c>
      <c r="AH234" s="2" t="b">
        <v>0</v>
      </c>
      <c r="AI234" s="2" t="b">
        <f>IF(AND(Table1938[[#This Row],[Double Check]]=TRUE,Table1938[[#This Row],[Inspected]]=TRUE,Table1938[[#This Row],[Relevant]]=TRUE),TRUE,FALSE)</f>
        <v>0</v>
      </c>
    </row>
    <row r="235" spans="1:35" ht="57.35" x14ac:dyDescent="0.5">
      <c r="A235" s="2">
        <v>234</v>
      </c>
      <c r="B235" s="20" t="s">
        <v>3</v>
      </c>
      <c r="C235" s="20" t="s">
        <v>3076</v>
      </c>
      <c r="D235" s="20" t="s">
        <v>2101</v>
      </c>
      <c r="E235" s="20" t="s">
        <v>2100</v>
      </c>
      <c r="F235" s="2" t="s">
        <v>2104</v>
      </c>
      <c r="G235" s="20" t="s">
        <v>2102</v>
      </c>
      <c r="H235" s="36">
        <v>42095</v>
      </c>
      <c r="I235" s="20">
        <v>2015</v>
      </c>
      <c r="J235" s="20" t="s">
        <v>61</v>
      </c>
      <c r="K235" s="20" t="s">
        <v>3077</v>
      </c>
      <c r="L235" s="20" t="s">
        <v>2515</v>
      </c>
      <c r="M235" s="20" t="s">
        <v>2103</v>
      </c>
      <c r="N235" s="20" t="b">
        <v>1</v>
      </c>
      <c r="O235" s="2" t="b">
        <f>IF(Table1938[[#This Row],[Title]]="",TRUE,FALSE)</f>
        <v>0</v>
      </c>
      <c r="P235" s="2" t="b">
        <f>IF(Table1938[[#This Row],[Author]]="",TRUE,FALSE)</f>
        <v>0</v>
      </c>
      <c r="Q235" s="2" t="b">
        <f>IF(Table1938[[#This Row],[DOI]]&lt;&gt;"", FALSE,TRUE)</f>
        <v>0</v>
      </c>
      <c r="R235" s="2" t="b">
        <f>IF(Table1938[[#This Row],[Abstract]]="",TRUE,FALSE)</f>
        <v>0</v>
      </c>
      <c r="S235" s="2" t="b">
        <f>IF(OR(Table1938[[#This Row],[Document Type]]="book",Table1938[[#This Row],[Document Type]]="bookSection"),TRUE,FALSE)</f>
        <v>0</v>
      </c>
      <c r="T235" s="2" t="b">
        <f>NOT(IF(OR(Table1938[[#This Row],[Language]]&lt;&gt;"en",Table1938[[#This Row],[Language]]&lt;&gt;"EN",Table1938[[#This Row],[Language]]&lt;&gt;"spa",Table1938[[#This Row],[Language]]&lt;&gt;"SPA"),TRUE,FALSE))</f>
        <v>0</v>
      </c>
      <c r="U235" s="2" t="b">
        <f>IF(AND(Table1938[[#This Row],[EC-01]]=FALSE,Table1938[[#This Row],[EC-02]]=FALSE,Table1938[[#This Row],[EC-03]]=FALSE,Table1938[[#This Row],[EC-04]]=FALSE,Table1938[[#This Row],[EC-05]]=FALSE,Table1938[[#This Row],[EC-06]]=FALSE),TRUE,FALSE)</f>
        <v>1</v>
      </c>
      <c r="V235" s="2" t="b">
        <f>IF(Table1938[[#This Row],[Date]]&lt;&gt;"",AND(YEAR(Table1938[[#This Row],[Date]])&gt;=2010, YEAR(Table1938[[#This Row],[Date]])&lt;=2024),FALSE)</f>
        <v>1</v>
      </c>
      <c r="W235" s="2" t="b">
        <f>IF(Table1938[[#This Row],[Date]]&lt;&gt;"",AND(YEAR(Table1938[[#This Row],[Date]])&gt;=2010, YEAR(Table1938[[#This Row],[Date]])&lt;=2020),FALSE)</f>
        <v>1</v>
      </c>
      <c r="X235" s="2" t="b">
        <f>IF(AND(Table1938[[#This Row],[Accesible]]=TRUE,Table1938[[#This Row],[DOI]]&lt;&gt;""),TRUE,FALSE)</f>
        <v>1</v>
      </c>
      <c r="Y235" s="2" t="b">
        <f>OR(Table1938[[#This Row],[Document Type]]="journalArticle",Table1938[[#This Row],[Document Type]]="conferencePaper",Table1938[[#This Row],[Document Type]]="review")</f>
        <v>1</v>
      </c>
      <c r="Z235" s="2" t="b" cm="1">
        <f t="array" ref="Z235">SUMPRODUCT(--ISNUMBER(SEARCH({"dimensional analysis","dimensionless coefficients","Π","Pi","theorem","software","design","tools","development","architecture","similar"}, LOWER(Table1938[[#This Row],[Title]]))))&gt;0</f>
        <v>0</v>
      </c>
      <c r="AA235" s="2" t="b" cm="1">
        <f t="array" ref="AA235">SUMPRODUCT(--ISNUMBER(SEARCH({"dimensional analysis","dimensionless coefficients","Π","Pi","theorem","software","design","tools","development","architecture","similar"}, LOWER(Table1938[[#This Row],[Abstract]]))))&gt;0</f>
        <v>0</v>
      </c>
      <c r="AB235" s="2" t="b">
        <f>AND(OR(Table1938[[#This Row],[IC-01 @2024]:[IC-01 @2020]])=TRUE,Table1938[[#This Row],[IC-02]]=TRUE,Table1938[[#This Row],[IC-03]]=TRUE,Table1938[[#This Row],[IC-04]]=TRUE,Table1938[[#This Row],[IC-05]]=TRUE)</f>
        <v>0</v>
      </c>
      <c r="AC235" s="2" t="b">
        <f>AND(Table1938[[#This Row],[Pass-IC]]=TRUE,Table1938[[#This Row],[Pass-EC]]=TRUE)</f>
        <v>0</v>
      </c>
      <c r="AD235" s="2" t="b">
        <f>COUNTIF($D$25:D235, Table1938[[#This Row],[Title]]) = 1</f>
        <v>1</v>
      </c>
      <c r="AE235" s="2" t="b">
        <f>AND(Table1938[[#This Row],[IC + EC]:[Unique]])</f>
        <v>0</v>
      </c>
      <c r="AF235" s="2" t="b">
        <v>0</v>
      </c>
      <c r="AG235" s="2" t="b">
        <v>0</v>
      </c>
      <c r="AH235" s="2" t="b">
        <v>0</v>
      </c>
      <c r="AI235" s="2" t="b">
        <f>IF(AND(Table1938[[#This Row],[Double Check]]=TRUE,Table1938[[#This Row],[Inspected]]=TRUE,Table1938[[#This Row],[Relevant]]=TRUE),TRUE,FALSE)</f>
        <v>0</v>
      </c>
    </row>
    <row r="236" spans="1:35" ht="43" x14ac:dyDescent="0.5">
      <c r="A236" s="2">
        <v>235</v>
      </c>
      <c r="B236" s="20" t="s">
        <v>3</v>
      </c>
      <c r="C236" s="20" t="s">
        <v>3078</v>
      </c>
      <c r="D236" s="20" t="s">
        <v>2012</v>
      </c>
      <c r="E236" s="20" t="s">
        <v>2011</v>
      </c>
      <c r="F236" s="2" t="s">
        <v>2014</v>
      </c>
      <c r="G236" s="20" t="s">
        <v>944</v>
      </c>
      <c r="H236" s="36">
        <v>44470</v>
      </c>
      <c r="I236" s="20">
        <v>2021</v>
      </c>
      <c r="J236" s="20" t="s">
        <v>61</v>
      </c>
      <c r="K236" s="20" t="s">
        <v>3079</v>
      </c>
      <c r="L236" s="20" t="s">
        <v>2515</v>
      </c>
      <c r="M236" s="20" t="s">
        <v>2013</v>
      </c>
      <c r="N236" s="20" t="b">
        <v>1</v>
      </c>
      <c r="O236" s="2" t="b">
        <f>IF(Table1938[[#This Row],[Title]]="",TRUE,FALSE)</f>
        <v>0</v>
      </c>
      <c r="P236" s="2" t="b">
        <f>IF(Table1938[[#This Row],[Author]]="",TRUE,FALSE)</f>
        <v>0</v>
      </c>
      <c r="Q236" s="2" t="b">
        <f>IF(Table1938[[#This Row],[DOI]]&lt;&gt;"", FALSE,TRUE)</f>
        <v>0</v>
      </c>
      <c r="R236" s="2" t="b">
        <f>IF(Table1938[[#This Row],[Abstract]]="",TRUE,FALSE)</f>
        <v>0</v>
      </c>
      <c r="S236" s="2" t="b">
        <f>IF(OR(Table1938[[#This Row],[Document Type]]="book",Table1938[[#This Row],[Document Type]]="bookSection"),TRUE,FALSE)</f>
        <v>0</v>
      </c>
      <c r="T236" s="2" t="b">
        <f>NOT(IF(OR(Table1938[[#This Row],[Language]]&lt;&gt;"en",Table1938[[#This Row],[Language]]&lt;&gt;"EN",Table1938[[#This Row],[Language]]&lt;&gt;"spa",Table1938[[#This Row],[Language]]&lt;&gt;"SPA"),TRUE,FALSE))</f>
        <v>0</v>
      </c>
      <c r="U236" s="2" t="b">
        <f>IF(AND(Table1938[[#This Row],[EC-01]]=FALSE,Table1938[[#This Row],[EC-02]]=FALSE,Table1938[[#This Row],[EC-03]]=FALSE,Table1938[[#This Row],[EC-04]]=FALSE,Table1938[[#This Row],[EC-05]]=FALSE,Table1938[[#This Row],[EC-06]]=FALSE),TRUE,FALSE)</f>
        <v>1</v>
      </c>
      <c r="V236" s="2" t="b">
        <f>IF(Table1938[[#This Row],[Date]]&lt;&gt;"",AND(YEAR(Table1938[[#This Row],[Date]])&gt;=2010, YEAR(Table1938[[#This Row],[Date]])&lt;=2024),FALSE)</f>
        <v>1</v>
      </c>
      <c r="W236" s="2" t="b">
        <f>IF(Table1938[[#This Row],[Date]]&lt;&gt;"",AND(YEAR(Table1938[[#This Row],[Date]])&gt;=2010, YEAR(Table1938[[#This Row],[Date]])&lt;=2020),FALSE)</f>
        <v>0</v>
      </c>
      <c r="X236" s="2" t="b">
        <f>IF(AND(Table1938[[#This Row],[Accesible]]=TRUE,Table1938[[#This Row],[DOI]]&lt;&gt;""),TRUE,FALSE)</f>
        <v>1</v>
      </c>
      <c r="Y236" s="2" t="b">
        <f>OR(Table1938[[#This Row],[Document Type]]="journalArticle",Table1938[[#This Row],[Document Type]]="conferencePaper",Table1938[[#This Row],[Document Type]]="review")</f>
        <v>1</v>
      </c>
      <c r="Z236" s="2" t="b" cm="1">
        <f t="array" ref="Z236">SUMPRODUCT(--ISNUMBER(SEARCH({"dimensional analysis","dimensionless coefficients","Π","Pi","theorem","software","design","tools","development","architecture","similar"}, LOWER(Table1938[[#This Row],[Title]]))))&gt;0</f>
        <v>0</v>
      </c>
      <c r="AA236" s="2" t="b" cm="1">
        <f t="array" ref="AA236">SUMPRODUCT(--ISNUMBER(SEARCH({"dimensional analysis","dimensionless coefficients","Π","Pi","theorem","software","design","tools","development","architecture","similar"}, LOWER(Table1938[[#This Row],[Abstract]]))))&gt;0</f>
        <v>0</v>
      </c>
      <c r="AB236" s="2" t="b">
        <f>AND(OR(Table1938[[#This Row],[IC-01 @2024]:[IC-01 @2020]])=TRUE,Table1938[[#This Row],[IC-02]]=TRUE,Table1938[[#This Row],[IC-03]]=TRUE,Table1938[[#This Row],[IC-04]]=TRUE,Table1938[[#This Row],[IC-05]]=TRUE)</f>
        <v>0</v>
      </c>
      <c r="AC236" s="2" t="b">
        <f>AND(Table1938[[#This Row],[Pass-IC]]=TRUE,Table1938[[#This Row],[Pass-EC]]=TRUE)</f>
        <v>0</v>
      </c>
      <c r="AD236" s="2" t="b">
        <f>COUNTIF($D$25:D236, Table1938[[#This Row],[Title]]) = 1</f>
        <v>1</v>
      </c>
      <c r="AE236" s="2" t="b">
        <f>AND(Table1938[[#This Row],[IC + EC]:[Unique]])</f>
        <v>0</v>
      </c>
      <c r="AF236" s="2" t="b">
        <v>0</v>
      </c>
      <c r="AG236" s="2" t="b">
        <v>0</v>
      </c>
      <c r="AH236" s="2" t="b">
        <v>0</v>
      </c>
      <c r="AI236" s="2" t="b">
        <f>IF(AND(Table1938[[#This Row],[Double Check]]=TRUE,Table1938[[#This Row],[Inspected]]=TRUE,Table1938[[#This Row],[Relevant]]=TRUE),TRUE,FALSE)</f>
        <v>0</v>
      </c>
    </row>
    <row r="237" spans="1:35" ht="43" x14ac:dyDescent="0.5">
      <c r="A237" s="2">
        <v>236</v>
      </c>
      <c r="B237" s="20" t="s">
        <v>3</v>
      </c>
      <c r="C237" s="20" t="s">
        <v>3080</v>
      </c>
      <c r="D237" s="20" t="s">
        <v>2347</v>
      </c>
      <c r="E237" s="20" t="s">
        <v>2346</v>
      </c>
      <c r="F237" s="2" t="s">
        <v>2349</v>
      </c>
      <c r="G237" s="20" t="s">
        <v>931</v>
      </c>
      <c r="H237" s="36">
        <v>43784</v>
      </c>
      <c r="I237" s="20">
        <v>2019</v>
      </c>
      <c r="J237" s="20" t="s">
        <v>61</v>
      </c>
      <c r="K237" s="20" t="s">
        <v>3081</v>
      </c>
      <c r="L237" s="20" t="s">
        <v>2515</v>
      </c>
      <c r="M237" s="20" t="s">
        <v>2348</v>
      </c>
      <c r="N237" s="20" t="b">
        <v>1</v>
      </c>
      <c r="O237" s="2" t="b">
        <f>IF(Table1938[[#This Row],[Title]]="",TRUE,FALSE)</f>
        <v>0</v>
      </c>
      <c r="P237" s="2" t="b">
        <f>IF(Table1938[[#This Row],[Author]]="",TRUE,FALSE)</f>
        <v>0</v>
      </c>
      <c r="Q237" s="2" t="b">
        <f>IF(Table1938[[#This Row],[DOI]]&lt;&gt;"", FALSE,TRUE)</f>
        <v>0</v>
      </c>
      <c r="R237" s="2" t="b">
        <f>IF(Table1938[[#This Row],[Abstract]]="",TRUE,FALSE)</f>
        <v>0</v>
      </c>
      <c r="S237" s="2" t="b">
        <f>IF(OR(Table1938[[#This Row],[Document Type]]="book",Table1938[[#This Row],[Document Type]]="bookSection"),TRUE,FALSE)</f>
        <v>0</v>
      </c>
      <c r="T237" s="2" t="b">
        <f>NOT(IF(OR(Table1938[[#This Row],[Language]]&lt;&gt;"en",Table1938[[#This Row],[Language]]&lt;&gt;"EN",Table1938[[#This Row],[Language]]&lt;&gt;"spa",Table1938[[#This Row],[Language]]&lt;&gt;"SPA"),TRUE,FALSE))</f>
        <v>0</v>
      </c>
      <c r="U237" s="2" t="b">
        <f>IF(AND(Table1938[[#This Row],[EC-01]]=FALSE,Table1938[[#This Row],[EC-02]]=FALSE,Table1938[[#This Row],[EC-03]]=FALSE,Table1938[[#This Row],[EC-04]]=FALSE,Table1938[[#This Row],[EC-05]]=FALSE,Table1938[[#This Row],[EC-06]]=FALSE),TRUE,FALSE)</f>
        <v>1</v>
      </c>
      <c r="V237" s="2" t="b">
        <f>IF(Table1938[[#This Row],[Date]]&lt;&gt;"",AND(YEAR(Table1938[[#This Row],[Date]])&gt;=2010, YEAR(Table1938[[#This Row],[Date]])&lt;=2024),FALSE)</f>
        <v>1</v>
      </c>
      <c r="W237" s="2" t="b">
        <f>IF(Table1938[[#This Row],[Date]]&lt;&gt;"",AND(YEAR(Table1938[[#This Row],[Date]])&gt;=2010, YEAR(Table1938[[#This Row],[Date]])&lt;=2020),FALSE)</f>
        <v>1</v>
      </c>
      <c r="X237" s="2" t="b">
        <f>IF(AND(Table1938[[#This Row],[Accesible]]=TRUE,Table1938[[#This Row],[DOI]]&lt;&gt;""),TRUE,FALSE)</f>
        <v>1</v>
      </c>
      <c r="Y237" s="2" t="b">
        <f>OR(Table1938[[#This Row],[Document Type]]="journalArticle",Table1938[[#This Row],[Document Type]]="conferencePaper",Table1938[[#This Row],[Document Type]]="review")</f>
        <v>1</v>
      </c>
      <c r="Z237" s="2" t="b" cm="1">
        <f t="array" ref="Z237">SUMPRODUCT(--ISNUMBER(SEARCH({"dimensional analysis","dimensionless coefficients","Π","Pi","theorem","software","design","tools","development","architecture","similar"}, LOWER(Table1938[[#This Row],[Title]]))))&gt;0</f>
        <v>0</v>
      </c>
      <c r="AA237" s="2" t="b" cm="1">
        <f t="array" ref="AA237">SUMPRODUCT(--ISNUMBER(SEARCH({"dimensional analysis","dimensionless coefficients","Π","Pi","theorem","software","design","tools","development","architecture","similar"}, LOWER(Table1938[[#This Row],[Abstract]]))))&gt;0</f>
        <v>0</v>
      </c>
      <c r="AB237" s="2" t="b">
        <f>AND(OR(Table1938[[#This Row],[IC-01 @2024]:[IC-01 @2020]])=TRUE,Table1938[[#This Row],[IC-02]]=TRUE,Table1938[[#This Row],[IC-03]]=TRUE,Table1938[[#This Row],[IC-04]]=TRUE,Table1938[[#This Row],[IC-05]]=TRUE)</f>
        <v>0</v>
      </c>
      <c r="AC237" s="2" t="b">
        <f>AND(Table1938[[#This Row],[Pass-IC]]=TRUE,Table1938[[#This Row],[Pass-EC]]=TRUE)</f>
        <v>0</v>
      </c>
      <c r="AD237" s="2" t="b">
        <f>COUNTIF($D$25:D237, Table1938[[#This Row],[Title]]) = 1</f>
        <v>1</v>
      </c>
      <c r="AE237" s="2" t="b">
        <f>AND(Table1938[[#This Row],[IC + EC]:[Unique]])</f>
        <v>0</v>
      </c>
      <c r="AF237" s="2" t="b">
        <v>0</v>
      </c>
      <c r="AG237" s="2" t="b">
        <v>0</v>
      </c>
      <c r="AH237" s="2" t="b">
        <v>0</v>
      </c>
      <c r="AI237" s="2" t="b">
        <f>IF(AND(Table1938[[#This Row],[Double Check]]=TRUE,Table1938[[#This Row],[Inspected]]=TRUE,Table1938[[#This Row],[Relevant]]=TRUE),TRUE,FALSE)</f>
        <v>0</v>
      </c>
    </row>
    <row r="238" spans="1:35" ht="71.7" x14ac:dyDescent="0.5">
      <c r="A238" s="2">
        <v>237</v>
      </c>
      <c r="B238" s="20" t="s">
        <v>3</v>
      </c>
      <c r="C238" s="20" t="s">
        <v>3082</v>
      </c>
      <c r="D238" s="20" t="s">
        <v>2168</v>
      </c>
      <c r="E238" s="20" t="s">
        <v>2167</v>
      </c>
      <c r="F238" s="2" t="s">
        <v>2170</v>
      </c>
      <c r="G238" s="20" t="s">
        <v>920</v>
      </c>
      <c r="H238" s="36">
        <v>42343</v>
      </c>
      <c r="I238" s="20">
        <v>2015</v>
      </c>
      <c r="J238" s="20" t="s">
        <v>61</v>
      </c>
      <c r="K238" s="20" t="s">
        <v>3083</v>
      </c>
      <c r="L238" s="20" t="s">
        <v>2515</v>
      </c>
      <c r="M238" s="20" t="s">
        <v>2169</v>
      </c>
      <c r="N238" s="20" t="b">
        <v>1</v>
      </c>
      <c r="O238" s="2" t="b">
        <f>IF(Table1938[[#This Row],[Title]]="",TRUE,FALSE)</f>
        <v>0</v>
      </c>
      <c r="P238" s="2" t="b">
        <f>IF(Table1938[[#This Row],[Author]]="",TRUE,FALSE)</f>
        <v>0</v>
      </c>
      <c r="Q238" s="2" t="b">
        <f>IF(Table1938[[#This Row],[DOI]]&lt;&gt;"", FALSE,TRUE)</f>
        <v>0</v>
      </c>
      <c r="R238" s="2" t="b">
        <f>IF(Table1938[[#This Row],[Abstract]]="",TRUE,FALSE)</f>
        <v>0</v>
      </c>
      <c r="S238" s="2" t="b">
        <f>IF(OR(Table1938[[#This Row],[Document Type]]="book",Table1938[[#This Row],[Document Type]]="bookSection"),TRUE,FALSE)</f>
        <v>0</v>
      </c>
      <c r="T238" s="2" t="b">
        <f>NOT(IF(OR(Table1938[[#This Row],[Language]]&lt;&gt;"en",Table1938[[#This Row],[Language]]&lt;&gt;"EN",Table1938[[#This Row],[Language]]&lt;&gt;"spa",Table1938[[#This Row],[Language]]&lt;&gt;"SPA"),TRUE,FALSE))</f>
        <v>0</v>
      </c>
      <c r="U238" s="2" t="b">
        <f>IF(AND(Table1938[[#This Row],[EC-01]]=FALSE,Table1938[[#This Row],[EC-02]]=FALSE,Table1938[[#This Row],[EC-03]]=FALSE,Table1938[[#This Row],[EC-04]]=FALSE,Table1938[[#This Row],[EC-05]]=FALSE,Table1938[[#This Row],[EC-06]]=FALSE),TRUE,FALSE)</f>
        <v>1</v>
      </c>
      <c r="V238" s="2" t="b">
        <f>IF(Table1938[[#This Row],[Date]]&lt;&gt;"",AND(YEAR(Table1938[[#This Row],[Date]])&gt;=2010, YEAR(Table1938[[#This Row],[Date]])&lt;=2024),FALSE)</f>
        <v>1</v>
      </c>
      <c r="W238" s="2" t="b">
        <f>IF(Table1938[[#This Row],[Date]]&lt;&gt;"",AND(YEAR(Table1938[[#This Row],[Date]])&gt;=2010, YEAR(Table1938[[#This Row],[Date]])&lt;=2020),FALSE)</f>
        <v>1</v>
      </c>
      <c r="X238" s="2" t="b">
        <f>IF(AND(Table1938[[#This Row],[Accesible]]=TRUE,Table1938[[#This Row],[DOI]]&lt;&gt;""),TRUE,FALSE)</f>
        <v>1</v>
      </c>
      <c r="Y238" s="2" t="b">
        <f>OR(Table1938[[#This Row],[Document Type]]="journalArticle",Table1938[[#This Row],[Document Type]]="conferencePaper",Table1938[[#This Row],[Document Type]]="review")</f>
        <v>1</v>
      </c>
      <c r="Z238" s="2" t="b" cm="1">
        <f t="array" ref="Z238">SUMPRODUCT(--ISNUMBER(SEARCH({"dimensional analysis","dimensionless coefficients","Π","Pi","theorem","software","design","tools","development","architecture","similar"}, LOWER(Table1938[[#This Row],[Title]]))))&gt;0</f>
        <v>0</v>
      </c>
      <c r="AA238" s="2" t="b" cm="1">
        <f t="array" ref="AA238">SUMPRODUCT(--ISNUMBER(SEARCH({"dimensional analysis","dimensionless coefficients","Π","Pi","theorem","software","design","tools","development","architecture","similar"}, LOWER(Table1938[[#This Row],[Abstract]]))))&gt;0</f>
        <v>1</v>
      </c>
      <c r="AB238" s="2" t="b">
        <f>AND(OR(Table1938[[#This Row],[IC-01 @2024]:[IC-01 @2020]])=TRUE,Table1938[[#This Row],[IC-02]]=TRUE,Table1938[[#This Row],[IC-03]]=TRUE,Table1938[[#This Row],[IC-04]]=TRUE,Table1938[[#This Row],[IC-05]]=TRUE)</f>
        <v>0</v>
      </c>
      <c r="AC238" s="2" t="b">
        <f>AND(Table1938[[#This Row],[Pass-IC]]=TRUE,Table1938[[#This Row],[Pass-EC]]=TRUE)</f>
        <v>0</v>
      </c>
      <c r="AD238" s="2" t="b">
        <f>COUNTIF($D$25:D238, Table1938[[#This Row],[Title]]) = 1</f>
        <v>1</v>
      </c>
      <c r="AE238" s="2" t="b">
        <f>AND(Table1938[[#This Row],[IC + EC]:[Unique]])</f>
        <v>0</v>
      </c>
      <c r="AF238" s="2" t="b">
        <v>0</v>
      </c>
      <c r="AG238" s="2" t="b">
        <v>0</v>
      </c>
      <c r="AH238" s="2" t="b">
        <v>0</v>
      </c>
      <c r="AI238" s="2" t="b">
        <f>IF(AND(Table1938[[#This Row],[Double Check]]=TRUE,Table1938[[#This Row],[Inspected]]=TRUE,Table1938[[#This Row],[Relevant]]=TRUE),TRUE,FALSE)</f>
        <v>0</v>
      </c>
    </row>
    <row r="239" spans="1:35" ht="57.35" x14ac:dyDescent="0.5">
      <c r="A239" s="2">
        <v>238</v>
      </c>
      <c r="B239" s="20" t="s">
        <v>3</v>
      </c>
      <c r="C239" s="20" t="s">
        <v>3084</v>
      </c>
      <c r="D239" s="20" t="s">
        <v>1046</v>
      </c>
      <c r="E239" s="20" t="s">
        <v>1045</v>
      </c>
      <c r="F239" s="2" t="s">
        <v>1049</v>
      </c>
      <c r="G239" s="20" t="s">
        <v>1047</v>
      </c>
      <c r="H239" s="36">
        <v>45566</v>
      </c>
      <c r="I239" s="20">
        <v>2024</v>
      </c>
      <c r="J239" s="20" t="s">
        <v>61</v>
      </c>
      <c r="K239" s="20" t="s">
        <v>3085</v>
      </c>
      <c r="L239" s="20" t="s">
        <v>2515</v>
      </c>
      <c r="M239" s="20" t="s">
        <v>1048</v>
      </c>
      <c r="N239" s="20" t="b">
        <v>1</v>
      </c>
      <c r="O239" s="2" t="b">
        <f>IF(Table1938[[#This Row],[Title]]="",TRUE,FALSE)</f>
        <v>0</v>
      </c>
      <c r="P239" s="2" t="b">
        <f>IF(Table1938[[#This Row],[Author]]="",TRUE,FALSE)</f>
        <v>0</v>
      </c>
      <c r="Q239" s="2" t="b">
        <f>IF(Table1938[[#This Row],[DOI]]&lt;&gt;"", FALSE,TRUE)</f>
        <v>0</v>
      </c>
      <c r="R239" s="2" t="b">
        <f>IF(Table1938[[#This Row],[Abstract]]="",TRUE,FALSE)</f>
        <v>0</v>
      </c>
      <c r="S239" s="2" t="b">
        <f>IF(OR(Table1938[[#This Row],[Document Type]]="book",Table1938[[#This Row],[Document Type]]="bookSection"),TRUE,FALSE)</f>
        <v>0</v>
      </c>
      <c r="T239" s="2" t="b">
        <f>NOT(IF(OR(Table1938[[#This Row],[Language]]&lt;&gt;"en",Table1938[[#This Row],[Language]]&lt;&gt;"EN",Table1938[[#This Row],[Language]]&lt;&gt;"spa",Table1938[[#This Row],[Language]]&lt;&gt;"SPA"),TRUE,FALSE))</f>
        <v>0</v>
      </c>
      <c r="U239" s="2" t="b">
        <f>IF(AND(Table1938[[#This Row],[EC-01]]=FALSE,Table1938[[#This Row],[EC-02]]=FALSE,Table1938[[#This Row],[EC-03]]=FALSE,Table1938[[#This Row],[EC-04]]=FALSE,Table1938[[#This Row],[EC-05]]=FALSE,Table1938[[#This Row],[EC-06]]=FALSE),TRUE,FALSE)</f>
        <v>1</v>
      </c>
      <c r="V239" s="2" t="b">
        <f>IF(Table1938[[#This Row],[Date]]&lt;&gt;"",AND(YEAR(Table1938[[#This Row],[Date]])&gt;=2010, YEAR(Table1938[[#This Row],[Date]])&lt;=2024),FALSE)</f>
        <v>1</v>
      </c>
      <c r="W239" s="2" t="b">
        <f>IF(Table1938[[#This Row],[Date]]&lt;&gt;"",AND(YEAR(Table1938[[#This Row],[Date]])&gt;=2010, YEAR(Table1938[[#This Row],[Date]])&lt;=2020),FALSE)</f>
        <v>0</v>
      </c>
      <c r="X239" s="2" t="b">
        <f>IF(AND(Table1938[[#This Row],[Accesible]]=TRUE,Table1938[[#This Row],[DOI]]&lt;&gt;""),TRUE,FALSE)</f>
        <v>1</v>
      </c>
      <c r="Y239" s="2" t="b">
        <f>OR(Table1938[[#This Row],[Document Type]]="journalArticle",Table1938[[#This Row],[Document Type]]="conferencePaper",Table1938[[#This Row],[Document Type]]="review")</f>
        <v>1</v>
      </c>
      <c r="Z239" s="2" t="b" cm="1">
        <f t="array" ref="Z239">SUMPRODUCT(--ISNUMBER(SEARCH({"dimensional analysis","dimensionless coefficients","Π","Pi","theorem","software","design","tools","development","architecture","similar"}, LOWER(Table1938[[#This Row],[Title]]))))&gt;0</f>
        <v>0</v>
      </c>
      <c r="AA239" s="2" t="b" cm="1">
        <f t="array" ref="AA239">SUMPRODUCT(--ISNUMBER(SEARCH({"dimensional analysis","dimensionless coefficients","Π","Pi","theorem","software","design","tools","development","architecture","similar"}, LOWER(Table1938[[#This Row],[Abstract]]))))&gt;0</f>
        <v>1</v>
      </c>
      <c r="AB239" s="2" t="b">
        <f>AND(OR(Table1938[[#This Row],[IC-01 @2024]:[IC-01 @2020]])=TRUE,Table1938[[#This Row],[IC-02]]=TRUE,Table1938[[#This Row],[IC-03]]=TRUE,Table1938[[#This Row],[IC-04]]=TRUE,Table1938[[#This Row],[IC-05]]=TRUE)</f>
        <v>0</v>
      </c>
      <c r="AC239" s="2" t="b">
        <f>AND(Table1938[[#This Row],[Pass-IC]]=TRUE,Table1938[[#This Row],[Pass-EC]]=TRUE)</f>
        <v>0</v>
      </c>
      <c r="AD239" s="2" t="b">
        <f>COUNTIF($D$25:D239, Table1938[[#This Row],[Title]]) = 1</f>
        <v>1</v>
      </c>
      <c r="AE239" s="2" t="b">
        <f>AND(Table1938[[#This Row],[IC + EC]:[Unique]])</f>
        <v>0</v>
      </c>
      <c r="AF239" s="2" t="b">
        <v>0</v>
      </c>
      <c r="AG239" s="2" t="b">
        <v>0</v>
      </c>
      <c r="AH239" s="2" t="b">
        <v>0</v>
      </c>
      <c r="AI239" s="2" t="b">
        <f>IF(AND(Table1938[[#This Row],[Double Check]]=TRUE,Table1938[[#This Row],[Inspected]]=TRUE,Table1938[[#This Row],[Relevant]]=TRUE),TRUE,FALSE)</f>
        <v>0</v>
      </c>
    </row>
    <row r="240" spans="1:35" ht="71.7" x14ac:dyDescent="0.5">
      <c r="A240" s="2">
        <v>239</v>
      </c>
      <c r="B240" s="20" t="s">
        <v>3</v>
      </c>
      <c r="C240" s="20" t="s">
        <v>3086</v>
      </c>
      <c r="D240" s="20" t="s">
        <v>1624</v>
      </c>
      <c r="E240" s="20" t="s">
        <v>1623</v>
      </c>
      <c r="F240" s="2" t="s">
        <v>1626</v>
      </c>
      <c r="G240" s="20" t="s">
        <v>938</v>
      </c>
      <c r="H240" s="36">
        <v>44562</v>
      </c>
      <c r="I240" s="20">
        <v>2022</v>
      </c>
      <c r="J240" s="20" t="s">
        <v>61</v>
      </c>
      <c r="K240" s="20" t="s">
        <v>3087</v>
      </c>
      <c r="L240" s="20" t="s">
        <v>2515</v>
      </c>
      <c r="M240" s="20" t="s">
        <v>1625</v>
      </c>
      <c r="N240" s="20" t="b">
        <v>1</v>
      </c>
      <c r="O240" s="2" t="b">
        <f>IF(Table1938[[#This Row],[Title]]="",TRUE,FALSE)</f>
        <v>0</v>
      </c>
      <c r="P240" s="2" t="b">
        <f>IF(Table1938[[#This Row],[Author]]="",TRUE,FALSE)</f>
        <v>0</v>
      </c>
      <c r="Q240" s="2" t="b">
        <f>IF(Table1938[[#This Row],[DOI]]&lt;&gt;"", FALSE,TRUE)</f>
        <v>0</v>
      </c>
      <c r="R240" s="2" t="b">
        <f>IF(Table1938[[#This Row],[Abstract]]="",TRUE,FALSE)</f>
        <v>0</v>
      </c>
      <c r="S240" s="2" t="b">
        <f>IF(OR(Table1938[[#This Row],[Document Type]]="book",Table1938[[#This Row],[Document Type]]="bookSection"),TRUE,FALSE)</f>
        <v>0</v>
      </c>
      <c r="T240" s="2" t="b">
        <f>NOT(IF(OR(Table1938[[#This Row],[Language]]&lt;&gt;"en",Table1938[[#This Row],[Language]]&lt;&gt;"EN",Table1938[[#This Row],[Language]]&lt;&gt;"spa",Table1938[[#This Row],[Language]]&lt;&gt;"SPA"),TRUE,FALSE))</f>
        <v>0</v>
      </c>
      <c r="U240" s="2" t="b">
        <f>IF(AND(Table1938[[#This Row],[EC-01]]=FALSE,Table1938[[#This Row],[EC-02]]=FALSE,Table1938[[#This Row],[EC-03]]=FALSE,Table1938[[#This Row],[EC-04]]=FALSE,Table1938[[#This Row],[EC-05]]=FALSE,Table1938[[#This Row],[EC-06]]=FALSE),TRUE,FALSE)</f>
        <v>1</v>
      </c>
      <c r="V240" s="2" t="b">
        <f>IF(Table1938[[#This Row],[Date]]&lt;&gt;"",AND(YEAR(Table1938[[#This Row],[Date]])&gt;=2010, YEAR(Table1938[[#This Row],[Date]])&lt;=2024),FALSE)</f>
        <v>1</v>
      </c>
      <c r="W240" s="2" t="b">
        <f>IF(Table1938[[#This Row],[Date]]&lt;&gt;"",AND(YEAR(Table1938[[#This Row],[Date]])&gt;=2010, YEAR(Table1938[[#This Row],[Date]])&lt;=2020),FALSE)</f>
        <v>0</v>
      </c>
      <c r="X240" s="2" t="b">
        <f>IF(AND(Table1938[[#This Row],[Accesible]]=TRUE,Table1938[[#This Row],[DOI]]&lt;&gt;""),TRUE,FALSE)</f>
        <v>1</v>
      </c>
      <c r="Y240" s="2" t="b">
        <f>OR(Table1938[[#This Row],[Document Type]]="journalArticle",Table1938[[#This Row],[Document Type]]="conferencePaper",Table1938[[#This Row],[Document Type]]="review")</f>
        <v>1</v>
      </c>
      <c r="Z240" s="2" t="b" cm="1">
        <f t="array" ref="Z240">SUMPRODUCT(--ISNUMBER(SEARCH({"dimensional analysis","dimensionless coefficients","Π","Pi","theorem","software","design","tools","development","architecture","similar"}, LOWER(Table1938[[#This Row],[Title]]))))&gt;0</f>
        <v>0</v>
      </c>
      <c r="AA240" s="2" t="b" cm="1">
        <f t="array" ref="AA240">SUMPRODUCT(--ISNUMBER(SEARCH({"dimensional analysis","dimensionless coefficients","Π","Pi","theorem","software","design","tools","development","architecture","similar"}, LOWER(Table1938[[#This Row],[Abstract]]))))&gt;0</f>
        <v>1</v>
      </c>
      <c r="AB240" s="2" t="b">
        <f>AND(OR(Table1938[[#This Row],[IC-01 @2024]:[IC-01 @2020]])=TRUE,Table1938[[#This Row],[IC-02]]=TRUE,Table1938[[#This Row],[IC-03]]=TRUE,Table1938[[#This Row],[IC-04]]=TRUE,Table1938[[#This Row],[IC-05]]=TRUE)</f>
        <v>0</v>
      </c>
      <c r="AC240" s="2" t="b">
        <f>AND(Table1938[[#This Row],[Pass-IC]]=TRUE,Table1938[[#This Row],[Pass-EC]]=TRUE)</f>
        <v>0</v>
      </c>
      <c r="AD240" s="2" t="b">
        <f>COUNTIF($D$25:D240, Table1938[[#This Row],[Title]]) = 1</f>
        <v>1</v>
      </c>
      <c r="AE240" s="2" t="b">
        <f>AND(Table1938[[#This Row],[IC + EC]:[Unique]])</f>
        <v>0</v>
      </c>
      <c r="AF240" s="2" t="b">
        <v>0</v>
      </c>
      <c r="AG240" s="2" t="b">
        <v>0</v>
      </c>
      <c r="AH240" s="2" t="b">
        <v>0</v>
      </c>
      <c r="AI240" s="2" t="b">
        <f>IF(AND(Table1938[[#This Row],[Double Check]]=TRUE,Table1938[[#This Row],[Inspected]]=TRUE,Table1938[[#This Row],[Relevant]]=TRUE),TRUE,FALSE)</f>
        <v>0</v>
      </c>
    </row>
    <row r="241" spans="1:35" ht="71.7" x14ac:dyDescent="0.5">
      <c r="A241" s="2">
        <v>240</v>
      </c>
      <c r="B241" s="20" t="s">
        <v>3</v>
      </c>
      <c r="C241" s="20" t="s">
        <v>3088</v>
      </c>
      <c r="D241" s="20" t="s">
        <v>1946</v>
      </c>
      <c r="E241" s="20" t="s">
        <v>1945</v>
      </c>
      <c r="F241" s="2" t="s">
        <v>1948</v>
      </c>
      <c r="G241" s="20" t="s">
        <v>967</v>
      </c>
      <c r="H241" s="36">
        <v>44531</v>
      </c>
      <c r="I241" s="20">
        <v>2021</v>
      </c>
      <c r="J241" s="20" t="s">
        <v>61</v>
      </c>
      <c r="K241" s="20" t="s">
        <v>3089</v>
      </c>
      <c r="L241" s="20" t="s">
        <v>2515</v>
      </c>
      <c r="M241" s="20" t="s">
        <v>1947</v>
      </c>
      <c r="N241" s="20" t="b">
        <v>1</v>
      </c>
      <c r="O241" s="2" t="b">
        <f>IF(Table1938[[#This Row],[Title]]="",TRUE,FALSE)</f>
        <v>0</v>
      </c>
      <c r="P241" s="2" t="b">
        <f>IF(Table1938[[#This Row],[Author]]="",TRUE,FALSE)</f>
        <v>0</v>
      </c>
      <c r="Q241" s="2" t="b">
        <f>IF(Table1938[[#This Row],[DOI]]&lt;&gt;"", FALSE,TRUE)</f>
        <v>0</v>
      </c>
      <c r="R241" s="2" t="b">
        <f>IF(Table1938[[#This Row],[Abstract]]="",TRUE,FALSE)</f>
        <v>0</v>
      </c>
      <c r="S241" s="2" t="b">
        <f>IF(OR(Table1938[[#This Row],[Document Type]]="book",Table1938[[#This Row],[Document Type]]="bookSection"),TRUE,FALSE)</f>
        <v>0</v>
      </c>
      <c r="T241" s="2" t="b">
        <f>NOT(IF(OR(Table1938[[#This Row],[Language]]&lt;&gt;"en",Table1938[[#This Row],[Language]]&lt;&gt;"EN",Table1938[[#This Row],[Language]]&lt;&gt;"spa",Table1938[[#This Row],[Language]]&lt;&gt;"SPA"),TRUE,FALSE))</f>
        <v>0</v>
      </c>
      <c r="U241" s="2" t="b">
        <f>IF(AND(Table1938[[#This Row],[EC-01]]=FALSE,Table1938[[#This Row],[EC-02]]=FALSE,Table1938[[#This Row],[EC-03]]=FALSE,Table1938[[#This Row],[EC-04]]=FALSE,Table1938[[#This Row],[EC-05]]=FALSE,Table1938[[#This Row],[EC-06]]=FALSE),TRUE,FALSE)</f>
        <v>1</v>
      </c>
      <c r="V241" s="2" t="b">
        <f>IF(Table1938[[#This Row],[Date]]&lt;&gt;"",AND(YEAR(Table1938[[#This Row],[Date]])&gt;=2010, YEAR(Table1938[[#This Row],[Date]])&lt;=2024),FALSE)</f>
        <v>1</v>
      </c>
      <c r="W241" s="2" t="b">
        <f>IF(Table1938[[#This Row],[Date]]&lt;&gt;"",AND(YEAR(Table1938[[#This Row],[Date]])&gt;=2010, YEAR(Table1938[[#This Row],[Date]])&lt;=2020),FALSE)</f>
        <v>0</v>
      </c>
      <c r="X241" s="2" t="b">
        <f>IF(AND(Table1938[[#This Row],[Accesible]]=TRUE,Table1938[[#This Row],[DOI]]&lt;&gt;""),TRUE,FALSE)</f>
        <v>1</v>
      </c>
      <c r="Y241" s="2" t="b">
        <f>OR(Table1938[[#This Row],[Document Type]]="journalArticle",Table1938[[#This Row],[Document Type]]="conferencePaper",Table1938[[#This Row],[Document Type]]="review")</f>
        <v>1</v>
      </c>
      <c r="Z241" s="2" t="b" cm="1">
        <f t="array" ref="Z241">SUMPRODUCT(--ISNUMBER(SEARCH({"dimensional analysis","dimensionless coefficients","Π","Pi","theorem","software","design","tools","development","architecture","similar"}, LOWER(Table1938[[#This Row],[Title]]))))&gt;0</f>
        <v>1</v>
      </c>
      <c r="AA241" s="2" t="b" cm="1">
        <f t="array" ref="AA241">SUMPRODUCT(--ISNUMBER(SEARCH({"dimensional analysis","dimensionless coefficients","Π","Pi","theorem","software","design","tools","development","architecture","similar"}, LOWER(Table1938[[#This Row],[Abstract]]))))&gt;0</f>
        <v>1</v>
      </c>
      <c r="AB241" s="2" t="b">
        <f>AND(OR(Table1938[[#This Row],[IC-01 @2024]:[IC-01 @2020]])=TRUE,Table1938[[#This Row],[IC-02]]=TRUE,Table1938[[#This Row],[IC-03]]=TRUE,Table1938[[#This Row],[IC-04]]=TRUE,Table1938[[#This Row],[IC-05]]=TRUE)</f>
        <v>1</v>
      </c>
      <c r="AC241" s="2" t="b">
        <f>AND(Table1938[[#This Row],[Pass-IC]]=TRUE,Table1938[[#This Row],[Pass-EC]]=TRUE)</f>
        <v>1</v>
      </c>
      <c r="AD241" s="2" t="b">
        <f>COUNTIF($D$25:D241, Table1938[[#This Row],[Title]]) = 1</f>
        <v>1</v>
      </c>
      <c r="AE241" s="2" t="b">
        <f>AND(Table1938[[#This Row],[IC + EC]:[Unique]])</f>
        <v>1</v>
      </c>
      <c r="AF241" s="2" t="b">
        <v>1</v>
      </c>
      <c r="AG241" s="2" t="b">
        <v>0</v>
      </c>
      <c r="AH241" s="2" t="b">
        <v>0</v>
      </c>
      <c r="AI241" s="2" t="b">
        <f>IF(AND(Table1938[[#This Row],[Double Check]]=TRUE,Table1938[[#This Row],[Inspected]]=TRUE,Table1938[[#This Row],[Relevant]]=TRUE),TRUE,FALSE)</f>
        <v>0</v>
      </c>
    </row>
    <row r="242" spans="1:35" ht="71.7" x14ac:dyDescent="0.5">
      <c r="A242" s="2">
        <v>241</v>
      </c>
      <c r="B242" s="20" t="s">
        <v>3</v>
      </c>
      <c r="C242" s="20" t="s">
        <v>3090</v>
      </c>
      <c r="D242" s="20" t="s">
        <v>1312</v>
      </c>
      <c r="E242" s="20" t="s">
        <v>1311</v>
      </c>
      <c r="F242" s="2" t="s">
        <v>1314</v>
      </c>
      <c r="G242" s="20" t="s">
        <v>1002</v>
      </c>
      <c r="H242" s="36">
        <v>44652</v>
      </c>
      <c r="I242" s="20">
        <v>2022</v>
      </c>
      <c r="J242" s="20" t="s">
        <v>61</v>
      </c>
      <c r="K242" s="20" t="s">
        <v>3091</v>
      </c>
      <c r="L242" s="20" t="s">
        <v>2515</v>
      </c>
      <c r="M242" s="20" t="s">
        <v>1313</v>
      </c>
      <c r="N242" s="20" t="b">
        <v>1</v>
      </c>
      <c r="O242" s="2" t="b">
        <f>IF(Table1938[[#This Row],[Title]]="",TRUE,FALSE)</f>
        <v>0</v>
      </c>
      <c r="P242" s="2" t="b">
        <f>IF(Table1938[[#This Row],[Author]]="",TRUE,FALSE)</f>
        <v>0</v>
      </c>
      <c r="Q242" s="2" t="b">
        <f>IF(Table1938[[#This Row],[DOI]]&lt;&gt;"", FALSE,TRUE)</f>
        <v>0</v>
      </c>
      <c r="R242" s="2" t="b">
        <f>IF(Table1938[[#This Row],[Abstract]]="",TRUE,FALSE)</f>
        <v>0</v>
      </c>
      <c r="S242" s="2" t="b">
        <f>IF(OR(Table1938[[#This Row],[Document Type]]="book",Table1938[[#This Row],[Document Type]]="bookSection"),TRUE,FALSE)</f>
        <v>0</v>
      </c>
      <c r="T242" s="2" t="b">
        <f>NOT(IF(OR(Table1938[[#This Row],[Language]]&lt;&gt;"en",Table1938[[#This Row],[Language]]&lt;&gt;"EN",Table1938[[#This Row],[Language]]&lt;&gt;"spa",Table1938[[#This Row],[Language]]&lt;&gt;"SPA"),TRUE,FALSE))</f>
        <v>0</v>
      </c>
      <c r="U242" s="2" t="b">
        <f>IF(AND(Table1938[[#This Row],[EC-01]]=FALSE,Table1938[[#This Row],[EC-02]]=FALSE,Table1938[[#This Row],[EC-03]]=FALSE,Table1938[[#This Row],[EC-04]]=FALSE,Table1938[[#This Row],[EC-05]]=FALSE,Table1938[[#This Row],[EC-06]]=FALSE),TRUE,FALSE)</f>
        <v>1</v>
      </c>
      <c r="V242" s="2" t="b">
        <f>IF(Table1938[[#This Row],[Date]]&lt;&gt;"",AND(YEAR(Table1938[[#This Row],[Date]])&gt;=2010, YEAR(Table1938[[#This Row],[Date]])&lt;=2024),FALSE)</f>
        <v>1</v>
      </c>
      <c r="W242" s="2" t="b">
        <f>IF(Table1938[[#This Row],[Date]]&lt;&gt;"",AND(YEAR(Table1938[[#This Row],[Date]])&gt;=2010, YEAR(Table1938[[#This Row],[Date]])&lt;=2020),FALSE)</f>
        <v>0</v>
      </c>
      <c r="X242" s="2" t="b">
        <f>IF(AND(Table1938[[#This Row],[Accesible]]=TRUE,Table1938[[#This Row],[DOI]]&lt;&gt;""),TRUE,FALSE)</f>
        <v>1</v>
      </c>
      <c r="Y242" s="2" t="b">
        <f>OR(Table1938[[#This Row],[Document Type]]="journalArticle",Table1938[[#This Row],[Document Type]]="conferencePaper",Table1938[[#This Row],[Document Type]]="review")</f>
        <v>1</v>
      </c>
      <c r="Z242" s="2" t="b" cm="1">
        <f t="array" ref="Z242">SUMPRODUCT(--ISNUMBER(SEARCH({"dimensional analysis","dimensionless coefficients","Π","Pi","theorem","software","design","tools","development","architecture","similar"}, LOWER(Table1938[[#This Row],[Title]]))))&gt;0</f>
        <v>1</v>
      </c>
      <c r="AA242" s="2" t="b" cm="1">
        <f t="array" ref="AA242">SUMPRODUCT(--ISNUMBER(SEARCH({"dimensional analysis","dimensionless coefficients","Π","Pi","theorem","software","design","tools","development","architecture","similar"}, LOWER(Table1938[[#This Row],[Abstract]]))))&gt;0</f>
        <v>1</v>
      </c>
      <c r="AB242" s="2" t="b">
        <f>AND(OR(Table1938[[#This Row],[IC-01 @2024]:[IC-01 @2020]])=TRUE,Table1938[[#This Row],[IC-02]]=TRUE,Table1938[[#This Row],[IC-03]]=TRUE,Table1938[[#This Row],[IC-04]]=TRUE,Table1938[[#This Row],[IC-05]]=TRUE)</f>
        <v>1</v>
      </c>
      <c r="AC242" s="2" t="b">
        <f>AND(Table1938[[#This Row],[Pass-IC]]=TRUE,Table1938[[#This Row],[Pass-EC]]=TRUE)</f>
        <v>1</v>
      </c>
      <c r="AD242" s="2" t="b">
        <f>COUNTIF($D$25:D242, Table1938[[#This Row],[Title]]) = 1</f>
        <v>1</v>
      </c>
      <c r="AE242" s="2" t="b">
        <f>AND(Table1938[[#This Row],[IC + EC]:[Unique]])</f>
        <v>1</v>
      </c>
      <c r="AF242" s="2" t="b">
        <v>1</v>
      </c>
      <c r="AG242" s="2" t="b">
        <v>0</v>
      </c>
      <c r="AH242" s="2" t="b">
        <v>0</v>
      </c>
      <c r="AI242" s="2" t="b">
        <f>IF(AND(Table1938[[#This Row],[Double Check]]=TRUE,Table1938[[#This Row],[Inspected]]=TRUE,Table1938[[#This Row],[Relevant]]=TRUE),TRUE,FALSE)</f>
        <v>0</v>
      </c>
    </row>
    <row r="243" spans="1:35" ht="43" x14ac:dyDescent="0.5">
      <c r="A243" s="2">
        <v>242</v>
      </c>
      <c r="B243" s="20" t="s">
        <v>3</v>
      </c>
      <c r="C243" s="20" t="s">
        <v>3092</v>
      </c>
      <c r="D243" s="20" t="s">
        <v>1561</v>
      </c>
      <c r="E243" s="20" t="s">
        <v>1560</v>
      </c>
      <c r="F243" s="2" t="s">
        <v>1563</v>
      </c>
      <c r="G243" s="20" t="s">
        <v>1516</v>
      </c>
      <c r="H243" s="36">
        <v>43221</v>
      </c>
      <c r="I243" s="20">
        <v>2018</v>
      </c>
      <c r="J243" s="20" t="s">
        <v>61</v>
      </c>
      <c r="K243" s="20" t="s">
        <v>3093</v>
      </c>
      <c r="L243" s="20" t="s">
        <v>2515</v>
      </c>
      <c r="M243" s="20" t="s">
        <v>1562</v>
      </c>
      <c r="N243" s="20" t="b">
        <v>1</v>
      </c>
      <c r="O243" s="2" t="b">
        <f>IF(Table1938[[#This Row],[Title]]="",TRUE,FALSE)</f>
        <v>0</v>
      </c>
      <c r="P243" s="2" t="b">
        <f>IF(Table1938[[#This Row],[Author]]="",TRUE,FALSE)</f>
        <v>0</v>
      </c>
      <c r="Q243" s="2" t="b">
        <f>IF(Table1938[[#This Row],[DOI]]&lt;&gt;"", FALSE,TRUE)</f>
        <v>0</v>
      </c>
      <c r="R243" s="2" t="b">
        <f>IF(Table1938[[#This Row],[Abstract]]="",TRUE,FALSE)</f>
        <v>0</v>
      </c>
      <c r="S243" s="2" t="b">
        <f>IF(OR(Table1938[[#This Row],[Document Type]]="book",Table1938[[#This Row],[Document Type]]="bookSection"),TRUE,FALSE)</f>
        <v>0</v>
      </c>
      <c r="T243" s="2" t="b">
        <f>NOT(IF(OR(Table1938[[#This Row],[Language]]&lt;&gt;"en",Table1938[[#This Row],[Language]]&lt;&gt;"EN",Table1938[[#This Row],[Language]]&lt;&gt;"spa",Table1938[[#This Row],[Language]]&lt;&gt;"SPA"),TRUE,FALSE))</f>
        <v>0</v>
      </c>
      <c r="U243" s="2" t="b">
        <f>IF(AND(Table1938[[#This Row],[EC-01]]=FALSE,Table1938[[#This Row],[EC-02]]=FALSE,Table1938[[#This Row],[EC-03]]=FALSE,Table1938[[#This Row],[EC-04]]=FALSE,Table1938[[#This Row],[EC-05]]=FALSE,Table1938[[#This Row],[EC-06]]=FALSE),TRUE,FALSE)</f>
        <v>1</v>
      </c>
      <c r="V243" s="2" t="b">
        <f>IF(Table1938[[#This Row],[Date]]&lt;&gt;"",AND(YEAR(Table1938[[#This Row],[Date]])&gt;=2010, YEAR(Table1938[[#This Row],[Date]])&lt;=2024),FALSE)</f>
        <v>1</v>
      </c>
      <c r="W243" s="2" t="b">
        <f>IF(Table1938[[#This Row],[Date]]&lt;&gt;"",AND(YEAR(Table1938[[#This Row],[Date]])&gt;=2010, YEAR(Table1938[[#This Row],[Date]])&lt;=2020),FALSE)</f>
        <v>1</v>
      </c>
      <c r="X243" s="2" t="b">
        <f>IF(AND(Table1938[[#This Row],[Accesible]]=TRUE,Table1938[[#This Row],[DOI]]&lt;&gt;""),TRUE,FALSE)</f>
        <v>1</v>
      </c>
      <c r="Y243" s="2" t="b">
        <f>OR(Table1938[[#This Row],[Document Type]]="journalArticle",Table1938[[#This Row],[Document Type]]="conferencePaper",Table1938[[#This Row],[Document Type]]="review")</f>
        <v>1</v>
      </c>
      <c r="Z243" s="2" t="b" cm="1">
        <f t="array" ref="Z243">SUMPRODUCT(--ISNUMBER(SEARCH({"dimensional analysis","dimensionless coefficients","Π","Pi","theorem","software","design","tools","development","architecture","similar"}, LOWER(Table1938[[#This Row],[Title]]))))&gt;0</f>
        <v>0</v>
      </c>
      <c r="AA243" s="2" t="b" cm="1">
        <f t="array" ref="AA243">SUMPRODUCT(--ISNUMBER(SEARCH({"dimensional analysis","dimensionless coefficients","Π","Pi","theorem","software","design","tools","development","architecture","similar"}, LOWER(Table1938[[#This Row],[Abstract]]))))&gt;0</f>
        <v>1</v>
      </c>
      <c r="AB243" s="2" t="b">
        <f>AND(OR(Table1938[[#This Row],[IC-01 @2024]:[IC-01 @2020]])=TRUE,Table1938[[#This Row],[IC-02]]=TRUE,Table1938[[#This Row],[IC-03]]=TRUE,Table1938[[#This Row],[IC-04]]=TRUE,Table1938[[#This Row],[IC-05]]=TRUE)</f>
        <v>0</v>
      </c>
      <c r="AC243" s="2" t="b">
        <f>AND(Table1938[[#This Row],[Pass-IC]]=TRUE,Table1938[[#This Row],[Pass-EC]]=TRUE)</f>
        <v>0</v>
      </c>
      <c r="AD243" s="2" t="b">
        <f>COUNTIF($D$25:D243, Table1938[[#This Row],[Title]]) = 1</f>
        <v>1</v>
      </c>
      <c r="AE243" s="2" t="b">
        <f>AND(Table1938[[#This Row],[IC + EC]:[Unique]])</f>
        <v>0</v>
      </c>
      <c r="AF243" s="2" t="b">
        <v>0</v>
      </c>
      <c r="AG243" s="2" t="b">
        <v>0</v>
      </c>
      <c r="AH243" s="2" t="b">
        <v>0</v>
      </c>
      <c r="AI243" s="2" t="b">
        <f>IF(AND(Table1938[[#This Row],[Double Check]]=TRUE,Table1938[[#This Row],[Inspected]]=TRUE,Table1938[[#This Row],[Relevant]]=TRUE),TRUE,FALSE)</f>
        <v>0</v>
      </c>
    </row>
    <row r="244" spans="1:35" ht="86" x14ac:dyDescent="0.5">
      <c r="A244" s="2">
        <v>243</v>
      </c>
      <c r="B244" s="20" t="s">
        <v>3</v>
      </c>
      <c r="C244" s="20" t="s">
        <v>3094</v>
      </c>
      <c r="D244" s="20" t="s">
        <v>309</v>
      </c>
      <c r="E244" s="20" t="s">
        <v>334</v>
      </c>
      <c r="F244" s="2" t="s">
        <v>359</v>
      </c>
      <c r="G244" s="20" t="s">
        <v>994</v>
      </c>
      <c r="H244" s="36">
        <v>44896</v>
      </c>
      <c r="I244" s="20">
        <v>2022</v>
      </c>
      <c r="J244" s="20" t="s">
        <v>61</v>
      </c>
      <c r="K244" s="20" t="s">
        <v>3095</v>
      </c>
      <c r="L244" s="20" t="s">
        <v>2515</v>
      </c>
      <c r="M244" s="20" t="s">
        <v>384</v>
      </c>
      <c r="N244" s="20" t="b">
        <v>1</v>
      </c>
      <c r="O244" s="2" t="b">
        <f>IF(Table1938[[#This Row],[Title]]="",TRUE,FALSE)</f>
        <v>0</v>
      </c>
      <c r="P244" s="2" t="b">
        <f>IF(Table1938[[#This Row],[Author]]="",TRUE,FALSE)</f>
        <v>0</v>
      </c>
      <c r="Q244" s="2" t="b">
        <f>IF(Table1938[[#This Row],[DOI]]&lt;&gt;"", FALSE,TRUE)</f>
        <v>0</v>
      </c>
      <c r="R244" s="2" t="b">
        <f>IF(Table1938[[#This Row],[Abstract]]="",TRUE,FALSE)</f>
        <v>0</v>
      </c>
      <c r="S244" s="2" t="b">
        <f>IF(OR(Table1938[[#This Row],[Document Type]]="book",Table1938[[#This Row],[Document Type]]="bookSection"),TRUE,FALSE)</f>
        <v>0</v>
      </c>
      <c r="T244" s="2" t="b">
        <f>NOT(IF(OR(Table1938[[#This Row],[Language]]&lt;&gt;"en",Table1938[[#This Row],[Language]]&lt;&gt;"EN",Table1938[[#This Row],[Language]]&lt;&gt;"spa",Table1938[[#This Row],[Language]]&lt;&gt;"SPA"),TRUE,FALSE))</f>
        <v>0</v>
      </c>
      <c r="U244" s="2" t="b">
        <f>IF(AND(Table1938[[#This Row],[EC-01]]=FALSE,Table1938[[#This Row],[EC-02]]=FALSE,Table1938[[#This Row],[EC-03]]=FALSE,Table1938[[#This Row],[EC-04]]=FALSE,Table1938[[#This Row],[EC-05]]=FALSE,Table1938[[#This Row],[EC-06]]=FALSE),TRUE,FALSE)</f>
        <v>1</v>
      </c>
      <c r="V244" s="2" t="b">
        <f>IF(Table1938[[#This Row],[Date]]&lt;&gt;"",AND(YEAR(Table1938[[#This Row],[Date]])&gt;=2010, YEAR(Table1938[[#This Row],[Date]])&lt;=2024),FALSE)</f>
        <v>1</v>
      </c>
      <c r="W244" s="2" t="b">
        <f>IF(Table1938[[#This Row],[Date]]&lt;&gt;"",AND(YEAR(Table1938[[#This Row],[Date]])&gt;=2010, YEAR(Table1938[[#This Row],[Date]])&lt;=2020),FALSE)</f>
        <v>0</v>
      </c>
      <c r="X244" s="2" t="b">
        <f>IF(AND(Table1938[[#This Row],[Accesible]]=TRUE,Table1938[[#This Row],[DOI]]&lt;&gt;""),TRUE,FALSE)</f>
        <v>1</v>
      </c>
      <c r="Y244" s="2" t="b">
        <f>OR(Table1938[[#This Row],[Document Type]]="journalArticle",Table1938[[#This Row],[Document Type]]="conferencePaper",Table1938[[#This Row],[Document Type]]="review")</f>
        <v>1</v>
      </c>
      <c r="Z244" s="2" t="b" cm="1">
        <f t="array" ref="Z244">SUMPRODUCT(--ISNUMBER(SEARCH({"dimensional analysis","dimensionless coefficients","Π","Pi","theorem","software","design","tools","development","architecture","similar"}, LOWER(Table1938[[#This Row],[Title]]))))&gt;0</f>
        <v>1</v>
      </c>
      <c r="AA244" s="2" t="b" cm="1">
        <f t="array" ref="AA244">SUMPRODUCT(--ISNUMBER(SEARCH({"dimensional analysis","dimensionless coefficients","Π","Pi","theorem","software","design","tools","development","architecture","similar"}, LOWER(Table1938[[#This Row],[Abstract]]))))&gt;0</f>
        <v>0</v>
      </c>
      <c r="AB244" s="2" t="b">
        <f>AND(OR(Table1938[[#This Row],[IC-01 @2024]:[IC-01 @2020]])=TRUE,Table1938[[#This Row],[IC-02]]=TRUE,Table1938[[#This Row],[IC-03]]=TRUE,Table1938[[#This Row],[IC-04]]=TRUE,Table1938[[#This Row],[IC-05]]=TRUE)</f>
        <v>0</v>
      </c>
      <c r="AC244" s="2" t="b">
        <f>AND(Table1938[[#This Row],[Pass-IC]]=TRUE,Table1938[[#This Row],[Pass-EC]]=TRUE)</f>
        <v>0</v>
      </c>
      <c r="AD244" s="2" t="b">
        <f>COUNTIF($D$25:D244, Table1938[[#This Row],[Title]]) = 1</f>
        <v>1</v>
      </c>
      <c r="AE244" s="2" t="b">
        <f>AND(Table1938[[#This Row],[IC + EC]:[Unique]])</f>
        <v>0</v>
      </c>
      <c r="AF244" s="2" t="b">
        <v>0</v>
      </c>
      <c r="AG244" s="2" t="b">
        <v>0</v>
      </c>
      <c r="AH244" s="2" t="b">
        <v>0</v>
      </c>
      <c r="AI244" s="2" t="b">
        <f>IF(AND(Table1938[[#This Row],[Double Check]]=TRUE,Table1938[[#This Row],[Inspected]]=TRUE,Table1938[[#This Row],[Relevant]]=TRUE),TRUE,FALSE)</f>
        <v>0</v>
      </c>
    </row>
    <row r="245" spans="1:35" ht="43" x14ac:dyDescent="0.5">
      <c r="A245" s="2">
        <v>244</v>
      </c>
      <c r="B245" s="20" t="s">
        <v>3</v>
      </c>
      <c r="C245" s="20" t="s">
        <v>3096</v>
      </c>
      <c r="D245" s="20" t="s">
        <v>1880</v>
      </c>
      <c r="E245" s="20" t="s">
        <v>1879</v>
      </c>
      <c r="F245" s="2" t="s">
        <v>1882</v>
      </c>
      <c r="G245" s="20" t="s">
        <v>938</v>
      </c>
      <c r="H245" s="36">
        <v>44835</v>
      </c>
      <c r="I245" s="20">
        <v>2022</v>
      </c>
      <c r="J245" s="20" t="s">
        <v>61</v>
      </c>
      <c r="K245" s="20" t="s">
        <v>3097</v>
      </c>
      <c r="L245" s="20" t="s">
        <v>2515</v>
      </c>
      <c r="M245" s="20" t="s">
        <v>1881</v>
      </c>
      <c r="N245" s="20" t="b">
        <v>1</v>
      </c>
      <c r="O245" s="2" t="b">
        <f>IF(Table1938[[#This Row],[Title]]="",TRUE,FALSE)</f>
        <v>0</v>
      </c>
      <c r="P245" s="2" t="b">
        <f>IF(Table1938[[#This Row],[Author]]="",TRUE,FALSE)</f>
        <v>0</v>
      </c>
      <c r="Q245" s="2" t="b">
        <f>IF(Table1938[[#This Row],[DOI]]&lt;&gt;"", FALSE,TRUE)</f>
        <v>0</v>
      </c>
      <c r="R245" s="2" t="b">
        <f>IF(Table1938[[#This Row],[Abstract]]="",TRUE,FALSE)</f>
        <v>0</v>
      </c>
      <c r="S245" s="2" t="b">
        <f>IF(OR(Table1938[[#This Row],[Document Type]]="book",Table1938[[#This Row],[Document Type]]="bookSection"),TRUE,FALSE)</f>
        <v>0</v>
      </c>
      <c r="T245" s="2" t="b">
        <f>NOT(IF(OR(Table1938[[#This Row],[Language]]&lt;&gt;"en",Table1938[[#This Row],[Language]]&lt;&gt;"EN",Table1938[[#This Row],[Language]]&lt;&gt;"spa",Table1938[[#This Row],[Language]]&lt;&gt;"SPA"),TRUE,FALSE))</f>
        <v>0</v>
      </c>
      <c r="U245" s="2" t="b">
        <f>IF(AND(Table1938[[#This Row],[EC-01]]=FALSE,Table1938[[#This Row],[EC-02]]=FALSE,Table1938[[#This Row],[EC-03]]=FALSE,Table1938[[#This Row],[EC-04]]=FALSE,Table1938[[#This Row],[EC-05]]=FALSE,Table1938[[#This Row],[EC-06]]=FALSE),TRUE,FALSE)</f>
        <v>1</v>
      </c>
      <c r="V245" s="2" t="b">
        <f>IF(Table1938[[#This Row],[Date]]&lt;&gt;"",AND(YEAR(Table1938[[#This Row],[Date]])&gt;=2010, YEAR(Table1938[[#This Row],[Date]])&lt;=2024),FALSE)</f>
        <v>1</v>
      </c>
      <c r="W245" s="2" t="b">
        <f>IF(Table1938[[#This Row],[Date]]&lt;&gt;"",AND(YEAR(Table1938[[#This Row],[Date]])&gt;=2010, YEAR(Table1938[[#This Row],[Date]])&lt;=2020),FALSE)</f>
        <v>0</v>
      </c>
      <c r="X245" s="2" t="b">
        <f>IF(AND(Table1938[[#This Row],[Accesible]]=TRUE,Table1938[[#This Row],[DOI]]&lt;&gt;""),TRUE,FALSE)</f>
        <v>1</v>
      </c>
      <c r="Y245" s="2" t="b">
        <f>OR(Table1938[[#This Row],[Document Type]]="journalArticle",Table1938[[#This Row],[Document Type]]="conferencePaper",Table1938[[#This Row],[Document Type]]="review")</f>
        <v>1</v>
      </c>
      <c r="Z245" s="2" t="b" cm="1">
        <f t="array" ref="Z245">SUMPRODUCT(--ISNUMBER(SEARCH({"dimensional analysis","dimensionless coefficients","Π","Pi","theorem","software","design","tools","development","architecture","similar"}, LOWER(Table1938[[#This Row],[Title]]))))&gt;0</f>
        <v>0</v>
      </c>
      <c r="AA245" s="2" t="b" cm="1">
        <f t="array" ref="AA245">SUMPRODUCT(--ISNUMBER(SEARCH({"dimensional analysis","dimensionless coefficients","Π","Pi","theorem","software","design","tools","development","architecture","similar"}, LOWER(Table1938[[#This Row],[Abstract]]))))&gt;0</f>
        <v>0</v>
      </c>
      <c r="AB245" s="2" t="b">
        <f>AND(OR(Table1938[[#This Row],[IC-01 @2024]:[IC-01 @2020]])=TRUE,Table1938[[#This Row],[IC-02]]=TRUE,Table1938[[#This Row],[IC-03]]=TRUE,Table1938[[#This Row],[IC-04]]=TRUE,Table1938[[#This Row],[IC-05]]=TRUE)</f>
        <v>0</v>
      </c>
      <c r="AC245" s="2" t="b">
        <f>AND(Table1938[[#This Row],[Pass-IC]]=TRUE,Table1938[[#This Row],[Pass-EC]]=TRUE)</f>
        <v>0</v>
      </c>
      <c r="AD245" s="2" t="b">
        <f>COUNTIF($D$25:D245, Table1938[[#This Row],[Title]]) = 1</f>
        <v>1</v>
      </c>
      <c r="AE245" s="2" t="b">
        <f>AND(Table1938[[#This Row],[IC + EC]:[Unique]])</f>
        <v>0</v>
      </c>
      <c r="AF245" s="2" t="b">
        <v>0</v>
      </c>
      <c r="AG245" s="2" t="b">
        <v>0</v>
      </c>
      <c r="AH245" s="2" t="b">
        <v>0</v>
      </c>
      <c r="AI245" s="2" t="b">
        <f>IF(AND(Table1938[[#This Row],[Double Check]]=TRUE,Table1938[[#This Row],[Inspected]]=TRUE,Table1938[[#This Row],[Relevant]]=TRUE),TRUE,FALSE)</f>
        <v>0</v>
      </c>
    </row>
    <row r="246" spans="1:35" ht="86" x14ac:dyDescent="0.5">
      <c r="A246" s="2">
        <v>245</v>
      </c>
      <c r="B246" s="20" t="s">
        <v>3</v>
      </c>
      <c r="C246" s="20" t="s">
        <v>3098</v>
      </c>
      <c r="D246" s="20" t="s">
        <v>307</v>
      </c>
      <c r="E246" s="20" t="s">
        <v>332</v>
      </c>
      <c r="F246" s="2" t="s">
        <v>357</v>
      </c>
      <c r="G246" s="20" t="s">
        <v>943</v>
      </c>
      <c r="H246" s="36">
        <v>44866</v>
      </c>
      <c r="I246" s="20">
        <v>2022</v>
      </c>
      <c r="J246" s="20" t="s">
        <v>61</v>
      </c>
      <c r="K246" s="20" t="s">
        <v>3099</v>
      </c>
      <c r="L246" s="20" t="s">
        <v>2515</v>
      </c>
      <c r="M246" s="20" t="s">
        <v>382</v>
      </c>
      <c r="N246" s="20" t="b">
        <v>1</v>
      </c>
      <c r="O246" s="2" t="b">
        <f>IF(Table1938[[#This Row],[Title]]="",TRUE,FALSE)</f>
        <v>0</v>
      </c>
      <c r="P246" s="2" t="b">
        <f>IF(Table1938[[#This Row],[Author]]="",TRUE,FALSE)</f>
        <v>0</v>
      </c>
      <c r="Q246" s="2" t="b">
        <f>IF(Table1938[[#This Row],[DOI]]&lt;&gt;"", FALSE,TRUE)</f>
        <v>0</v>
      </c>
      <c r="R246" s="2" t="b">
        <f>IF(Table1938[[#This Row],[Abstract]]="",TRUE,FALSE)</f>
        <v>0</v>
      </c>
      <c r="S246" s="2" t="b">
        <f>IF(OR(Table1938[[#This Row],[Document Type]]="book",Table1938[[#This Row],[Document Type]]="bookSection"),TRUE,FALSE)</f>
        <v>0</v>
      </c>
      <c r="T246" s="2" t="b">
        <f>NOT(IF(OR(Table1938[[#This Row],[Language]]&lt;&gt;"en",Table1938[[#This Row],[Language]]&lt;&gt;"EN",Table1938[[#This Row],[Language]]&lt;&gt;"spa",Table1938[[#This Row],[Language]]&lt;&gt;"SPA"),TRUE,FALSE))</f>
        <v>0</v>
      </c>
      <c r="U246" s="2" t="b">
        <f>IF(AND(Table1938[[#This Row],[EC-01]]=FALSE,Table1938[[#This Row],[EC-02]]=FALSE,Table1938[[#This Row],[EC-03]]=FALSE,Table1938[[#This Row],[EC-04]]=FALSE,Table1938[[#This Row],[EC-05]]=FALSE,Table1938[[#This Row],[EC-06]]=FALSE),TRUE,FALSE)</f>
        <v>1</v>
      </c>
      <c r="V246" s="2" t="b">
        <f>IF(Table1938[[#This Row],[Date]]&lt;&gt;"",AND(YEAR(Table1938[[#This Row],[Date]])&gt;=2010, YEAR(Table1938[[#This Row],[Date]])&lt;=2024),FALSE)</f>
        <v>1</v>
      </c>
      <c r="W246" s="2" t="b">
        <f>IF(Table1938[[#This Row],[Date]]&lt;&gt;"",AND(YEAR(Table1938[[#This Row],[Date]])&gt;=2010, YEAR(Table1938[[#This Row],[Date]])&lt;=2020),FALSE)</f>
        <v>0</v>
      </c>
      <c r="X246" s="2" t="b">
        <f>IF(AND(Table1938[[#This Row],[Accesible]]=TRUE,Table1938[[#This Row],[DOI]]&lt;&gt;""),TRUE,FALSE)</f>
        <v>1</v>
      </c>
      <c r="Y246" s="2" t="b">
        <f>OR(Table1938[[#This Row],[Document Type]]="journalArticle",Table1938[[#This Row],[Document Type]]="conferencePaper",Table1938[[#This Row],[Document Type]]="review")</f>
        <v>1</v>
      </c>
      <c r="Z246" s="2" t="b" cm="1">
        <f t="array" ref="Z246">SUMPRODUCT(--ISNUMBER(SEARCH({"dimensional analysis","dimensionless coefficients","Π","Pi","theorem","software","design","tools","development","architecture","similar"}, LOWER(Table1938[[#This Row],[Title]]))))&gt;0</f>
        <v>1</v>
      </c>
      <c r="AA246" s="2" t="b" cm="1">
        <f t="array" ref="AA246">SUMPRODUCT(--ISNUMBER(SEARCH({"dimensional analysis","dimensionless coefficients","Π","Pi","theorem","software","design","tools","development","architecture","similar"}, LOWER(Table1938[[#This Row],[Abstract]]))))&gt;0</f>
        <v>1</v>
      </c>
      <c r="AB246" s="2" t="b">
        <f>AND(OR(Table1938[[#This Row],[IC-01 @2024]:[IC-01 @2020]])=TRUE,Table1938[[#This Row],[IC-02]]=TRUE,Table1938[[#This Row],[IC-03]]=TRUE,Table1938[[#This Row],[IC-04]]=TRUE,Table1938[[#This Row],[IC-05]]=TRUE)</f>
        <v>1</v>
      </c>
      <c r="AC246" s="2" t="b">
        <f>AND(Table1938[[#This Row],[Pass-IC]]=TRUE,Table1938[[#This Row],[Pass-EC]]=TRUE)</f>
        <v>1</v>
      </c>
      <c r="AD246" s="2" t="b">
        <f>COUNTIF($D$25:D246, Table1938[[#This Row],[Title]]) = 1</f>
        <v>1</v>
      </c>
      <c r="AE246" s="2" t="b">
        <f>AND(Table1938[[#This Row],[IC + EC]:[Unique]])</f>
        <v>1</v>
      </c>
      <c r="AF246" s="2" t="b">
        <v>1</v>
      </c>
      <c r="AG246" s="2" t="b">
        <v>0</v>
      </c>
      <c r="AH246" s="2" t="b">
        <v>0</v>
      </c>
      <c r="AI246" s="2" t="b">
        <f>IF(AND(Table1938[[#This Row],[Double Check]]=TRUE,Table1938[[#This Row],[Inspected]]=TRUE,Table1938[[#This Row],[Relevant]]=TRUE),TRUE,FALSE)</f>
        <v>0</v>
      </c>
    </row>
    <row r="247" spans="1:35" ht="28.7" x14ac:dyDescent="0.5">
      <c r="A247" s="2">
        <v>246</v>
      </c>
      <c r="B247" s="20" t="s">
        <v>3</v>
      </c>
      <c r="C247" s="20" t="s">
        <v>3100</v>
      </c>
      <c r="D247" s="20" t="s">
        <v>2310</v>
      </c>
      <c r="E247" s="20" t="s">
        <v>2309</v>
      </c>
      <c r="F247" s="2" t="s">
        <v>2313</v>
      </c>
      <c r="G247" s="20" t="s">
        <v>2311</v>
      </c>
      <c r="H247" s="36">
        <v>43070</v>
      </c>
      <c r="I247" s="20">
        <v>2017</v>
      </c>
      <c r="J247" s="20" t="s">
        <v>61</v>
      </c>
      <c r="K247" s="20" t="s">
        <v>3101</v>
      </c>
      <c r="L247" s="20" t="s">
        <v>2515</v>
      </c>
      <c r="M247" s="20" t="s">
        <v>2312</v>
      </c>
      <c r="N247" s="20" t="b">
        <v>1</v>
      </c>
      <c r="O247" s="2" t="b">
        <f>IF(Table1938[[#This Row],[Title]]="",TRUE,FALSE)</f>
        <v>0</v>
      </c>
      <c r="P247" s="2" t="b">
        <f>IF(Table1938[[#This Row],[Author]]="",TRUE,FALSE)</f>
        <v>0</v>
      </c>
      <c r="Q247" s="2" t="b">
        <f>IF(Table1938[[#This Row],[DOI]]&lt;&gt;"", FALSE,TRUE)</f>
        <v>0</v>
      </c>
      <c r="R247" s="2" t="b">
        <f>IF(Table1938[[#This Row],[Abstract]]="",TRUE,FALSE)</f>
        <v>0</v>
      </c>
      <c r="S247" s="2" t="b">
        <f>IF(OR(Table1938[[#This Row],[Document Type]]="book",Table1938[[#This Row],[Document Type]]="bookSection"),TRUE,FALSE)</f>
        <v>0</v>
      </c>
      <c r="T247" s="2" t="b">
        <f>NOT(IF(OR(Table1938[[#This Row],[Language]]&lt;&gt;"en",Table1938[[#This Row],[Language]]&lt;&gt;"EN",Table1938[[#This Row],[Language]]&lt;&gt;"spa",Table1938[[#This Row],[Language]]&lt;&gt;"SPA"),TRUE,FALSE))</f>
        <v>0</v>
      </c>
      <c r="U247" s="2" t="b">
        <f>IF(AND(Table1938[[#This Row],[EC-01]]=FALSE,Table1938[[#This Row],[EC-02]]=FALSE,Table1938[[#This Row],[EC-03]]=FALSE,Table1938[[#This Row],[EC-04]]=FALSE,Table1938[[#This Row],[EC-05]]=FALSE,Table1938[[#This Row],[EC-06]]=FALSE),TRUE,FALSE)</f>
        <v>1</v>
      </c>
      <c r="V247" s="2" t="b">
        <f>IF(Table1938[[#This Row],[Date]]&lt;&gt;"",AND(YEAR(Table1938[[#This Row],[Date]])&gt;=2010, YEAR(Table1938[[#This Row],[Date]])&lt;=2024),FALSE)</f>
        <v>1</v>
      </c>
      <c r="W247" s="2" t="b">
        <f>IF(Table1938[[#This Row],[Date]]&lt;&gt;"",AND(YEAR(Table1938[[#This Row],[Date]])&gt;=2010, YEAR(Table1938[[#This Row],[Date]])&lt;=2020),FALSE)</f>
        <v>1</v>
      </c>
      <c r="X247" s="2" t="b">
        <f>IF(AND(Table1938[[#This Row],[Accesible]]=TRUE,Table1938[[#This Row],[DOI]]&lt;&gt;""),TRUE,FALSE)</f>
        <v>1</v>
      </c>
      <c r="Y247" s="2" t="b">
        <f>OR(Table1938[[#This Row],[Document Type]]="journalArticle",Table1938[[#This Row],[Document Type]]="conferencePaper",Table1938[[#This Row],[Document Type]]="review")</f>
        <v>1</v>
      </c>
      <c r="Z247" s="2" t="b" cm="1">
        <f t="array" ref="Z247">SUMPRODUCT(--ISNUMBER(SEARCH({"dimensional analysis","dimensionless coefficients","Π","Pi","theorem","software","design","tools","development","architecture","similar"}, LOWER(Table1938[[#This Row],[Title]]))))&gt;0</f>
        <v>0</v>
      </c>
      <c r="AA247" s="2" t="b" cm="1">
        <f t="array" ref="AA247">SUMPRODUCT(--ISNUMBER(SEARCH({"dimensional analysis","dimensionless coefficients","Π","Pi","theorem","software","design","tools","development","architecture","similar"}, LOWER(Table1938[[#This Row],[Abstract]]))))&gt;0</f>
        <v>1</v>
      </c>
      <c r="AB247" s="2" t="b">
        <f>AND(OR(Table1938[[#This Row],[IC-01 @2024]:[IC-01 @2020]])=TRUE,Table1938[[#This Row],[IC-02]]=TRUE,Table1938[[#This Row],[IC-03]]=TRUE,Table1938[[#This Row],[IC-04]]=TRUE,Table1938[[#This Row],[IC-05]]=TRUE)</f>
        <v>0</v>
      </c>
      <c r="AC247" s="2" t="b">
        <f>AND(Table1938[[#This Row],[Pass-IC]]=TRUE,Table1938[[#This Row],[Pass-EC]]=TRUE)</f>
        <v>0</v>
      </c>
      <c r="AD247" s="2" t="b">
        <f>COUNTIF($D$25:D247, Table1938[[#This Row],[Title]]) = 1</f>
        <v>1</v>
      </c>
      <c r="AE247" s="2" t="b">
        <f>AND(Table1938[[#This Row],[IC + EC]:[Unique]])</f>
        <v>0</v>
      </c>
      <c r="AF247" s="2" t="b">
        <v>0</v>
      </c>
      <c r="AG247" s="2" t="b">
        <v>0</v>
      </c>
      <c r="AH247" s="2" t="b">
        <v>0</v>
      </c>
      <c r="AI247" s="2" t="b">
        <f>IF(AND(Table1938[[#This Row],[Double Check]]=TRUE,Table1938[[#This Row],[Inspected]]=TRUE,Table1938[[#This Row],[Relevant]]=TRUE),TRUE,FALSE)</f>
        <v>0</v>
      </c>
    </row>
    <row r="248" spans="1:35" ht="43" x14ac:dyDescent="0.5">
      <c r="A248" s="2">
        <v>247</v>
      </c>
      <c r="B248" s="20" t="s">
        <v>3</v>
      </c>
      <c r="C248" s="20" t="s">
        <v>3102</v>
      </c>
      <c r="D248" s="20" t="s">
        <v>1872</v>
      </c>
      <c r="E248" s="20" t="s">
        <v>1871</v>
      </c>
      <c r="F248" s="2" t="s">
        <v>1874</v>
      </c>
      <c r="G248" s="20" t="s">
        <v>984</v>
      </c>
      <c r="H248" s="36">
        <v>44136</v>
      </c>
      <c r="I248" s="20">
        <v>2020</v>
      </c>
      <c r="J248" s="20" t="s">
        <v>61</v>
      </c>
      <c r="K248" s="20" t="s">
        <v>3103</v>
      </c>
      <c r="L248" s="20" t="s">
        <v>2515</v>
      </c>
      <c r="M248" s="20" t="s">
        <v>1873</v>
      </c>
      <c r="N248" s="20" t="b">
        <v>1</v>
      </c>
      <c r="O248" s="2" t="b">
        <f>IF(Table1938[[#This Row],[Title]]="",TRUE,FALSE)</f>
        <v>0</v>
      </c>
      <c r="P248" s="2" t="b">
        <f>IF(Table1938[[#This Row],[Author]]="",TRUE,FALSE)</f>
        <v>0</v>
      </c>
      <c r="Q248" s="2" t="b">
        <f>IF(Table1938[[#This Row],[DOI]]&lt;&gt;"", FALSE,TRUE)</f>
        <v>0</v>
      </c>
      <c r="R248" s="2" t="b">
        <f>IF(Table1938[[#This Row],[Abstract]]="",TRUE,FALSE)</f>
        <v>0</v>
      </c>
      <c r="S248" s="2" t="b">
        <f>IF(OR(Table1938[[#This Row],[Document Type]]="book",Table1938[[#This Row],[Document Type]]="bookSection"),TRUE,FALSE)</f>
        <v>0</v>
      </c>
      <c r="T248" s="2" t="b">
        <f>NOT(IF(OR(Table1938[[#This Row],[Language]]&lt;&gt;"en",Table1938[[#This Row],[Language]]&lt;&gt;"EN",Table1938[[#This Row],[Language]]&lt;&gt;"spa",Table1938[[#This Row],[Language]]&lt;&gt;"SPA"),TRUE,FALSE))</f>
        <v>0</v>
      </c>
      <c r="U248" s="2" t="b">
        <f>IF(AND(Table1938[[#This Row],[EC-01]]=FALSE,Table1938[[#This Row],[EC-02]]=FALSE,Table1938[[#This Row],[EC-03]]=FALSE,Table1938[[#This Row],[EC-04]]=FALSE,Table1938[[#This Row],[EC-05]]=FALSE,Table1938[[#This Row],[EC-06]]=FALSE),TRUE,FALSE)</f>
        <v>1</v>
      </c>
      <c r="V248" s="2" t="b">
        <f>IF(Table1938[[#This Row],[Date]]&lt;&gt;"",AND(YEAR(Table1938[[#This Row],[Date]])&gt;=2010, YEAR(Table1938[[#This Row],[Date]])&lt;=2024),FALSE)</f>
        <v>1</v>
      </c>
      <c r="W248" s="2" t="b">
        <f>IF(Table1938[[#This Row],[Date]]&lt;&gt;"",AND(YEAR(Table1938[[#This Row],[Date]])&gt;=2010, YEAR(Table1938[[#This Row],[Date]])&lt;=2020),FALSE)</f>
        <v>1</v>
      </c>
      <c r="X248" s="2" t="b">
        <f>IF(AND(Table1938[[#This Row],[Accesible]]=TRUE,Table1938[[#This Row],[DOI]]&lt;&gt;""),TRUE,FALSE)</f>
        <v>1</v>
      </c>
      <c r="Y248" s="2" t="b">
        <f>OR(Table1938[[#This Row],[Document Type]]="journalArticle",Table1938[[#This Row],[Document Type]]="conferencePaper",Table1938[[#This Row],[Document Type]]="review")</f>
        <v>1</v>
      </c>
      <c r="Z248" s="2" t="b" cm="1">
        <f t="array" ref="Z248">SUMPRODUCT(--ISNUMBER(SEARCH({"dimensional analysis","dimensionless coefficients","Π","Pi","theorem","software","design","tools","development","architecture","similar"}, LOWER(Table1938[[#This Row],[Title]]))))&gt;0</f>
        <v>1</v>
      </c>
      <c r="AA248" s="2" t="b" cm="1">
        <f t="array" ref="AA248">SUMPRODUCT(--ISNUMBER(SEARCH({"dimensional analysis","dimensionless coefficients","Π","Pi","theorem","software","design","tools","development","architecture","similar"}, LOWER(Table1938[[#This Row],[Abstract]]))))&gt;0</f>
        <v>1</v>
      </c>
      <c r="AB248" s="2" t="b">
        <f>AND(OR(Table1938[[#This Row],[IC-01 @2024]:[IC-01 @2020]])=TRUE,Table1938[[#This Row],[IC-02]]=TRUE,Table1938[[#This Row],[IC-03]]=TRUE,Table1938[[#This Row],[IC-04]]=TRUE,Table1938[[#This Row],[IC-05]]=TRUE)</f>
        <v>1</v>
      </c>
      <c r="AC248" s="2" t="b">
        <f>AND(Table1938[[#This Row],[Pass-IC]]=TRUE,Table1938[[#This Row],[Pass-EC]]=TRUE)</f>
        <v>1</v>
      </c>
      <c r="AD248" s="2" t="b">
        <f>COUNTIF($D$25:D248, Table1938[[#This Row],[Title]]) = 1</f>
        <v>1</v>
      </c>
      <c r="AE248" s="2" t="b">
        <f>AND(Table1938[[#This Row],[IC + EC]:[Unique]])</f>
        <v>1</v>
      </c>
      <c r="AF248" s="2" t="b">
        <v>1</v>
      </c>
      <c r="AG248" s="2" t="b">
        <v>0</v>
      </c>
      <c r="AH248" s="2" t="b">
        <v>0</v>
      </c>
      <c r="AI248" s="2" t="b">
        <f>IF(AND(Table1938[[#This Row],[Double Check]]=TRUE,Table1938[[#This Row],[Inspected]]=TRUE,Table1938[[#This Row],[Relevant]]=TRUE),TRUE,FALSE)</f>
        <v>0</v>
      </c>
    </row>
    <row r="249" spans="1:35" ht="57.35" x14ac:dyDescent="0.5">
      <c r="A249" s="2">
        <v>248</v>
      </c>
      <c r="B249" s="20" t="s">
        <v>3</v>
      </c>
      <c r="C249" s="20" t="s">
        <v>3104</v>
      </c>
      <c r="D249" s="20" t="s">
        <v>1640</v>
      </c>
      <c r="E249" s="20" t="s">
        <v>1639</v>
      </c>
      <c r="F249" s="2" t="s">
        <v>1642</v>
      </c>
      <c r="G249" s="20" t="s">
        <v>1113</v>
      </c>
      <c r="H249" s="36">
        <v>43497</v>
      </c>
      <c r="I249" s="20">
        <v>2019</v>
      </c>
      <c r="J249" s="20" t="s">
        <v>61</v>
      </c>
      <c r="K249" s="20" t="s">
        <v>3105</v>
      </c>
      <c r="L249" s="20" t="s">
        <v>2515</v>
      </c>
      <c r="M249" s="20" t="s">
        <v>1641</v>
      </c>
      <c r="N249" s="20" t="b">
        <v>1</v>
      </c>
      <c r="O249" s="2" t="b">
        <f>IF(Table1938[[#This Row],[Title]]="",TRUE,FALSE)</f>
        <v>0</v>
      </c>
      <c r="P249" s="2" t="b">
        <f>IF(Table1938[[#This Row],[Author]]="",TRUE,FALSE)</f>
        <v>0</v>
      </c>
      <c r="Q249" s="2" t="b">
        <f>IF(Table1938[[#This Row],[DOI]]&lt;&gt;"", FALSE,TRUE)</f>
        <v>0</v>
      </c>
      <c r="R249" s="2" t="b">
        <f>IF(Table1938[[#This Row],[Abstract]]="",TRUE,FALSE)</f>
        <v>0</v>
      </c>
      <c r="S249" s="2" t="b">
        <f>IF(OR(Table1938[[#This Row],[Document Type]]="book",Table1938[[#This Row],[Document Type]]="bookSection"),TRUE,FALSE)</f>
        <v>0</v>
      </c>
      <c r="T249" s="2" t="b">
        <f>NOT(IF(OR(Table1938[[#This Row],[Language]]&lt;&gt;"en",Table1938[[#This Row],[Language]]&lt;&gt;"EN",Table1938[[#This Row],[Language]]&lt;&gt;"spa",Table1938[[#This Row],[Language]]&lt;&gt;"SPA"),TRUE,FALSE))</f>
        <v>0</v>
      </c>
      <c r="U249" s="2" t="b">
        <f>IF(AND(Table1938[[#This Row],[EC-01]]=FALSE,Table1938[[#This Row],[EC-02]]=FALSE,Table1938[[#This Row],[EC-03]]=FALSE,Table1938[[#This Row],[EC-04]]=FALSE,Table1938[[#This Row],[EC-05]]=FALSE,Table1938[[#This Row],[EC-06]]=FALSE),TRUE,FALSE)</f>
        <v>1</v>
      </c>
      <c r="V249" s="2" t="b">
        <f>IF(Table1938[[#This Row],[Date]]&lt;&gt;"",AND(YEAR(Table1938[[#This Row],[Date]])&gt;=2010, YEAR(Table1938[[#This Row],[Date]])&lt;=2024),FALSE)</f>
        <v>1</v>
      </c>
      <c r="W249" s="2" t="b">
        <f>IF(Table1938[[#This Row],[Date]]&lt;&gt;"",AND(YEAR(Table1938[[#This Row],[Date]])&gt;=2010, YEAR(Table1938[[#This Row],[Date]])&lt;=2020),FALSE)</f>
        <v>1</v>
      </c>
      <c r="X249" s="2" t="b">
        <f>IF(AND(Table1938[[#This Row],[Accesible]]=TRUE,Table1938[[#This Row],[DOI]]&lt;&gt;""),TRUE,FALSE)</f>
        <v>1</v>
      </c>
      <c r="Y249" s="2" t="b">
        <f>OR(Table1938[[#This Row],[Document Type]]="journalArticle",Table1938[[#This Row],[Document Type]]="conferencePaper",Table1938[[#This Row],[Document Type]]="review")</f>
        <v>1</v>
      </c>
      <c r="Z249" s="2" t="b" cm="1">
        <f t="array" ref="Z249">SUMPRODUCT(--ISNUMBER(SEARCH({"dimensional analysis","dimensionless coefficients","Π","Pi","theorem","software","design","tools","development","architecture","similar"}, LOWER(Table1938[[#This Row],[Title]]))))&gt;0</f>
        <v>0</v>
      </c>
      <c r="AA249" s="2" t="b" cm="1">
        <f t="array" ref="AA249">SUMPRODUCT(--ISNUMBER(SEARCH({"dimensional analysis","dimensionless coefficients","Π","Pi","theorem","software","design","tools","development","architecture","similar"}, LOWER(Table1938[[#This Row],[Abstract]]))))&gt;0</f>
        <v>1</v>
      </c>
      <c r="AB249" s="2" t="b">
        <f>AND(OR(Table1938[[#This Row],[IC-01 @2024]:[IC-01 @2020]])=TRUE,Table1938[[#This Row],[IC-02]]=TRUE,Table1938[[#This Row],[IC-03]]=TRUE,Table1938[[#This Row],[IC-04]]=TRUE,Table1938[[#This Row],[IC-05]]=TRUE)</f>
        <v>0</v>
      </c>
      <c r="AC249" s="2" t="b">
        <f>AND(Table1938[[#This Row],[Pass-IC]]=TRUE,Table1938[[#This Row],[Pass-EC]]=TRUE)</f>
        <v>0</v>
      </c>
      <c r="AD249" s="2" t="b">
        <f>COUNTIF($D$25:D249, Table1938[[#This Row],[Title]]) = 1</f>
        <v>1</v>
      </c>
      <c r="AE249" s="2" t="b">
        <f>AND(Table1938[[#This Row],[IC + EC]:[Unique]])</f>
        <v>0</v>
      </c>
      <c r="AF249" s="2" t="b">
        <v>0</v>
      </c>
      <c r="AG249" s="2" t="b">
        <v>0</v>
      </c>
      <c r="AH249" s="2" t="b">
        <v>0</v>
      </c>
      <c r="AI249" s="2" t="b">
        <f>IF(AND(Table1938[[#This Row],[Double Check]]=TRUE,Table1938[[#This Row],[Inspected]]=TRUE,Table1938[[#This Row],[Relevant]]=TRUE),TRUE,FALSE)</f>
        <v>0</v>
      </c>
    </row>
    <row r="250" spans="1:35" ht="43" x14ac:dyDescent="0.5">
      <c r="A250" s="2">
        <v>249</v>
      </c>
      <c r="B250" s="20" t="s">
        <v>3</v>
      </c>
      <c r="C250" s="20" t="s">
        <v>3106</v>
      </c>
      <c r="D250" s="20" t="s">
        <v>1796</v>
      </c>
      <c r="E250" s="20" t="s">
        <v>1795</v>
      </c>
      <c r="F250" s="2" t="s">
        <v>1798</v>
      </c>
      <c r="G250" s="20" t="s">
        <v>921</v>
      </c>
      <c r="H250" s="36">
        <v>44440</v>
      </c>
      <c r="I250" s="20">
        <v>2021</v>
      </c>
      <c r="J250" s="20" t="s">
        <v>61</v>
      </c>
      <c r="K250" s="20" t="s">
        <v>3107</v>
      </c>
      <c r="L250" s="20" t="s">
        <v>2515</v>
      </c>
      <c r="M250" s="20" t="s">
        <v>1797</v>
      </c>
      <c r="N250" s="20" t="b">
        <v>1</v>
      </c>
      <c r="O250" s="2" t="b">
        <f>IF(Table1938[[#This Row],[Title]]="",TRUE,FALSE)</f>
        <v>0</v>
      </c>
      <c r="P250" s="2" t="b">
        <f>IF(Table1938[[#This Row],[Author]]="",TRUE,FALSE)</f>
        <v>0</v>
      </c>
      <c r="Q250" s="2" t="b">
        <f>IF(Table1938[[#This Row],[DOI]]&lt;&gt;"", FALSE,TRUE)</f>
        <v>0</v>
      </c>
      <c r="R250" s="2" t="b">
        <f>IF(Table1938[[#This Row],[Abstract]]="",TRUE,FALSE)</f>
        <v>0</v>
      </c>
      <c r="S250" s="2" t="b">
        <f>IF(OR(Table1938[[#This Row],[Document Type]]="book",Table1938[[#This Row],[Document Type]]="bookSection"),TRUE,FALSE)</f>
        <v>0</v>
      </c>
      <c r="T250" s="2" t="b">
        <f>NOT(IF(OR(Table1938[[#This Row],[Language]]&lt;&gt;"en",Table1938[[#This Row],[Language]]&lt;&gt;"EN",Table1938[[#This Row],[Language]]&lt;&gt;"spa",Table1938[[#This Row],[Language]]&lt;&gt;"SPA"),TRUE,FALSE))</f>
        <v>0</v>
      </c>
      <c r="U250" s="2" t="b">
        <f>IF(AND(Table1938[[#This Row],[EC-01]]=FALSE,Table1938[[#This Row],[EC-02]]=FALSE,Table1938[[#This Row],[EC-03]]=FALSE,Table1938[[#This Row],[EC-04]]=FALSE,Table1938[[#This Row],[EC-05]]=FALSE,Table1938[[#This Row],[EC-06]]=FALSE),TRUE,FALSE)</f>
        <v>1</v>
      </c>
      <c r="V250" s="2" t="b">
        <f>IF(Table1938[[#This Row],[Date]]&lt;&gt;"",AND(YEAR(Table1938[[#This Row],[Date]])&gt;=2010, YEAR(Table1938[[#This Row],[Date]])&lt;=2024),FALSE)</f>
        <v>1</v>
      </c>
      <c r="W250" s="2" t="b">
        <f>IF(Table1938[[#This Row],[Date]]&lt;&gt;"",AND(YEAR(Table1938[[#This Row],[Date]])&gt;=2010, YEAR(Table1938[[#This Row],[Date]])&lt;=2020),FALSE)</f>
        <v>0</v>
      </c>
      <c r="X250" s="2" t="b">
        <f>IF(AND(Table1938[[#This Row],[Accesible]]=TRUE,Table1938[[#This Row],[DOI]]&lt;&gt;""),TRUE,FALSE)</f>
        <v>1</v>
      </c>
      <c r="Y250" s="2" t="b">
        <f>OR(Table1938[[#This Row],[Document Type]]="journalArticle",Table1938[[#This Row],[Document Type]]="conferencePaper",Table1938[[#This Row],[Document Type]]="review")</f>
        <v>1</v>
      </c>
      <c r="Z250" s="2" t="b" cm="1">
        <f t="array" ref="Z250">SUMPRODUCT(--ISNUMBER(SEARCH({"dimensional analysis","dimensionless coefficients","Π","Pi","theorem","software","design","tools","development","architecture","similar"}, LOWER(Table1938[[#This Row],[Title]]))))&gt;0</f>
        <v>0</v>
      </c>
      <c r="AA250" s="2" t="b" cm="1">
        <f t="array" ref="AA250">SUMPRODUCT(--ISNUMBER(SEARCH({"dimensional analysis","dimensionless coefficients","Π","Pi","theorem","software","design","tools","development","architecture","similar"}, LOWER(Table1938[[#This Row],[Abstract]]))))&gt;0</f>
        <v>1</v>
      </c>
      <c r="AB250" s="2" t="b">
        <f>AND(OR(Table1938[[#This Row],[IC-01 @2024]:[IC-01 @2020]])=TRUE,Table1938[[#This Row],[IC-02]]=TRUE,Table1938[[#This Row],[IC-03]]=TRUE,Table1938[[#This Row],[IC-04]]=TRUE,Table1938[[#This Row],[IC-05]]=TRUE)</f>
        <v>0</v>
      </c>
      <c r="AC250" s="2" t="b">
        <f>AND(Table1938[[#This Row],[Pass-IC]]=TRUE,Table1938[[#This Row],[Pass-EC]]=TRUE)</f>
        <v>0</v>
      </c>
      <c r="AD250" s="2" t="b">
        <f>COUNTIF($D$25:D250, Table1938[[#This Row],[Title]]) = 1</f>
        <v>1</v>
      </c>
      <c r="AE250" s="2" t="b">
        <f>AND(Table1938[[#This Row],[IC + EC]:[Unique]])</f>
        <v>0</v>
      </c>
      <c r="AF250" s="2" t="b">
        <v>0</v>
      </c>
      <c r="AG250" s="2" t="b">
        <v>0</v>
      </c>
      <c r="AH250" s="2" t="b">
        <v>0</v>
      </c>
      <c r="AI250" s="2" t="b">
        <f>IF(AND(Table1938[[#This Row],[Double Check]]=TRUE,Table1938[[#This Row],[Inspected]]=TRUE,Table1938[[#This Row],[Relevant]]=TRUE),TRUE,FALSE)</f>
        <v>0</v>
      </c>
    </row>
    <row r="251" spans="1:35" ht="71.7" x14ac:dyDescent="0.5">
      <c r="A251" s="2">
        <v>250</v>
      </c>
      <c r="B251" s="20" t="s">
        <v>3</v>
      </c>
      <c r="C251" s="20" t="s">
        <v>3108</v>
      </c>
      <c r="D251" s="20" t="s">
        <v>992</v>
      </c>
      <c r="E251" s="20" t="s">
        <v>993</v>
      </c>
      <c r="F251" s="2" t="s">
        <v>990</v>
      </c>
      <c r="G251" s="20" t="s">
        <v>937</v>
      </c>
      <c r="H251" s="36">
        <v>45413</v>
      </c>
      <c r="I251" s="20">
        <v>2024</v>
      </c>
      <c r="J251" s="20" t="s">
        <v>61</v>
      </c>
      <c r="K251" s="20" t="s">
        <v>3109</v>
      </c>
      <c r="L251" s="20" t="s">
        <v>2515</v>
      </c>
      <c r="M251" s="20" t="s">
        <v>991</v>
      </c>
      <c r="N251" s="20" t="b">
        <v>1</v>
      </c>
      <c r="O251" s="2" t="b">
        <f>IF(Table1938[[#This Row],[Title]]="",TRUE,FALSE)</f>
        <v>0</v>
      </c>
      <c r="P251" s="2" t="b">
        <f>IF(Table1938[[#This Row],[Author]]="",TRUE,FALSE)</f>
        <v>0</v>
      </c>
      <c r="Q251" s="2" t="b">
        <f>IF(Table1938[[#This Row],[DOI]]&lt;&gt;"", FALSE,TRUE)</f>
        <v>0</v>
      </c>
      <c r="R251" s="2" t="b">
        <f>IF(Table1938[[#This Row],[Abstract]]="",TRUE,FALSE)</f>
        <v>0</v>
      </c>
      <c r="S251" s="2" t="b">
        <f>IF(OR(Table1938[[#This Row],[Document Type]]="book",Table1938[[#This Row],[Document Type]]="bookSection"),TRUE,FALSE)</f>
        <v>0</v>
      </c>
      <c r="T251" s="2" t="b">
        <f>NOT(IF(OR(Table1938[[#This Row],[Language]]&lt;&gt;"en",Table1938[[#This Row],[Language]]&lt;&gt;"EN",Table1938[[#This Row],[Language]]&lt;&gt;"spa",Table1938[[#This Row],[Language]]&lt;&gt;"SPA"),TRUE,FALSE))</f>
        <v>0</v>
      </c>
      <c r="U251" s="2" t="b">
        <f>IF(AND(Table1938[[#This Row],[EC-01]]=FALSE,Table1938[[#This Row],[EC-02]]=FALSE,Table1938[[#This Row],[EC-03]]=FALSE,Table1938[[#This Row],[EC-04]]=FALSE,Table1938[[#This Row],[EC-05]]=FALSE,Table1938[[#This Row],[EC-06]]=FALSE),TRUE,FALSE)</f>
        <v>1</v>
      </c>
      <c r="V251" s="2" t="b">
        <f>IF(Table1938[[#This Row],[Date]]&lt;&gt;"",AND(YEAR(Table1938[[#This Row],[Date]])&gt;=2010, YEAR(Table1938[[#This Row],[Date]])&lt;=2024),FALSE)</f>
        <v>1</v>
      </c>
      <c r="W251" s="2" t="b">
        <f>IF(Table1938[[#This Row],[Date]]&lt;&gt;"",AND(YEAR(Table1938[[#This Row],[Date]])&gt;=2010, YEAR(Table1938[[#This Row],[Date]])&lt;=2020),FALSE)</f>
        <v>0</v>
      </c>
      <c r="X251" s="2" t="b">
        <f>IF(AND(Table1938[[#This Row],[Accesible]]=TRUE,Table1938[[#This Row],[DOI]]&lt;&gt;""),TRUE,FALSE)</f>
        <v>1</v>
      </c>
      <c r="Y251" s="2" t="b">
        <f>OR(Table1938[[#This Row],[Document Type]]="journalArticle",Table1938[[#This Row],[Document Type]]="conferencePaper",Table1938[[#This Row],[Document Type]]="review")</f>
        <v>1</v>
      </c>
      <c r="Z251" s="2" t="b" cm="1">
        <f t="array" ref="Z251">SUMPRODUCT(--ISNUMBER(SEARCH({"dimensional analysis","dimensionless coefficients","Π","Pi","theorem","software","design","tools","development","architecture","similar"}, LOWER(Table1938[[#This Row],[Title]]))))&gt;0</f>
        <v>1</v>
      </c>
      <c r="AA251" s="2" t="b" cm="1">
        <f t="array" ref="AA251">SUMPRODUCT(--ISNUMBER(SEARCH({"dimensional analysis","dimensionless coefficients","Π","Pi","theorem","software","design","tools","development","architecture","similar"}, LOWER(Table1938[[#This Row],[Abstract]]))))&gt;0</f>
        <v>1</v>
      </c>
      <c r="AB251" s="2" t="b">
        <f>AND(OR(Table1938[[#This Row],[IC-01 @2024]:[IC-01 @2020]])=TRUE,Table1938[[#This Row],[IC-02]]=TRUE,Table1938[[#This Row],[IC-03]]=TRUE,Table1938[[#This Row],[IC-04]]=TRUE,Table1938[[#This Row],[IC-05]]=TRUE)</f>
        <v>1</v>
      </c>
      <c r="AC251" s="2" t="b">
        <f>AND(Table1938[[#This Row],[Pass-IC]]=TRUE,Table1938[[#This Row],[Pass-EC]]=TRUE)</f>
        <v>1</v>
      </c>
      <c r="AD251" s="2" t="b">
        <f>COUNTIF($D$25:D251, Table1938[[#This Row],[Title]]) = 1</f>
        <v>1</v>
      </c>
      <c r="AE251" s="2" t="b">
        <f>AND(Table1938[[#This Row],[IC + EC]:[Unique]])</f>
        <v>1</v>
      </c>
      <c r="AF251" s="2" t="b">
        <v>1</v>
      </c>
      <c r="AG251" s="2" t="b">
        <v>0</v>
      </c>
      <c r="AH251" s="2" t="b">
        <v>0</v>
      </c>
      <c r="AI251" s="2" t="b">
        <f>IF(AND(Table1938[[#This Row],[Double Check]]=TRUE,Table1938[[#This Row],[Inspected]]=TRUE,Table1938[[#This Row],[Relevant]]=TRUE),TRUE,FALSE)</f>
        <v>0</v>
      </c>
    </row>
    <row r="252" spans="1:35" ht="57.35" x14ac:dyDescent="0.5">
      <c r="A252" s="2">
        <v>251</v>
      </c>
      <c r="B252" s="20" t="s">
        <v>3</v>
      </c>
      <c r="C252" s="20" t="s">
        <v>3110</v>
      </c>
      <c r="D252" s="20" t="s">
        <v>1274</v>
      </c>
      <c r="E252" s="20" t="s">
        <v>1273</v>
      </c>
      <c r="F252" s="2" t="s">
        <v>1276</v>
      </c>
      <c r="G252" s="20" t="s">
        <v>1122</v>
      </c>
      <c r="H252" s="36">
        <v>44986</v>
      </c>
      <c r="I252" s="20">
        <v>2023</v>
      </c>
      <c r="J252" s="20" t="s">
        <v>61</v>
      </c>
      <c r="K252" s="20" t="s">
        <v>3111</v>
      </c>
      <c r="L252" s="20" t="s">
        <v>2515</v>
      </c>
      <c r="M252" s="20" t="s">
        <v>1275</v>
      </c>
      <c r="N252" s="20" t="b">
        <v>1</v>
      </c>
      <c r="O252" s="2" t="b">
        <f>IF(Table1938[[#This Row],[Title]]="",TRUE,FALSE)</f>
        <v>0</v>
      </c>
      <c r="P252" s="2" t="b">
        <f>IF(Table1938[[#This Row],[Author]]="",TRUE,FALSE)</f>
        <v>0</v>
      </c>
      <c r="Q252" s="2" t="b">
        <f>IF(Table1938[[#This Row],[DOI]]&lt;&gt;"", FALSE,TRUE)</f>
        <v>0</v>
      </c>
      <c r="R252" s="2" t="b">
        <f>IF(Table1938[[#This Row],[Abstract]]="",TRUE,FALSE)</f>
        <v>0</v>
      </c>
      <c r="S252" s="2" t="b">
        <f>IF(OR(Table1938[[#This Row],[Document Type]]="book",Table1938[[#This Row],[Document Type]]="bookSection"),TRUE,FALSE)</f>
        <v>0</v>
      </c>
      <c r="T252" s="2" t="b">
        <f>NOT(IF(OR(Table1938[[#This Row],[Language]]&lt;&gt;"en",Table1938[[#This Row],[Language]]&lt;&gt;"EN",Table1938[[#This Row],[Language]]&lt;&gt;"spa",Table1938[[#This Row],[Language]]&lt;&gt;"SPA"),TRUE,FALSE))</f>
        <v>0</v>
      </c>
      <c r="U252" s="2" t="b">
        <f>IF(AND(Table1938[[#This Row],[EC-01]]=FALSE,Table1938[[#This Row],[EC-02]]=FALSE,Table1938[[#This Row],[EC-03]]=FALSE,Table1938[[#This Row],[EC-04]]=FALSE,Table1938[[#This Row],[EC-05]]=FALSE,Table1938[[#This Row],[EC-06]]=FALSE),TRUE,FALSE)</f>
        <v>1</v>
      </c>
      <c r="V252" s="2" t="b">
        <f>IF(Table1938[[#This Row],[Date]]&lt;&gt;"",AND(YEAR(Table1938[[#This Row],[Date]])&gt;=2010, YEAR(Table1938[[#This Row],[Date]])&lt;=2024),FALSE)</f>
        <v>1</v>
      </c>
      <c r="W252" s="2" t="b">
        <f>IF(Table1938[[#This Row],[Date]]&lt;&gt;"",AND(YEAR(Table1938[[#This Row],[Date]])&gt;=2010, YEAR(Table1938[[#This Row],[Date]])&lt;=2020),FALSE)</f>
        <v>0</v>
      </c>
      <c r="X252" s="2" t="b">
        <f>IF(AND(Table1938[[#This Row],[Accesible]]=TRUE,Table1938[[#This Row],[DOI]]&lt;&gt;""),TRUE,FALSE)</f>
        <v>1</v>
      </c>
      <c r="Y252" s="2" t="b">
        <f>OR(Table1938[[#This Row],[Document Type]]="journalArticle",Table1938[[#This Row],[Document Type]]="conferencePaper",Table1938[[#This Row],[Document Type]]="review")</f>
        <v>1</v>
      </c>
      <c r="Z252" s="2" t="b" cm="1">
        <f t="array" ref="Z252">SUMPRODUCT(--ISNUMBER(SEARCH({"dimensional analysis","dimensionless coefficients","Π","Pi","theorem","software","design","tools","development","architecture","similar"}, LOWER(Table1938[[#This Row],[Title]]))))&gt;0</f>
        <v>0</v>
      </c>
      <c r="AA252" s="2" t="b" cm="1">
        <f t="array" ref="AA252">SUMPRODUCT(--ISNUMBER(SEARCH({"dimensional analysis","dimensionless coefficients","Π","Pi","theorem","software","design","tools","development","architecture","similar"}, LOWER(Table1938[[#This Row],[Abstract]]))))&gt;0</f>
        <v>1</v>
      </c>
      <c r="AB252" s="2" t="b">
        <f>AND(OR(Table1938[[#This Row],[IC-01 @2024]:[IC-01 @2020]])=TRUE,Table1938[[#This Row],[IC-02]]=TRUE,Table1938[[#This Row],[IC-03]]=TRUE,Table1938[[#This Row],[IC-04]]=TRUE,Table1938[[#This Row],[IC-05]]=TRUE)</f>
        <v>0</v>
      </c>
      <c r="AC252" s="2" t="b">
        <f>AND(Table1938[[#This Row],[Pass-IC]]=TRUE,Table1938[[#This Row],[Pass-EC]]=TRUE)</f>
        <v>0</v>
      </c>
      <c r="AD252" s="2" t="b">
        <f>COUNTIF($D$25:D252, Table1938[[#This Row],[Title]]) = 1</f>
        <v>1</v>
      </c>
      <c r="AE252" s="2" t="b">
        <f>AND(Table1938[[#This Row],[IC + EC]:[Unique]])</f>
        <v>0</v>
      </c>
      <c r="AF252" s="2" t="b">
        <v>0</v>
      </c>
      <c r="AG252" s="2" t="b">
        <v>0</v>
      </c>
      <c r="AH252" s="2" t="b">
        <v>0</v>
      </c>
      <c r="AI252" s="2" t="b">
        <f>IF(AND(Table1938[[#This Row],[Double Check]]=TRUE,Table1938[[#This Row],[Inspected]]=TRUE,Table1938[[#This Row],[Relevant]]=TRUE),TRUE,FALSE)</f>
        <v>0</v>
      </c>
    </row>
    <row r="253" spans="1:35" ht="57.35" x14ac:dyDescent="0.5">
      <c r="A253" s="2">
        <v>252</v>
      </c>
      <c r="B253" s="20" t="s">
        <v>3</v>
      </c>
      <c r="C253" s="20" t="s">
        <v>3112</v>
      </c>
      <c r="D253" s="20" t="s">
        <v>2043</v>
      </c>
      <c r="E253" s="20" t="s">
        <v>2042</v>
      </c>
      <c r="F253" s="2" t="s">
        <v>2045</v>
      </c>
      <c r="G253" s="20" t="s">
        <v>967</v>
      </c>
      <c r="H253" s="36">
        <v>44941</v>
      </c>
      <c r="I253" s="20">
        <v>2023</v>
      </c>
      <c r="J253" s="20" t="s">
        <v>61</v>
      </c>
      <c r="K253" s="20" t="s">
        <v>3113</v>
      </c>
      <c r="L253" s="20" t="s">
        <v>2515</v>
      </c>
      <c r="M253" s="20" t="s">
        <v>2044</v>
      </c>
      <c r="N253" s="20" t="b">
        <v>1</v>
      </c>
      <c r="O253" s="2" t="b">
        <f>IF(Table1938[[#This Row],[Title]]="",TRUE,FALSE)</f>
        <v>0</v>
      </c>
      <c r="P253" s="2" t="b">
        <f>IF(Table1938[[#This Row],[Author]]="",TRUE,FALSE)</f>
        <v>0</v>
      </c>
      <c r="Q253" s="2" t="b">
        <f>IF(Table1938[[#This Row],[DOI]]&lt;&gt;"", FALSE,TRUE)</f>
        <v>0</v>
      </c>
      <c r="R253" s="2" t="b">
        <f>IF(Table1938[[#This Row],[Abstract]]="",TRUE,FALSE)</f>
        <v>0</v>
      </c>
      <c r="S253" s="2" t="b">
        <f>IF(OR(Table1938[[#This Row],[Document Type]]="book",Table1938[[#This Row],[Document Type]]="bookSection"),TRUE,FALSE)</f>
        <v>0</v>
      </c>
      <c r="T253" s="2" t="b">
        <f>NOT(IF(OR(Table1938[[#This Row],[Language]]&lt;&gt;"en",Table1938[[#This Row],[Language]]&lt;&gt;"EN",Table1938[[#This Row],[Language]]&lt;&gt;"spa",Table1938[[#This Row],[Language]]&lt;&gt;"SPA"),TRUE,FALSE))</f>
        <v>0</v>
      </c>
      <c r="U253" s="2" t="b">
        <f>IF(AND(Table1938[[#This Row],[EC-01]]=FALSE,Table1938[[#This Row],[EC-02]]=FALSE,Table1938[[#This Row],[EC-03]]=FALSE,Table1938[[#This Row],[EC-04]]=FALSE,Table1938[[#This Row],[EC-05]]=FALSE,Table1938[[#This Row],[EC-06]]=FALSE),TRUE,FALSE)</f>
        <v>1</v>
      </c>
      <c r="V253" s="2" t="b">
        <f>IF(Table1938[[#This Row],[Date]]&lt;&gt;"",AND(YEAR(Table1938[[#This Row],[Date]])&gt;=2010, YEAR(Table1938[[#This Row],[Date]])&lt;=2024),FALSE)</f>
        <v>1</v>
      </c>
      <c r="W253" s="2" t="b">
        <f>IF(Table1938[[#This Row],[Date]]&lt;&gt;"",AND(YEAR(Table1938[[#This Row],[Date]])&gt;=2010, YEAR(Table1938[[#This Row],[Date]])&lt;=2020),FALSE)</f>
        <v>0</v>
      </c>
      <c r="X253" s="2" t="b">
        <f>IF(AND(Table1938[[#This Row],[Accesible]]=TRUE,Table1938[[#This Row],[DOI]]&lt;&gt;""),TRUE,FALSE)</f>
        <v>1</v>
      </c>
      <c r="Y253" s="2" t="b">
        <f>OR(Table1938[[#This Row],[Document Type]]="journalArticle",Table1938[[#This Row],[Document Type]]="conferencePaper",Table1938[[#This Row],[Document Type]]="review")</f>
        <v>1</v>
      </c>
      <c r="Z253" s="2" t="b" cm="1">
        <f t="array" ref="Z253">SUMPRODUCT(--ISNUMBER(SEARCH({"dimensional analysis","dimensionless coefficients","Π","Pi","theorem","software","design","tools","development","architecture","similar"}, LOWER(Table1938[[#This Row],[Title]]))))&gt;0</f>
        <v>0</v>
      </c>
      <c r="AA253" s="2" t="b" cm="1">
        <f t="array" ref="AA253">SUMPRODUCT(--ISNUMBER(SEARCH({"dimensional analysis","dimensionless coefficients","Π","Pi","theorem","software","design","tools","development","architecture","similar"}, LOWER(Table1938[[#This Row],[Abstract]]))))&gt;0</f>
        <v>0</v>
      </c>
      <c r="AB253" s="2" t="b">
        <f>AND(OR(Table1938[[#This Row],[IC-01 @2024]:[IC-01 @2020]])=TRUE,Table1938[[#This Row],[IC-02]]=TRUE,Table1938[[#This Row],[IC-03]]=TRUE,Table1938[[#This Row],[IC-04]]=TRUE,Table1938[[#This Row],[IC-05]]=TRUE)</f>
        <v>0</v>
      </c>
      <c r="AC253" s="2" t="b">
        <f>AND(Table1938[[#This Row],[Pass-IC]]=TRUE,Table1938[[#This Row],[Pass-EC]]=TRUE)</f>
        <v>0</v>
      </c>
      <c r="AD253" s="2" t="b">
        <f>COUNTIF($D$25:D253, Table1938[[#This Row],[Title]]) = 1</f>
        <v>1</v>
      </c>
      <c r="AE253" s="2" t="b">
        <f>AND(Table1938[[#This Row],[IC + EC]:[Unique]])</f>
        <v>0</v>
      </c>
      <c r="AF253" s="2" t="b">
        <v>0</v>
      </c>
      <c r="AG253" s="2" t="b">
        <v>0</v>
      </c>
      <c r="AH253" s="2" t="b">
        <v>0</v>
      </c>
      <c r="AI253" s="2" t="b">
        <f>IF(AND(Table1938[[#This Row],[Double Check]]=TRUE,Table1938[[#This Row],[Inspected]]=TRUE,Table1938[[#This Row],[Relevant]]=TRUE),TRUE,FALSE)</f>
        <v>0</v>
      </c>
    </row>
    <row r="254" spans="1:35" ht="57.35" x14ac:dyDescent="0.5">
      <c r="A254" s="2">
        <v>253</v>
      </c>
      <c r="B254" s="20" t="s">
        <v>3</v>
      </c>
      <c r="C254" s="20" t="s">
        <v>3114</v>
      </c>
      <c r="D254" s="20" t="s">
        <v>1603</v>
      </c>
      <c r="E254" s="20" t="s">
        <v>1602</v>
      </c>
      <c r="F254" s="2" t="s">
        <v>1605</v>
      </c>
      <c r="G254" s="20" t="s">
        <v>973</v>
      </c>
      <c r="H254" s="36">
        <v>45017</v>
      </c>
      <c r="I254" s="20">
        <v>2023</v>
      </c>
      <c r="J254" s="20" t="s">
        <v>61</v>
      </c>
      <c r="K254" s="20" t="s">
        <v>3115</v>
      </c>
      <c r="L254" s="20" t="s">
        <v>2515</v>
      </c>
      <c r="M254" s="20" t="s">
        <v>1604</v>
      </c>
      <c r="N254" s="20" t="b">
        <v>1</v>
      </c>
      <c r="O254" s="2" t="b">
        <f>IF(Table1938[[#This Row],[Title]]="",TRUE,FALSE)</f>
        <v>0</v>
      </c>
      <c r="P254" s="2" t="b">
        <f>IF(Table1938[[#This Row],[Author]]="",TRUE,FALSE)</f>
        <v>0</v>
      </c>
      <c r="Q254" s="2" t="b">
        <f>IF(Table1938[[#This Row],[DOI]]&lt;&gt;"", FALSE,TRUE)</f>
        <v>0</v>
      </c>
      <c r="R254" s="2" t="b">
        <f>IF(Table1938[[#This Row],[Abstract]]="",TRUE,FALSE)</f>
        <v>0</v>
      </c>
      <c r="S254" s="2" t="b">
        <f>IF(OR(Table1938[[#This Row],[Document Type]]="book",Table1938[[#This Row],[Document Type]]="bookSection"),TRUE,FALSE)</f>
        <v>0</v>
      </c>
      <c r="T254" s="2" t="b">
        <f>NOT(IF(OR(Table1938[[#This Row],[Language]]&lt;&gt;"en",Table1938[[#This Row],[Language]]&lt;&gt;"EN",Table1938[[#This Row],[Language]]&lt;&gt;"spa",Table1938[[#This Row],[Language]]&lt;&gt;"SPA"),TRUE,FALSE))</f>
        <v>0</v>
      </c>
      <c r="U254" s="2" t="b">
        <f>IF(AND(Table1938[[#This Row],[EC-01]]=FALSE,Table1938[[#This Row],[EC-02]]=FALSE,Table1938[[#This Row],[EC-03]]=FALSE,Table1938[[#This Row],[EC-04]]=FALSE,Table1938[[#This Row],[EC-05]]=FALSE,Table1938[[#This Row],[EC-06]]=FALSE),TRUE,FALSE)</f>
        <v>1</v>
      </c>
      <c r="V254" s="2" t="b">
        <f>IF(Table1938[[#This Row],[Date]]&lt;&gt;"",AND(YEAR(Table1938[[#This Row],[Date]])&gt;=2010, YEAR(Table1938[[#This Row],[Date]])&lt;=2024),FALSE)</f>
        <v>1</v>
      </c>
      <c r="W254" s="2" t="b">
        <f>IF(Table1938[[#This Row],[Date]]&lt;&gt;"",AND(YEAR(Table1938[[#This Row],[Date]])&gt;=2010, YEAR(Table1938[[#This Row],[Date]])&lt;=2020),FALSE)</f>
        <v>0</v>
      </c>
      <c r="X254" s="2" t="b">
        <f>IF(AND(Table1938[[#This Row],[Accesible]]=TRUE,Table1938[[#This Row],[DOI]]&lt;&gt;""),TRUE,FALSE)</f>
        <v>1</v>
      </c>
      <c r="Y254" s="2" t="b">
        <f>OR(Table1938[[#This Row],[Document Type]]="journalArticle",Table1938[[#This Row],[Document Type]]="conferencePaper",Table1938[[#This Row],[Document Type]]="review")</f>
        <v>1</v>
      </c>
      <c r="Z254" s="2" t="b" cm="1">
        <f t="array" ref="Z254">SUMPRODUCT(--ISNUMBER(SEARCH({"dimensional analysis","dimensionless coefficients","Π","Pi","theorem","software","design","tools","development","architecture","similar"}, LOWER(Table1938[[#This Row],[Title]]))))&gt;0</f>
        <v>0</v>
      </c>
      <c r="AA254" s="2" t="b" cm="1">
        <f t="array" ref="AA254">SUMPRODUCT(--ISNUMBER(SEARCH({"dimensional analysis","dimensionless coefficients","Π","Pi","theorem","software","design","tools","development","architecture","similar"}, LOWER(Table1938[[#This Row],[Abstract]]))))&gt;0</f>
        <v>1</v>
      </c>
      <c r="AB254" s="2" t="b">
        <f>AND(OR(Table1938[[#This Row],[IC-01 @2024]:[IC-01 @2020]])=TRUE,Table1938[[#This Row],[IC-02]]=TRUE,Table1938[[#This Row],[IC-03]]=TRUE,Table1938[[#This Row],[IC-04]]=TRUE,Table1938[[#This Row],[IC-05]]=TRUE)</f>
        <v>0</v>
      </c>
      <c r="AC254" s="2" t="b">
        <f>AND(Table1938[[#This Row],[Pass-IC]]=TRUE,Table1938[[#This Row],[Pass-EC]]=TRUE)</f>
        <v>0</v>
      </c>
      <c r="AD254" s="2" t="b">
        <f>COUNTIF($D$25:D254, Table1938[[#This Row],[Title]]) = 1</f>
        <v>1</v>
      </c>
      <c r="AE254" s="2" t="b">
        <f>AND(Table1938[[#This Row],[IC + EC]:[Unique]])</f>
        <v>0</v>
      </c>
      <c r="AF254" s="2" t="b">
        <v>0</v>
      </c>
      <c r="AG254" s="2" t="b">
        <v>0</v>
      </c>
      <c r="AH254" s="2" t="b">
        <v>0</v>
      </c>
      <c r="AI254" s="2" t="b">
        <f>IF(AND(Table1938[[#This Row],[Double Check]]=TRUE,Table1938[[#This Row],[Inspected]]=TRUE,Table1938[[#This Row],[Relevant]]=TRUE),TRUE,FALSE)</f>
        <v>0</v>
      </c>
    </row>
    <row r="255" spans="1:35" ht="43" x14ac:dyDescent="0.5">
      <c r="A255" s="2">
        <v>254</v>
      </c>
      <c r="B255" s="20" t="s">
        <v>3</v>
      </c>
      <c r="C255" s="20" t="s">
        <v>3116</v>
      </c>
      <c r="D255" s="20" t="s">
        <v>1503</v>
      </c>
      <c r="E255" s="20" t="s">
        <v>1502</v>
      </c>
      <c r="F255" s="2" t="s">
        <v>1505</v>
      </c>
      <c r="G255" s="20" t="s">
        <v>937</v>
      </c>
      <c r="H255" s="36">
        <v>44180</v>
      </c>
      <c r="I255" s="20">
        <v>2020</v>
      </c>
      <c r="J255" s="20" t="s">
        <v>61</v>
      </c>
      <c r="K255" s="20" t="s">
        <v>3117</v>
      </c>
      <c r="L255" s="20" t="s">
        <v>2515</v>
      </c>
      <c r="M255" s="20" t="s">
        <v>1504</v>
      </c>
      <c r="N255" s="20" t="b">
        <v>1</v>
      </c>
      <c r="O255" s="2" t="b">
        <f>IF(Table1938[[#This Row],[Title]]="",TRUE,FALSE)</f>
        <v>0</v>
      </c>
      <c r="P255" s="2" t="b">
        <f>IF(Table1938[[#This Row],[Author]]="",TRUE,FALSE)</f>
        <v>0</v>
      </c>
      <c r="Q255" s="2" t="b">
        <f>IF(Table1938[[#This Row],[DOI]]&lt;&gt;"", FALSE,TRUE)</f>
        <v>0</v>
      </c>
      <c r="R255" s="2" t="b">
        <f>IF(Table1938[[#This Row],[Abstract]]="",TRUE,FALSE)</f>
        <v>0</v>
      </c>
      <c r="S255" s="2" t="b">
        <f>IF(OR(Table1938[[#This Row],[Document Type]]="book",Table1938[[#This Row],[Document Type]]="bookSection"),TRUE,FALSE)</f>
        <v>0</v>
      </c>
      <c r="T255" s="2" t="b">
        <f>NOT(IF(OR(Table1938[[#This Row],[Language]]&lt;&gt;"en",Table1938[[#This Row],[Language]]&lt;&gt;"EN",Table1938[[#This Row],[Language]]&lt;&gt;"spa",Table1938[[#This Row],[Language]]&lt;&gt;"SPA"),TRUE,FALSE))</f>
        <v>0</v>
      </c>
      <c r="U255" s="2" t="b">
        <f>IF(AND(Table1938[[#This Row],[EC-01]]=FALSE,Table1938[[#This Row],[EC-02]]=FALSE,Table1938[[#This Row],[EC-03]]=FALSE,Table1938[[#This Row],[EC-04]]=FALSE,Table1938[[#This Row],[EC-05]]=FALSE,Table1938[[#This Row],[EC-06]]=FALSE),TRUE,FALSE)</f>
        <v>1</v>
      </c>
      <c r="V255" s="2" t="b">
        <f>IF(Table1938[[#This Row],[Date]]&lt;&gt;"",AND(YEAR(Table1938[[#This Row],[Date]])&gt;=2010, YEAR(Table1938[[#This Row],[Date]])&lt;=2024),FALSE)</f>
        <v>1</v>
      </c>
      <c r="W255" s="2" t="b">
        <f>IF(Table1938[[#This Row],[Date]]&lt;&gt;"",AND(YEAR(Table1938[[#This Row],[Date]])&gt;=2010, YEAR(Table1938[[#This Row],[Date]])&lt;=2020),FALSE)</f>
        <v>1</v>
      </c>
      <c r="X255" s="2" t="b">
        <f>IF(AND(Table1938[[#This Row],[Accesible]]=TRUE,Table1938[[#This Row],[DOI]]&lt;&gt;""),TRUE,FALSE)</f>
        <v>1</v>
      </c>
      <c r="Y255" s="2" t="b">
        <f>OR(Table1938[[#This Row],[Document Type]]="journalArticle",Table1938[[#This Row],[Document Type]]="conferencePaper",Table1938[[#This Row],[Document Type]]="review")</f>
        <v>1</v>
      </c>
      <c r="Z255" s="2" t="b" cm="1">
        <f t="array" ref="Z255">SUMPRODUCT(--ISNUMBER(SEARCH({"dimensional analysis","dimensionless coefficients","Π","Pi","theorem","software","design","tools","development","architecture","similar"}, LOWER(Table1938[[#This Row],[Title]]))))&gt;0</f>
        <v>1</v>
      </c>
      <c r="AA255" s="2" t="b" cm="1">
        <f t="array" ref="AA255">SUMPRODUCT(--ISNUMBER(SEARCH({"dimensional analysis","dimensionless coefficients","Π","Pi","theorem","software","design","tools","development","architecture","similar"}, LOWER(Table1938[[#This Row],[Abstract]]))))&gt;0</f>
        <v>1</v>
      </c>
      <c r="AB255" s="2" t="b">
        <f>AND(OR(Table1938[[#This Row],[IC-01 @2024]:[IC-01 @2020]])=TRUE,Table1938[[#This Row],[IC-02]]=TRUE,Table1938[[#This Row],[IC-03]]=TRUE,Table1938[[#This Row],[IC-04]]=TRUE,Table1938[[#This Row],[IC-05]]=TRUE)</f>
        <v>1</v>
      </c>
      <c r="AC255" s="2" t="b">
        <f>AND(Table1938[[#This Row],[Pass-IC]]=TRUE,Table1938[[#This Row],[Pass-EC]]=TRUE)</f>
        <v>1</v>
      </c>
      <c r="AD255" s="2" t="b">
        <f>COUNTIF($D$25:D255, Table1938[[#This Row],[Title]]) = 1</f>
        <v>1</v>
      </c>
      <c r="AE255" s="2" t="b">
        <f>AND(Table1938[[#This Row],[IC + EC]:[Unique]])</f>
        <v>1</v>
      </c>
      <c r="AF255" s="2" t="b">
        <v>1</v>
      </c>
      <c r="AG255" s="2" t="b">
        <v>0</v>
      </c>
      <c r="AH255" s="2" t="b">
        <v>0</v>
      </c>
      <c r="AI255" s="2" t="b">
        <f>IF(AND(Table1938[[#This Row],[Double Check]]=TRUE,Table1938[[#This Row],[Inspected]]=TRUE,Table1938[[#This Row],[Relevant]]=TRUE),TRUE,FALSE)</f>
        <v>0</v>
      </c>
    </row>
    <row r="256" spans="1:35" ht="57.35" x14ac:dyDescent="0.5">
      <c r="A256" s="2">
        <v>255</v>
      </c>
      <c r="B256" s="20" t="s">
        <v>3</v>
      </c>
      <c r="C256" s="20" t="s">
        <v>3118</v>
      </c>
      <c r="D256" s="20" t="s">
        <v>1644</v>
      </c>
      <c r="E256" s="20" t="s">
        <v>1643</v>
      </c>
      <c r="F256" s="2" t="s">
        <v>1646</v>
      </c>
      <c r="G256" s="20" t="s">
        <v>1236</v>
      </c>
      <c r="H256" s="36">
        <v>44562</v>
      </c>
      <c r="I256" s="20">
        <v>2022</v>
      </c>
      <c r="J256" s="20" t="s">
        <v>61</v>
      </c>
      <c r="K256" s="20" t="s">
        <v>3119</v>
      </c>
      <c r="L256" s="20" t="s">
        <v>2515</v>
      </c>
      <c r="M256" s="20" t="s">
        <v>1645</v>
      </c>
      <c r="N256" s="20" t="b">
        <v>1</v>
      </c>
      <c r="O256" s="2" t="b">
        <f>IF(Table1938[[#This Row],[Title]]="",TRUE,FALSE)</f>
        <v>0</v>
      </c>
      <c r="P256" s="2" t="b">
        <f>IF(Table1938[[#This Row],[Author]]="",TRUE,FALSE)</f>
        <v>0</v>
      </c>
      <c r="Q256" s="2" t="b">
        <f>IF(Table1938[[#This Row],[DOI]]&lt;&gt;"", FALSE,TRUE)</f>
        <v>0</v>
      </c>
      <c r="R256" s="2" t="b">
        <f>IF(Table1938[[#This Row],[Abstract]]="",TRUE,FALSE)</f>
        <v>0</v>
      </c>
      <c r="S256" s="2" t="b">
        <f>IF(OR(Table1938[[#This Row],[Document Type]]="book",Table1938[[#This Row],[Document Type]]="bookSection"),TRUE,FALSE)</f>
        <v>0</v>
      </c>
      <c r="T256" s="2" t="b">
        <f>NOT(IF(OR(Table1938[[#This Row],[Language]]&lt;&gt;"en",Table1938[[#This Row],[Language]]&lt;&gt;"EN",Table1938[[#This Row],[Language]]&lt;&gt;"spa",Table1938[[#This Row],[Language]]&lt;&gt;"SPA"),TRUE,FALSE))</f>
        <v>0</v>
      </c>
      <c r="U256" s="2" t="b">
        <f>IF(AND(Table1938[[#This Row],[EC-01]]=FALSE,Table1938[[#This Row],[EC-02]]=FALSE,Table1938[[#This Row],[EC-03]]=FALSE,Table1938[[#This Row],[EC-04]]=FALSE,Table1938[[#This Row],[EC-05]]=FALSE,Table1938[[#This Row],[EC-06]]=FALSE),TRUE,FALSE)</f>
        <v>1</v>
      </c>
      <c r="V256" s="2" t="b">
        <f>IF(Table1938[[#This Row],[Date]]&lt;&gt;"",AND(YEAR(Table1938[[#This Row],[Date]])&gt;=2010, YEAR(Table1938[[#This Row],[Date]])&lt;=2024),FALSE)</f>
        <v>1</v>
      </c>
      <c r="W256" s="2" t="b">
        <f>IF(Table1938[[#This Row],[Date]]&lt;&gt;"",AND(YEAR(Table1938[[#This Row],[Date]])&gt;=2010, YEAR(Table1938[[#This Row],[Date]])&lt;=2020),FALSE)</f>
        <v>0</v>
      </c>
      <c r="X256" s="2" t="b">
        <f>IF(AND(Table1938[[#This Row],[Accesible]]=TRUE,Table1938[[#This Row],[DOI]]&lt;&gt;""),TRUE,FALSE)</f>
        <v>1</v>
      </c>
      <c r="Y256" s="2" t="b">
        <f>OR(Table1938[[#This Row],[Document Type]]="journalArticle",Table1938[[#This Row],[Document Type]]="conferencePaper",Table1938[[#This Row],[Document Type]]="review")</f>
        <v>1</v>
      </c>
      <c r="Z256" s="2" t="b" cm="1">
        <f t="array" ref="Z256">SUMPRODUCT(--ISNUMBER(SEARCH({"dimensional analysis","dimensionless coefficients","Π","Pi","theorem","software","design","tools","development","architecture","similar"}, LOWER(Table1938[[#This Row],[Title]]))))&gt;0</f>
        <v>0</v>
      </c>
      <c r="AA256" s="2" t="b" cm="1">
        <f t="array" ref="AA256">SUMPRODUCT(--ISNUMBER(SEARCH({"dimensional analysis","dimensionless coefficients","Π","Pi","theorem","software","design","tools","development","architecture","similar"}, LOWER(Table1938[[#This Row],[Abstract]]))))&gt;0</f>
        <v>1</v>
      </c>
      <c r="AB256" s="2" t="b">
        <f>AND(OR(Table1938[[#This Row],[IC-01 @2024]:[IC-01 @2020]])=TRUE,Table1938[[#This Row],[IC-02]]=TRUE,Table1938[[#This Row],[IC-03]]=TRUE,Table1938[[#This Row],[IC-04]]=TRUE,Table1938[[#This Row],[IC-05]]=TRUE)</f>
        <v>0</v>
      </c>
      <c r="AC256" s="2" t="b">
        <f>AND(Table1938[[#This Row],[Pass-IC]]=TRUE,Table1938[[#This Row],[Pass-EC]]=TRUE)</f>
        <v>0</v>
      </c>
      <c r="AD256" s="2" t="b">
        <f>COUNTIF($D$25:D256, Table1938[[#This Row],[Title]]) = 1</f>
        <v>1</v>
      </c>
      <c r="AE256" s="2" t="b">
        <f>AND(Table1938[[#This Row],[IC + EC]:[Unique]])</f>
        <v>0</v>
      </c>
      <c r="AF256" s="2" t="b">
        <v>0</v>
      </c>
      <c r="AG256" s="2" t="b">
        <v>0</v>
      </c>
      <c r="AH256" s="2" t="b">
        <v>0</v>
      </c>
      <c r="AI256" s="2" t="b">
        <f>IF(AND(Table1938[[#This Row],[Double Check]]=TRUE,Table1938[[#This Row],[Inspected]]=TRUE,Table1938[[#This Row],[Relevant]]=TRUE),TRUE,FALSE)</f>
        <v>0</v>
      </c>
    </row>
    <row r="257" spans="1:35" ht="71.7" x14ac:dyDescent="0.5">
      <c r="A257" s="2">
        <v>256</v>
      </c>
      <c r="B257" s="20" t="s">
        <v>3</v>
      </c>
      <c r="C257" s="20" t="s">
        <v>3120</v>
      </c>
      <c r="D257" s="20" t="s">
        <v>1776</v>
      </c>
      <c r="E257" s="20" t="s">
        <v>1775</v>
      </c>
      <c r="F257" s="2" t="s">
        <v>1778</v>
      </c>
      <c r="G257" s="20" t="s">
        <v>1744</v>
      </c>
      <c r="H257" s="36">
        <v>44717</v>
      </c>
      <c r="I257" s="20">
        <v>2022</v>
      </c>
      <c r="J257" s="20" t="s">
        <v>61</v>
      </c>
      <c r="K257" s="20" t="s">
        <v>3121</v>
      </c>
      <c r="L257" s="20" t="s">
        <v>2515</v>
      </c>
      <c r="M257" s="20" t="s">
        <v>1777</v>
      </c>
      <c r="N257" s="20" t="b">
        <v>1</v>
      </c>
      <c r="O257" s="2" t="b">
        <f>IF(Table1938[[#This Row],[Title]]="",TRUE,FALSE)</f>
        <v>0</v>
      </c>
      <c r="P257" s="2" t="b">
        <f>IF(Table1938[[#This Row],[Author]]="",TRUE,FALSE)</f>
        <v>0</v>
      </c>
      <c r="Q257" s="2" t="b">
        <f>IF(Table1938[[#This Row],[DOI]]&lt;&gt;"", FALSE,TRUE)</f>
        <v>0</v>
      </c>
      <c r="R257" s="2" t="b">
        <f>IF(Table1938[[#This Row],[Abstract]]="",TRUE,FALSE)</f>
        <v>0</v>
      </c>
      <c r="S257" s="2" t="b">
        <f>IF(OR(Table1938[[#This Row],[Document Type]]="book",Table1938[[#This Row],[Document Type]]="bookSection"),TRUE,FALSE)</f>
        <v>0</v>
      </c>
      <c r="T257" s="2" t="b">
        <f>NOT(IF(OR(Table1938[[#This Row],[Language]]&lt;&gt;"en",Table1938[[#This Row],[Language]]&lt;&gt;"EN",Table1938[[#This Row],[Language]]&lt;&gt;"spa",Table1938[[#This Row],[Language]]&lt;&gt;"SPA"),TRUE,FALSE))</f>
        <v>0</v>
      </c>
      <c r="U257" s="2" t="b">
        <f>IF(AND(Table1938[[#This Row],[EC-01]]=FALSE,Table1938[[#This Row],[EC-02]]=FALSE,Table1938[[#This Row],[EC-03]]=FALSE,Table1938[[#This Row],[EC-04]]=FALSE,Table1938[[#This Row],[EC-05]]=FALSE,Table1938[[#This Row],[EC-06]]=FALSE),TRUE,FALSE)</f>
        <v>1</v>
      </c>
      <c r="V257" s="2" t="b">
        <f>IF(Table1938[[#This Row],[Date]]&lt;&gt;"",AND(YEAR(Table1938[[#This Row],[Date]])&gt;=2010, YEAR(Table1938[[#This Row],[Date]])&lt;=2024),FALSE)</f>
        <v>1</v>
      </c>
      <c r="W257" s="2" t="b">
        <f>IF(Table1938[[#This Row],[Date]]&lt;&gt;"",AND(YEAR(Table1938[[#This Row],[Date]])&gt;=2010, YEAR(Table1938[[#This Row],[Date]])&lt;=2020),FALSE)</f>
        <v>0</v>
      </c>
      <c r="X257" s="2" t="b">
        <f>IF(AND(Table1938[[#This Row],[Accesible]]=TRUE,Table1938[[#This Row],[DOI]]&lt;&gt;""),TRUE,FALSE)</f>
        <v>1</v>
      </c>
      <c r="Y257" s="2" t="b">
        <f>OR(Table1938[[#This Row],[Document Type]]="journalArticle",Table1938[[#This Row],[Document Type]]="conferencePaper",Table1938[[#This Row],[Document Type]]="review")</f>
        <v>1</v>
      </c>
      <c r="Z257" s="2" t="b" cm="1">
        <f t="array" ref="Z257">SUMPRODUCT(--ISNUMBER(SEARCH({"dimensional analysis","dimensionless coefficients","Π","Pi","theorem","software","design","tools","development","architecture","similar"}, LOWER(Table1938[[#This Row],[Title]]))))&gt;0</f>
        <v>0</v>
      </c>
      <c r="AA257" s="2" t="b" cm="1">
        <f t="array" ref="AA257">SUMPRODUCT(--ISNUMBER(SEARCH({"dimensional analysis","dimensionless coefficients","Π","Pi","theorem","software","design","tools","development","architecture","similar"}, LOWER(Table1938[[#This Row],[Abstract]]))))&gt;0</f>
        <v>0</v>
      </c>
      <c r="AB257" s="2" t="b">
        <f>AND(OR(Table1938[[#This Row],[IC-01 @2024]:[IC-01 @2020]])=TRUE,Table1938[[#This Row],[IC-02]]=TRUE,Table1938[[#This Row],[IC-03]]=TRUE,Table1938[[#This Row],[IC-04]]=TRUE,Table1938[[#This Row],[IC-05]]=TRUE)</f>
        <v>0</v>
      </c>
      <c r="AC257" s="2" t="b">
        <f>AND(Table1938[[#This Row],[Pass-IC]]=TRUE,Table1938[[#This Row],[Pass-EC]]=TRUE)</f>
        <v>0</v>
      </c>
      <c r="AD257" s="2" t="b">
        <f>COUNTIF($D$25:D257, Table1938[[#This Row],[Title]]) = 1</f>
        <v>1</v>
      </c>
      <c r="AE257" s="2" t="b">
        <f>AND(Table1938[[#This Row],[IC + EC]:[Unique]])</f>
        <v>0</v>
      </c>
      <c r="AF257" s="2" t="b">
        <v>0</v>
      </c>
      <c r="AG257" s="2" t="b">
        <v>0</v>
      </c>
      <c r="AH257" s="2" t="b">
        <v>0</v>
      </c>
      <c r="AI257" s="2" t="b">
        <f>IF(AND(Table1938[[#This Row],[Double Check]]=TRUE,Table1938[[#This Row],[Inspected]]=TRUE,Table1938[[#This Row],[Relevant]]=TRUE),TRUE,FALSE)</f>
        <v>0</v>
      </c>
    </row>
    <row r="258" spans="1:35" ht="57.35" x14ac:dyDescent="0.5">
      <c r="A258" s="2">
        <v>257</v>
      </c>
      <c r="B258" s="20" t="s">
        <v>3</v>
      </c>
      <c r="C258" s="20" t="s">
        <v>3122</v>
      </c>
      <c r="D258" s="20" t="s">
        <v>1117</v>
      </c>
      <c r="E258" s="20" t="s">
        <v>1116</v>
      </c>
      <c r="F258" s="2" t="s">
        <v>1119</v>
      </c>
      <c r="G258" s="20" t="s">
        <v>919</v>
      </c>
      <c r="H258" s="36">
        <v>45397</v>
      </c>
      <c r="I258" s="20">
        <v>2024</v>
      </c>
      <c r="J258" s="20" t="s">
        <v>61</v>
      </c>
      <c r="K258" s="20" t="s">
        <v>3123</v>
      </c>
      <c r="L258" s="20" t="s">
        <v>2515</v>
      </c>
      <c r="M258" s="20" t="s">
        <v>1118</v>
      </c>
      <c r="N258" s="20" t="b">
        <v>1</v>
      </c>
      <c r="O258" s="2" t="b">
        <f>IF(Table1938[[#This Row],[Title]]="",TRUE,FALSE)</f>
        <v>0</v>
      </c>
      <c r="P258" s="2" t="b">
        <f>IF(Table1938[[#This Row],[Author]]="",TRUE,FALSE)</f>
        <v>0</v>
      </c>
      <c r="Q258" s="2" t="b">
        <f>IF(Table1938[[#This Row],[DOI]]&lt;&gt;"", FALSE,TRUE)</f>
        <v>0</v>
      </c>
      <c r="R258" s="2" t="b">
        <f>IF(Table1938[[#This Row],[Abstract]]="",TRUE,FALSE)</f>
        <v>0</v>
      </c>
      <c r="S258" s="2" t="b">
        <f>IF(OR(Table1938[[#This Row],[Document Type]]="book",Table1938[[#This Row],[Document Type]]="bookSection"),TRUE,FALSE)</f>
        <v>0</v>
      </c>
      <c r="T258" s="2" t="b">
        <f>NOT(IF(OR(Table1938[[#This Row],[Language]]&lt;&gt;"en",Table1938[[#This Row],[Language]]&lt;&gt;"EN",Table1938[[#This Row],[Language]]&lt;&gt;"spa",Table1938[[#This Row],[Language]]&lt;&gt;"SPA"),TRUE,FALSE))</f>
        <v>0</v>
      </c>
      <c r="U258" s="2" t="b">
        <f>IF(AND(Table1938[[#This Row],[EC-01]]=FALSE,Table1938[[#This Row],[EC-02]]=FALSE,Table1938[[#This Row],[EC-03]]=FALSE,Table1938[[#This Row],[EC-04]]=FALSE,Table1938[[#This Row],[EC-05]]=FALSE,Table1938[[#This Row],[EC-06]]=FALSE),TRUE,FALSE)</f>
        <v>1</v>
      </c>
      <c r="V258" s="2" t="b">
        <f>IF(Table1938[[#This Row],[Date]]&lt;&gt;"",AND(YEAR(Table1938[[#This Row],[Date]])&gt;=2010, YEAR(Table1938[[#This Row],[Date]])&lt;=2024),FALSE)</f>
        <v>1</v>
      </c>
      <c r="W258" s="2" t="b">
        <f>IF(Table1938[[#This Row],[Date]]&lt;&gt;"",AND(YEAR(Table1938[[#This Row],[Date]])&gt;=2010, YEAR(Table1938[[#This Row],[Date]])&lt;=2020),FALSE)</f>
        <v>0</v>
      </c>
      <c r="X258" s="2" t="b">
        <f>IF(AND(Table1938[[#This Row],[Accesible]]=TRUE,Table1938[[#This Row],[DOI]]&lt;&gt;""),TRUE,FALSE)</f>
        <v>1</v>
      </c>
      <c r="Y258" s="2" t="b">
        <f>OR(Table1938[[#This Row],[Document Type]]="journalArticle",Table1938[[#This Row],[Document Type]]="conferencePaper",Table1938[[#This Row],[Document Type]]="review")</f>
        <v>1</v>
      </c>
      <c r="Z258" s="2" t="b" cm="1">
        <f t="array" ref="Z258">SUMPRODUCT(--ISNUMBER(SEARCH({"dimensional analysis","dimensionless coefficients","Π","Pi","theorem","software","design","tools","development","architecture","similar"}, LOWER(Table1938[[#This Row],[Title]]))))&gt;0</f>
        <v>1</v>
      </c>
      <c r="AA258" s="2" t="b" cm="1">
        <f t="array" ref="AA258">SUMPRODUCT(--ISNUMBER(SEARCH({"dimensional analysis","dimensionless coefficients","Π","Pi","theorem","software","design","tools","development","architecture","similar"}, LOWER(Table1938[[#This Row],[Abstract]]))))&gt;0</f>
        <v>1</v>
      </c>
      <c r="AB258" s="2" t="b">
        <f>AND(OR(Table1938[[#This Row],[IC-01 @2024]:[IC-01 @2020]])=TRUE,Table1938[[#This Row],[IC-02]]=TRUE,Table1938[[#This Row],[IC-03]]=TRUE,Table1938[[#This Row],[IC-04]]=TRUE,Table1938[[#This Row],[IC-05]]=TRUE)</f>
        <v>1</v>
      </c>
      <c r="AC258" s="2" t="b">
        <f>AND(Table1938[[#This Row],[Pass-IC]]=TRUE,Table1938[[#This Row],[Pass-EC]]=TRUE)</f>
        <v>1</v>
      </c>
      <c r="AD258" s="2" t="b">
        <f>COUNTIF($D$25:D258, Table1938[[#This Row],[Title]]) = 1</f>
        <v>1</v>
      </c>
      <c r="AE258" s="2" t="b">
        <f>AND(Table1938[[#This Row],[IC + EC]:[Unique]])</f>
        <v>1</v>
      </c>
      <c r="AF258" s="2" t="b">
        <v>1</v>
      </c>
      <c r="AG258" s="2" t="b">
        <v>0</v>
      </c>
      <c r="AH258" s="2" t="b">
        <v>0</v>
      </c>
      <c r="AI258" s="2" t="b">
        <f>IF(AND(Table1938[[#This Row],[Double Check]]=TRUE,Table1938[[#This Row],[Inspected]]=TRUE,Table1938[[#This Row],[Relevant]]=TRUE),TRUE,FALSE)</f>
        <v>0</v>
      </c>
    </row>
    <row r="259" spans="1:35" ht="57.35" x14ac:dyDescent="0.5">
      <c r="A259" s="2">
        <v>258</v>
      </c>
      <c r="B259" s="20" t="s">
        <v>3</v>
      </c>
      <c r="C259" s="20" t="s">
        <v>3124</v>
      </c>
      <c r="D259" s="20" t="s">
        <v>1121</v>
      </c>
      <c r="E259" s="20" t="s">
        <v>1120</v>
      </c>
      <c r="F259" s="2" t="s">
        <v>1124</v>
      </c>
      <c r="G259" s="20" t="s">
        <v>1122</v>
      </c>
      <c r="H259" s="36">
        <v>45627</v>
      </c>
      <c r="I259" s="20">
        <v>2024</v>
      </c>
      <c r="J259" s="20" t="s">
        <v>61</v>
      </c>
      <c r="K259" s="20" t="s">
        <v>3125</v>
      </c>
      <c r="L259" s="20" t="s">
        <v>2515</v>
      </c>
      <c r="M259" s="20" t="s">
        <v>1123</v>
      </c>
      <c r="N259" s="20" t="b">
        <v>1</v>
      </c>
      <c r="O259" s="2" t="b">
        <f>IF(Table1938[[#This Row],[Title]]="",TRUE,FALSE)</f>
        <v>0</v>
      </c>
      <c r="P259" s="2" t="b">
        <f>IF(Table1938[[#This Row],[Author]]="",TRUE,FALSE)</f>
        <v>0</v>
      </c>
      <c r="Q259" s="2" t="b">
        <f>IF(Table1938[[#This Row],[DOI]]&lt;&gt;"", FALSE,TRUE)</f>
        <v>0</v>
      </c>
      <c r="R259" s="2" t="b">
        <f>IF(Table1938[[#This Row],[Abstract]]="",TRUE,FALSE)</f>
        <v>0</v>
      </c>
      <c r="S259" s="2" t="b">
        <f>IF(OR(Table1938[[#This Row],[Document Type]]="book",Table1938[[#This Row],[Document Type]]="bookSection"),TRUE,FALSE)</f>
        <v>0</v>
      </c>
      <c r="T259" s="2" t="b">
        <f>NOT(IF(OR(Table1938[[#This Row],[Language]]&lt;&gt;"en",Table1938[[#This Row],[Language]]&lt;&gt;"EN",Table1938[[#This Row],[Language]]&lt;&gt;"spa",Table1938[[#This Row],[Language]]&lt;&gt;"SPA"),TRUE,FALSE))</f>
        <v>0</v>
      </c>
      <c r="U259" s="2" t="b">
        <f>IF(AND(Table1938[[#This Row],[EC-01]]=FALSE,Table1938[[#This Row],[EC-02]]=FALSE,Table1938[[#This Row],[EC-03]]=FALSE,Table1938[[#This Row],[EC-04]]=FALSE,Table1938[[#This Row],[EC-05]]=FALSE,Table1938[[#This Row],[EC-06]]=FALSE),TRUE,FALSE)</f>
        <v>1</v>
      </c>
      <c r="V259" s="2" t="b">
        <f>IF(Table1938[[#This Row],[Date]]&lt;&gt;"",AND(YEAR(Table1938[[#This Row],[Date]])&gt;=2010, YEAR(Table1938[[#This Row],[Date]])&lt;=2024),FALSE)</f>
        <v>1</v>
      </c>
      <c r="W259" s="2" t="b">
        <f>IF(Table1938[[#This Row],[Date]]&lt;&gt;"",AND(YEAR(Table1938[[#This Row],[Date]])&gt;=2010, YEAR(Table1938[[#This Row],[Date]])&lt;=2020),FALSE)</f>
        <v>0</v>
      </c>
      <c r="X259" s="2" t="b">
        <f>IF(AND(Table1938[[#This Row],[Accesible]]=TRUE,Table1938[[#This Row],[DOI]]&lt;&gt;""),TRUE,FALSE)</f>
        <v>1</v>
      </c>
      <c r="Y259" s="2" t="b">
        <f>OR(Table1938[[#This Row],[Document Type]]="journalArticle",Table1938[[#This Row],[Document Type]]="conferencePaper",Table1938[[#This Row],[Document Type]]="review")</f>
        <v>1</v>
      </c>
      <c r="Z259" s="2" t="b" cm="1">
        <f t="array" ref="Z259">SUMPRODUCT(--ISNUMBER(SEARCH({"dimensional analysis","dimensionless coefficients","Π","Pi","theorem","software","design","tools","development","architecture","similar"}, LOWER(Table1938[[#This Row],[Title]]))))&gt;0</f>
        <v>1</v>
      </c>
      <c r="AA259" s="2" t="b" cm="1">
        <f t="array" ref="AA259">SUMPRODUCT(--ISNUMBER(SEARCH({"dimensional analysis","dimensionless coefficients","Π","Pi","theorem","software","design","tools","development","architecture","similar"}, LOWER(Table1938[[#This Row],[Abstract]]))))&gt;0</f>
        <v>1</v>
      </c>
      <c r="AB259" s="2" t="b">
        <f>AND(OR(Table1938[[#This Row],[IC-01 @2024]:[IC-01 @2020]])=TRUE,Table1938[[#This Row],[IC-02]]=TRUE,Table1938[[#This Row],[IC-03]]=TRUE,Table1938[[#This Row],[IC-04]]=TRUE,Table1938[[#This Row],[IC-05]]=TRUE)</f>
        <v>1</v>
      </c>
      <c r="AC259" s="2" t="b">
        <f>AND(Table1938[[#This Row],[Pass-IC]]=TRUE,Table1938[[#This Row],[Pass-EC]]=TRUE)</f>
        <v>1</v>
      </c>
      <c r="AD259" s="2" t="b">
        <f>COUNTIF($D$25:D259, Table1938[[#This Row],[Title]]) = 1</f>
        <v>1</v>
      </c>
      <c r="AE259" s="2" t="b">
        <f>AND(Table1938[[#This Row],[IC + EC]:[Unique]])</f>
        <v>1</v>
      </c>
      <c r="AF259" s="2" t="b">
        <v>1</v>
      </c>
      <c r="AG259" s="2" t="b">
        <v>0</v>
      </c>
      <c r="AH259" s="2" t="b">
        <v>0</v>
      </c>
      <c r="AI259" s="2" t="b">
        <f>IF(AND(Table1938[[#This Row],[Double Check]]=TRUE,Table1938[[#This Row],[Inspected]]=TRUE,Table1938[[#This Row],[Relevant]]=TRUE),TRUE,FALSE)</f>
        <v>0</v>
      </c>
    </row>
    <row r="260" spans="1:35" ht="71.7" x14ac:dyDescent="0.5">
      <c r="A260" s="2">
        <v>259</v>
      </c>
      <c r="B260" s="20" t="s">
        <v>3</v>
      </c>
      <c r="C260" s="20" t="s">
        <v>3126</v>
      </c>
      <c r="D260" s="20" t="s">
        <v>1170</v>
      </c>
      <c r="E260" s="20" t="s">
        <v>1169</v>
      </c>
      <c r="F260" s="2" t="s">
        <v>1173</v>
      </c>
      <c r="G260" s="20" t="s">
        <v>1171</v>
      </c>
      <c r="H260" s="36">
        <v>44378</v>
      </c>
      <c r="I260" s="20">
        <v>2021</v>
      </c>
      <c r="J260" s="20" t="s">
        <v>61</v>
      </c>
      <c r="K260" s="20" t="s">
        <v>3127</v>
      </c>
      <c r="L260" s="20" t="s">
        <v>2515</v>
      </c>
      <c r="M260" s="20" t="s">
        <v>1172</v>
      </c>
      <c r="N260" s="20" t="b">
        <v>1</v>
      </c>
      <c r="O260" s="2" t="b">
        <f>IF(Table1938[[#This Row],[Title]]="",TRUE,FALSE)</f>
        <v>0</v>
      </c>
      <c r="P260" s="2" t="b">
        <f>IF(Table1938[[#This Row],[Author]]="",TRUE,FALSE)</f>
        <v>0</v>
      </c>
      <c r="Q260" s="2" t="b">
        <f>IF(Table1938[[#This Row],[DOI]]&lt;&gt;"", FALSE,TRUE)</f>
        <v>0</v>
      </c>
      <c r="R260" s="2" t="b">
        <f>IF(Table1938[[#This Row],[Abstract]]="",TRUE,FALSE)</f>
        <v>0</v>
      </c>
      <c r="S260" s="2" t="b">
        <f>IF(OR(Table1938[[#This Row],[Document Type]]="book",Table1938[[#This Row],[Document Type]]="bookSection"),TRUE,FALSE)</f>
        <v>0</v>
      </c>
      <c r="T260" s="2" t="b">
        <f>NOT(IF(OR(Table1938[[#This Row],[Language]]&lt;&gt;"en",Table1938[[#This Row],[Language]]&lt;&gt;"EN",Table1938[[#This Row],[Language]]&lt;&gt;"spa",Table1938[[#This Row],[Language]]&lt;&gt;"SPA"),TRUE,FALSE))</f>
        <v>0</v>
      </c>
      <c r="U260" s="2" t="b">
        <f>IF(AND(Table1938[[#This Row],[EC-01]]=FALSE,Table1938[[#This Row],[EC-02]]=FALSE,Table1938[[#This Row],[EC-03]]=FALSE,Table1938[[#This Row],[EC-04]]=FALSE,Table1938[[#This Row],[EC-05]]=FALSE,Table1938[[#This Row],[EC-06]]=FALSE),TRUE,FALSE)</f>
        <v>1</v>
      </c>
      <c r="V260" s="2" t="b">
        <f>IF(Table1938[[#This Row],[Date]]&lt;&gt;"",AND(YEAR(Table1938[[#This Row],[Date]])&gt;=2010, YEAR(Table1938[[#This Row],[Date]])&lt;=2024),FALSE)</f>
        <v>1</v>
      </c>
      <c r="W260" s="2" t="b">
        <f>IF(Table1938[[#This Row],[Date]]&lt;&gt;"",AND(YEAR(Table1938[[#This Row],[Date]])&gt;=2010, YEAR(Table1938[[#This Row],[Date]])&lt;=2020),FALSE)</f>
        <v>0</v>
      </c>
      <c r="X260" s="2" t="b">
        <f>IF(AND(Table1938[[#This Row],[Accesible]]=TRUE,Table1938[[#This Row],[DOI]]&lt;&gt;""),TRUE,FALSE)</f>
        <v>1</v>
      </c>
      <c r="Y260" s="2" t="b">
        <f>OR(Table1938[[#This Row],[Document Type]]="journalArticle",Table1938[[#This Row],[Document Type]]="conferencePaper",Table1938[[#This Row],[Document Type]]="review")</f>
        <v>1</v>
      </c>
      <c r="Z260" s="2" t="b" cm="1">
        <f t="array" ref="Z260">SUMPRODUCT(--ISNUMBER(SEARCH({"dimensional analysis","dimensionless coefficients","Π","Pi","theorem","software","design","tools","development","architecture","similar"}, LOWER(Table1938[[#This Row],[Title]]))))&gt;0</f>
        <v>1</v>
      </c>
      <c r="AA260" s="2" t="b" cm="1">
        <f t="array" ref="AA260">SUMPRODUCT(--ISNUMBER(SEARCH({"dimensional analysis","dimensionless coefficients","Π","Pi","theorem","software","design","tools","development","architecture","similar"}, LOWER(Table1938[[#This Row],[Abstract]]))))&gt;0</f>
        <v>1</v>
      </c>
      <c r="AB260" s="2" t="b">
        <f>AND(OR(Table1938[[#This Row],[IC-01 @2024]:[IC-01 @2020]])=TRUE,Table1938[[#This Row],[IC-02]]=TRUE,Table1938[[#This Row],[IC-03]]=TRUE,Table1938[[#This Row],[IC-04]]=TRUE,Table1938[[#This Row],[IC-05]]=TRUE)</f>
        <v>1</v>
      </c>
      <c r="AC260" s="2" t="b">
        <f>AND(Table1938[[#This Row],[Pass-IC]]=TRUE,Table1938[[#This Row],[Pass-EC]]=TRUE)</f>
        <v>1</v>
      </c>
      <c r="AD260" s="2" t="b">
        <f>COUNTIF($D$25:D260, Table1938[[#This Row],[Title]]) = 1</f>
        <v>1</v>
      </c>
      <c r="AE260" s="2" t="b">
        <f>AND(Table1938[[#This Row],[IC + EC]:[Unique]])</f>
        <v>1</v>
      </c>
      <c r="AF260" s="2" t="b">
        <v>1</v>
      </c>
      <c r="AG260" s="2" t="b">
        <v>0</v>
      </c>
      <c r="AH260" s="2" t="b">
        <v>0</v>
      </c>
      <c r="AI260" s="2" t="b">
        <f>IF(AND(Table1938[[#This Row],[Double Check]]=TRUE,Table1938[[#This Row],[Inspected]]=TRUE,Table1938[[#This Row],[Relevant]]=TRUE),TRUE,FALSE)</f>
        <v>0</v>
      </c>
    </row>
    <row r="261" spans="1:35" ht="71.7" x14ac:dyDescent="0.5">
      <c r="A261" s="2">
        <v>260</v>
      </c>
      <c r="B261" s="20" t="s">
        <v>3</v>
      </c>
      <c r="C261" s="20" t="s">
        <v>3128</v>
      </c>
      <c r="D261" s="20" t="s">
        <v>1130</v>
      </c>
      <c r="E261" s="20" t="s">
        <v>1129</v>
      </c>
      <c r="F261" s="2" t="s">
        <v>1132</v>
      </c>
      <c r="G261" s="20" t="s">
        <v>939</v>
      </c>
      <c r="H261" s="36">
        <v>45597</v>
      </c>
      <c r="I261" s="20">
        <v>2024</v>
      </c>
      <c r="J261" s="20" t="s">
        <v>61</v>
      </c>
      <c r="K261" s="20" t="s">
        <v>3129</v>
      </c>
      <c r="L261" s="20" t="s">
        <v>2515</v>
      </c>
      <c r="M261" s="20" t="s">
        <v>1131</v>
      </c>
      <c r="N261" s="20" t="b">
        <v>1</v>
      </c>
      <c r="O261" s="2" t="b">
        <f>IF(Table1938[[#This Row],[Title]]="",TRUE,FALSE)</f>
        <v>0</v>
      </c>
      <c r="P261" s="2" t="b">
        <f>IF(Table1938[[#This Row],[Author]]="",TRUE,FALSE)</f>
        <v>0</v>
      </c>
      <c r="Q261" s="2" t="b">
        <f>IF(Table1938[[#This Row],[DOI]]&lt;&gt;"", FALSE,TRUE)</f>
        <v>0</v>
      </c>
      <c r="R261" s="2" t="b">
        <f>IF(Table1938[[#This Row],[Abstract]]="",TRUE,FALSE)</f>
        <v>0</v>
      </c>
      <c r="S261" s="2" t="b">
        <f>IF(OR(Table1938[[#This Row],[Document Type]]="book",Table1938[[#This Row],[Document Type]]="bookSection"),TRUE,FALSE)</f>
        <v>0</v>
      </c>
      <c r="T261" s="2" t="b">
        <f>NOT(IF(OR(Table1938[[#This Row],[Language]]&lt;&gt;"en",Table1938[[#This Row],[Language]]&lt;&gt;"EN",Table1938[[#This Row],[Language]]&lt;&gt;"spa",Table1938[[#This Row],[Language]]&lt;&gt;"SPA"),TRUE,FALSE))</f>
        <v>0</v>
      </c>
      <c r="U261" s="2" t="b">
        <f>IF(AND(Table1938[[#This Row],[EC-01]]=FALSE,Table1938[[#This Row],[EC-02]]=FALSE,Table1938[[#This Row],[EC-03]]=FALSE,Table1938[[#This Row],[EC-04]]=FALSE,Table1938[[#This Row],[EC-05]]=FALSE,Table1938[[#This Row],[EC-06]]=FALSE),TRUE,FALSE)</f>
        <v>1</v>
      </c>
      <c r="V261" s="2" t="b">
        <f>IF(Table1938[[#This Row],[Date]]&lt;&gt;"",AND(YEAR(Table1938[[#This Row],[Date]])&gt;=2010, YEAR(Table1938[[#This Row],[Date]])&lt;=2024),FALSE)</f>
        <v>1</v>
      </c>
      <c r="W261" s="2" t="b">
        <f>IF(Table1938[[#This Row],[Date]]&lt;&gt;"",AND(YEAR(Table1938[[#This Row],[Date]])&gt;=2010, YEAR(Table1938[[#This Row],[Date]])&lt;=2020),FALSE)</f>
        <v>0</v>
      </c>
      <c r="X261" s="2" t="b">
        <f>IF(AND(Table1938[[#This Row],[Accesible]]=TRUE,Table1938[[#This Row],[DOI]]&lt;&gt;""),TRUE,FALSE)</f>
        <v>1</v>
      </c>
      <c r="Y261" s="2" t="b">
        <f>OR(Table1938[[#This Row],[Document Type]]="journalArticle",Table1938[[#This Row],[Document Type]]="conferencePaper",Table1938[[#This Row],[Document Type]]="review")</f>
        <v>1</v>
      </c>
      <c r="Z261" s="2" t="b" cm="1">
        <f t="array" ref="Z261">SUMPRODUCT(--ISNUMBER(SEARCH({"dimensional analysis","dimensionless coefficients","Π","Pi","theorem","software","design","tools","development","architecture","similar"}, LOWER(Table1938[[#This Row],[Title]]))))&gt;0</f>
        <v>1</v>
      </c>
      <c r="AA261" s="2" t="b" cm="1">
        <f t="array" ref="AA261">SUMPRODUCT(--ISNUMBER(SEARCH({"dimensional analysis","dimensionless coefficients","Π","Pi","theorem","software","design","tools","development","architecture","similar"}, LOWER(Table1938[[#This Row],[Abstract]]))))&gt;0</f>
        <v>1</v>
      </c>
      <c r="AB261" s="2" t="b">
        <f>AND(OR(Table1938[[#This Row],[IC-01 @2024]:[IC-01 @2020]])=TRUE,Table1938[[#This Row],[IC-02]]=TRUE,Table1938[[#This Row],[IC-03]]=TRUE,Table1938[[#This Row],[IC-04]]=TRUE,Table1938[[#This Row],[IC-05]]=TRUE)</f>
        <v>1</v>
      </c>
      <c r="AC261" s="2" t="b">
        <f>AND(Table1938[[#This Row],[Pass-IC]]=TRUE,Table1938[[#This Row],[Pass-EC]]=TRUE)</f>
        <v>1</v>
      </c>
      <c r="AD261" s="2" t="b">
        <f>COUNTIF($D$25:D261, Table1938[[#This Row],[Title]]) = 1</f>
        <v>1</v>
      </c>
      <c r="AE261" s="2" t="b">
        <f>AND(Table1938[[#This Row],[IC + EC]:[Unique]])</f>
        <v>1</v>
      </c>
      <c r="AF261" s="2" t="b">
        <v>1</v>
      </c>
      <c r="AG261" s="2" t="b">
        <v>0</v>
      </c>
      <c r="AH261" s="2" t="b">
        <v>0</v>
      </c>
      <c r="AI261" s="2" t="b">
        <f>IF(AND(Table1938[[#This Row],[Double Check]]=TRUE,Table1938[[#This Row],[Inspected]]=TRUE,Table1938[[#This Row],[Relevant]]=TRUE),TRUE,FALSE)</f>
        <v>0</v>
      </c>
    </row>
    <row r="262" spans="1:35" ht="43" x14ac:dyDescent="0.5">
      <c r="A262" s="2">
        <v>261</v>
      </c>
      <c r="B262" s="20" t="s">
        <v>3</v>
      </c>
      <c r="C262" s="20" t="s">
        <v>3130</v>
      </c>
      <c r="D262" s="20" t="s">
        <v>2388</v>
      </c>
      <c r="E262" s="20" t="s">
        <v>2387</v>
      </c>
      <c r="F262" s="2" t="s">
        <v>2390</v>
      </c>
      <c r="G262" s="20" t="s">
        <v>958</v>
      </c>
      <c r="H262" s="36">
        <v>45627</v>
      </c>
      <c r="I262" s="20">
        <v>2024</v>
      </c>
      <c r="J262" s="20" t="s">
        <v>61</v>
      </c>
      <c r="K262" s="20" t="s">
        <v>3131</v>
      </c>
      <c r="L262" s="20" t="s">
        <v>2515</v>
      </c>
      <c r="M262" s="20" t="s">
        <v>2389</v>
      </c>
      <c r="N262" s="20" t="b">
        <v>1</v>
      </c>
      <c r="O262" s="2" t="b">
        <f>IF(Table1938[[#This Row],[Title]]="",TRUE,FALSE)</f>
        <v>0</v>
      </c>
      <c r="P262" s="2" t="b">
        <f>IF(Table1938[[#This Row],[Author]]="",TRUE,FALSE)</f>
        <v>0</v>
      </c>
      <c r="Q262" s="2" t="b">
        <f>IF(Table1938[[#This Row],[DOI]]&lt;&gt;"", FALSE,TRUE)</f>
        <v>0</v>
      </c>
      <c r="R262" s="2" t="b">
        <f>IF(Table1938[[#This Row],[Abstract]]="",TRUE,FALSE)</f>
        <v>0</v>
      </c>
      <c r="S262" s="2" t="b">
        <f>IF(OR(Table1938[[#This Row],[Document Type]]="book",Table1938[[#This Row],[Document Type]]="bookSection"),TRUE,FALSE)</f>
        <v>0</v>
      </c>
      <c r="T262" s="2" t="b">
        <f>NOT(IF(OR(Table1938[[#This Row],[Language]]&lt;&gt;"en",Table1938[[#This Row],[Language]]&lt;&gt;"EN",Table1938[[#This Row],[Language]]&lt;&gt;"spa",Table1938[[#This Row],[Language]]&lt;&gt;"SPA"),TRUE,FALSE))</f>
        <v>0</v>
      </c>
      <c r="U262" s="2" t="b">
        <f>IF(AND(Table1938[[#This Row],[EC-01]]=FALSE,Table1938[[#This Row],[EC-02]]=FALSE,Table1938[[#This Row],[EC-03]]=FALSE,Table1938[[#This Row],[EC-04]]=FALSE,Table1938[[#This Row],[EC-05]]=FALSE,Table1938[[#This Row],[EC-06]]=FALSE),TRUE,FALSE)</f>
        <v>1</v>
      </c>
      <c r="V262" s="2" t="b">
        <f>IF(Table1938[[#This Row],[Date]]&lt;&gt;"",AND(YEAR(Table1938[[#This Row],[Date]])&gt;=2010, YEAR(Table1938[[#This Row],[Date]])&lt;=2024),FALSE)</f>
        <v>1</v>
      </c>
      <c r="W262" s="2" t="b">
        <f>IF(Table1938[[#This Row],[Date]]&lt;&gt;"",AND(YEAR(Table1938[[#This Row],[Date]])&gt;=2010, YEAR(Table1938[[#This Row],[Date]])&lt;=2020),FALSE)</f>
        <v>0</v>
      </c>
      <c r="X262" s="2" t="b">
        <f>IF(AND(Table1938[[#This Row],[Accesible]]=TRUE,Table1938[[#This Row],[DOI]]&lt;&gt;""),TRUE,FALSE)</f>
        <v>1</v>
      </c>
      <c r="Y262" s="2" t="b">
        <f>OR(Table1938[[#This Row],[Document Type]]="journalArticle",Table1938[[#This Row],[Document Type]]="conferencePaper",Table1938[[#This Row],[Document Type]]="review")</f>
        <v>1</v>
      </c>
      <c r="Z262" s="2" t="b" cm="1">
        <f t="array" ref="Z262">SUMPRODUCT(--ISNUMBER(SEARCH({"dimensional analysis","dimensionless coefficients","Π","Pi","theorem","software","design","tools","development","architecture","similar"}, LOWER(Table1938[[#This Row],[Title]]))))&gt;0</f>
        <v>0</v>
      </c>
      <c r="AA262" s="2" t="b" cm="1">
        <f t="array" ref="AA262">SUMPRODUCT(--ISNUMBER(SEARCH({"dimensional analysis","dimensionless coefficients","Π","Pi","theorem","software","design","tools","development","architecture","similar"}, LOWER(Table1938[[#This Row],[Abstract]]))))&gt;0</f>
        <v>0</v>
      </c>
      <c r="AB262" s="2" t="b">
        <f>AND(OR(Table1938[[#This Row],[IC-01 @2024]:[IC-01 @2020]])=TRUE,Table1938[[#This Row],[IC-02]]=TRUE,Table1938[[#This Row],[IC-03]]=TRUE,Table1938[[#This Row],[IC-04]]=TRUE,Table1938[[#This Row],[IC-05]]=TRUE)</f>
        <v>0</v>
      </c>
      <c r="AC262" s="2" t="b">
        <f>AND(Table1938[[#This Row],[Pass-IC]]=TRUE,Table1938[[#This Row],[Pass-EC]]=TRUE)</f>
        <v>0</v>
      </c>
      <c r="AD262" s="2" t="b">
        <f>COUNTIF($D$25:D262, Table1938[[#This Row],[Title]]) = 1</f>
        <v>1</v>
      </c>
      <c r="AE262" s="2" t="b">
        <f>AND(Table1938[[#This Row],[IC + EC]:[Unique]])</f>
        <v>0</v>
      </c>
      <c r="AF262" s="2" t="b">
        <v>0</v>
      </c>
      <c r="AG262" s="2" t="b">
        <v>0</v>
      </c>
      <c r="AH262" s="2" t="b">
        <v>0</v>
      </c>
      <c r="AI262" s="2" t="b">
        <f>IF(AND(Table1938[[#This Row],[Double Check]]=TRUE,Table1938[[#This Row],[Inspected]]=TRUE,Table1938[[#This Row],[Relevant]]=TRUE),TRUE,FALSE)</f>
        <v>0</v>
      </c>
    </row>
    <row r="263" spans="1:35" ht="57.35" x14ac:dyDescent="0.5">
      <c r="A263" s="2">
        <v>262</v>
      </c>
      <c r="B263" s="20" t="s">
        <v>3</v>
      </c>
      <c r="C263" s="20" t="s">
        <v>3132</v>
      </c>
      <c r="D263" s="20" t="s">
        <v>1454</v>
      </c>
      <c r="E263" s="20" t="s">
        <v>1453</v>
      </c>
      <c r="F263" s="2" t="s">
        <v>1456</v>
      </c>
      <c r="G263" s="20" t="s">
        <v>1006</v>
      </c>
      <c r="H263" s="36">
        <v>45566</v>
      </c>
      <c r="I263" s="20">
        <v>2024</v>
      </c>
      <c r="J263" s="20" t="s">
        <v>61</v>
      </c>
      <c r="K263" s="20" t="s">
        <v>3133</v>
      </c>
      <c r="L263" s="20" t="s">
        <v>2515</v>
      </c>
      <c r="M263" s="20" t="s">
        <v>1455</v>
      </c>
      <c r="N263" s="20" t="b">
        <v>1</v>
      </c>
      <c r="O263" s="2" t="b">
        <f>IF(Table1938[[#This Row],[Title]]="",TRUE,FALSE)</f>
        <v>0</v>
      </c>
      <c r="P263" s="2" t="b">
        <f>IF(Table1938[[#This Row],[Author]]="",TRUE,FALSE)</f>
        <v>0</v>
      </c>
      <c r="Q263" s="2" t="b">
        <f>IF(Table1938[[#This Row],[DOI]]&lt;&gt;"", FALSE,TRUE)</f>
        <v>0</v>
      </c>
      <c r="R263" s="2" t="b">
        <f>IF(Table1938[[#This Row],[Abstract]]="",TRUE,FALSE)</f>
        <v>0</v>
      </c>
      <c r="S263" s="2" t="b">
        <f>IF(OR(Table1938[[#This Row],[Document Type]]="book",Table1938[[#This Row],[Document Type]]="bookSection"),TRUE,FALSE)</f>
        <v>0</v>
      </c>
      <c r="T263" s="2" t="b">
        <f>NOT(IF(OR(Table1938[[#This Row],[Language]]&lt;&gt;"en",Table1938[[#This Row],[Language]]&lt;&gt;"EN",Table1938[[#This Row],[Language]]&lt;&gt;"spa",Table1938[[#This Row],[Language]]&lt;&gt;"SPA"),TRUE,FALSE))</f>
        <v>0</v>
      </c>
      <c r="U263" s="2" t="b">
        <f>IF(AND(Table1938[[#This Row],[EC-01]]=FALSE,Table1938[[#This Row],[EC-02]]=FALSE,Table1938[[#This Row],[EC-03]]=FALSE,Table1938[[#This Row],[EC-04]]=FALSE,Table1938[[#This Row],[EC-05]]=FALSE,Table1938[[#This Row],[EC-06]]=FALSE),TRUE,FALSE)</f>
        <v>1</v>
      </c>
      <c r="V263" s="2" t="b">
        <f>IF(Table1938[[#This Row],[Date]]&lt;&gt;"",AND(YEAR(Table1938[[#This Row],[Date]])&gt;=2010, YEAR(Table1938[[#This Row],[Date]])&lt;=2024),FALSE)</f>
        <v>1</v>
      </c>
      <c r="W263" s="2" t="b">
        <f>IF(Table1938[[#This Row],[Date]]&lt;&gt;"",AND(YEAR(Table1938[[#This Row],[Date]])&gt;=2010, YEAR(Table1938[[#This Row],[Date]])&lt;=2020),FALSE)</f>
        <v>0</v>
      </c>
      <c r="X263" s="2" t="b">
        <f>IF(AND(Table1938[[#This Row],[Accesible]]=TRUE,Table1938[[#This Row],[DOI]]&lt;&gt;""),TRUE,FALSE)</f>
        <v>1</v>
      </c>
      <c r="Y263" s="2" t="b">
        <f>OR(Table1938[[#This Row],[Document Type]]="journalArticle",Table1938[[#This Row],[Document Type]]="conferencePaper",Table1938[[#This Row],[Document Type]]="review")</f>
        <v>1</v>
      </c>
      <c r="Z263" s="2" t="b" cm="1">
        <f t="array" ref="Z263">SUMPRODUCT(--ISNUMBER(SEARCH({"dimensional analysis","dimensionless coefficients","Π","Pi","theorem","software","design","tools","development","architecture","similar"}, LOWER(Table1938[[#This Row],[Title]]))))&gt;0</f>
        <v>1</v>
      </c>
      <c r="AA263" s="2" t="b" cm="1">
        <f t="array" ref="AA263">SUMPRODUCT(--ISNUMBER(SEARCH({"dimensional analysis","dimensionless coefficients","Π","Pi","theorem","software","design","tools","development","architecture","similar"}, LOWER(Table1938[[#This Row],[Abstract]]))))&gt;0</f>
        <v>1</v>
      </c>
      <c r="AB263" s="2" t="b">
        <f>AND(OR(Table1938[[#This Row],[IC-01 @2024]:[IC-01 @2020]])=TRUE,Table1938[[#This Row],[IC-02]]=TRUE,Table1938[[#This Row],[IC-03]]=TRUE,Table1938[[#This Row],[IC-04]]=TRUE,Table1938[[#This Row],[IC-05]]=TRUE)</f>
        <v>1</v>
      </c>
      <c r="AC263" s="2" t="b">
        <f>AND(Table1938[[#This Row],[Pass-IC]]=TRUE,Table1938[[#This Row],[Pass-EC]]=TRUE)</f>
        <v>1</v>
      </c>
      <c r="AD263" s="2" t="b">
        <f>COUNTIF($D$25:D263, Table1938[[#This Row],[Title]]) = 1</f>
        <v>1</v>
      </c>
      <c r="AE263" s="2" t="b">
        <f>AND(Table1938[[#This Row],[IC + EC]:[Unique]])</f>
        <v>1</v>
      </c>
      <c r="AF263" s="2" t="b">
        <v>1</v>
      </c>
      <c r="AG263" s="2" t="b">
        <v>0</v>
      </c>
      <c r="AH263" s="2" t="b">
        <v>0</v>
      </c>
      <c r="AI263" s="2" t="b">
        <f>IF(AND(Table1938[[#This Row],[Double Check]]=TRUE,Table1938[[#This Row],[Inspected]]=TRUE,Table1938[[#This Row],[Relevant]]=TRUE),TRUE,FALSE)</f>
        <v>0</v>
      </c>
    </row>
    <row r="264" spans="1:35" ht="71.7" x14ac:dyDescent="0.5">
      <c r="A264" s="2">
        <v>263</v>
      </c>
      <c r="B264" s="20" t="s">
        <v>3</v>
      </c>
      <c r="C264" s="20" t="s">
        <v>3134</v>
      </c>
      <c r="D264" s="20" t="s">
        <v>1665</v>
      </c>
      <c r="E264" s="20" t="s">
        <v>1664</v>
      </c>
      <c r="F264" s="2" t="s">
        <v>1667</v>
      </c>
      <c r="G264" s="20" t="s">
        <v>920</v>
      </c>
      <c r="H264" s="36">
        <v>44221</v>
      </c>
      <c r="I264" s="20">
        <v>2021</v>
      </c>
      <c r="J264" s="20" t="s">
        <v>61</v>
      </c>
      <c r="K264" s="20" t="s">
        <v>3135</v>
      </c>
      <c r="L264" s="20" t="s">
        <v>2515</v>
      </c>
      <c r="M264" s="20" t="s">
        <v>1666</v>
      </c>
      <c r="N264" s="20" t="b">
        <v>1</v>
      </c>
      <c r="O264" s="2" t="b">
        <f>IF(Table1938[[#This Row],[Title]]="",TRUE,FALSE)</f>
        <v>0</v>
      </c>
      <c r="P264" s="2" t="b">
        <f>IF(Table1938[[#This Row],[Author]]="",TRUE,FALSE)</f>
        <v>0</v>
      </c>
      <c r="Q264" s="2" t="b">
        <f>IF(Table1938[[#This Row],[DOI]]&lt;&gt;"", FALSE,TRUE)</f>
        <v>0</v>
      </c>
      <c r="R264" s="2" t="b">
        <f>IF(Table1938[[#This Row],[Abstract]]="",TRUE,FALSE)</f>
        <v>0</v>
      </c>
      <c r="S264" s="2" t="b">
        <f>IF(OR(Table1938[[#This Row],[Document Type]]="book",Table1938[[#This Row],[Document Type]]="bookSection"),TRUE,FALSE)</f>
        <v>0</v>
      </c>
      <c r="T264" s="2" t="b">
        <f>NOT(IF(OR(Table1938[[#This Row],[Language]]&lt;&gt;"en",Table1938[[#This Row],[Language]]&lt;&gt;"EN",Table1938[[#This Row],[Language]]&lt;&gt;"spa",Table1938[[#This Row],[Language]]&lt;&gt;"SPA"),TRUE,FALSE))</f>
        <v>0</v>
      </c>
      <c r="U264" s="2" t="b">
        <f>IF(AND(Table1938[[#This Row],[EC-01]]=FALSE,Table1938[[#This Row],[EC-02]]=FALSE,Table1938[[#This Row],[EC-03]]=FALSE,Table1938[[#This Row],[EC-04]]=FALSE,Table1938[[#This Row],[EC-05]]=FALSE,Table1938[[#This Row],[EC-06]]=FALSE),TRUE,FALSE)</f>
        <v>1</v>
      </c>
      <c r="V264" s="2" t="b">
        <f>IF(Table1938[[#This Row],[Date]]&lt;&gt;"",AND(YEAR(Table1938[[#This Row],[Date]])&gt;=2010, YEAR(Table1938[[#This Row],[Date]])&lt;=2024),FALSE)</f>
        <v>1</v>
      </c>
      <c r="W264" s="2" t="b">
        <f>IF(Table1938[[#This Row],[Date]]&lt;&gt;"",AND(YEAR(Table1938[[#This Row],[Date]])&gt;=2010, YEAR(Table1938[[#This Row],[Date]])&lt;=2020),FALSE)</f>
        <v>0</v>
      </c>
      <c r="X264" s="2" t="b">
        <f>IF(AND(Table1938[[#This Row],[Accesible]]=TRUE,Table1938[[#This Row],[DOI]]&lt;&gt;""),TRUE,FALSE)</f>
        <v>1</v>
      </c>
      <c r="Y264" s="2" t="b">
        <f>OR(Table1938[[#This Row],[Document Type]]="journalArticle",Table1938[[#This Row],[Document Type]]="conferencePaper",Table1938[[#This Row],[Document Type]]="review")</f>
        <v>1</v>
      </c>
      <c r="Z264" s="2" t="b" cm="1">
        <f t="array" ref="Z264">SUMPRODUCT(--ISNUMBER(SEARCH({"dimensional analysis","dimensionless coefficients","Π","Pi","theorem","software","design","tools","development","architecture","similar"}, LOWER(Table1938[[#This Row],[Title]]))))&gt;0</f>
        <v>0</v>
      </c>
      <c r="AA264" s="2" t="b" cm="1">
        <f t="array" ref="AA264">SUMPRODUCT(--ISNUMBER(SEARCH({"dimensional analysis","dimensionless coefficients","Π","Pi","theorem","software","design","tools","development","architecture","similar"}, LOWER(Table1938[[#This Row],[Abstract]]))))&gt;0</f>
        <v>0</v>
      </c>
      <c r="AB264" s="2" t="b">
        <f>AND(OR(Table1938[[#This Row],[IC-01 @2024]:[IC-01 @2020]])=TRUE,Table1938[[#This Row],[IC-02]]=TRUE,Table1938[[#This Row],[IC-03]]=TRUE,Table1938[[#This Row],[IC-04]]=TRUE,Table1938[[#This Row],[IC-05]]=TRUE)</f>
        <v>0</v>
      </c>
      <c r="AC264" s="2" t="b">
        <f>AND(Table1938[[#This Row],[Pass-IC]]=TRUE,Table1938[[#This Row],[Pass-EC]]=TRUE)</f>
        <v>0</v>
      </c>
      <c r="AD264" s="2" t="b">
        <f>COUNTIF($D$25:D264, Table1938[[#This Row],[Title]]) = 1</f>
        <v>1</v>
      </c>
      <c r="AE264" s="2" t="b">
        <f>AND(Table1938[[#This Row],[IC + EC]:[Unique]])</f>
        <v>0</v>
      </c>
      <c r="AF264" s="2" t="b">
        <v>0</v>
      </c>
      <c r="AG264" s="2" t="b">
        <v>0</v>
      </c>
      <c r="AH264" s="2" t="b">
        <v>0</v>
      </c>
      <c r="AI264" s="2" t="b">
        <f>IF(AND(Table1938[[#This Row],[Double Check]]=TRUE,Table1938[[#This Row],[Inspected]]=TRUE,Table1938[[#This Row],[Relevant]]=TRUE),TRUE,FALSE)</f>
        <v>0</v>
      </c>
    </row>
    <row r="265" spans="1:35" ht="57.35" x14ac:dyDescent="0.5">
      <c r="A265" s="2">
        <v>264</v>
      </c>
      <c r="B265" s="20" t="s">
        <v>3</v>
      </c>
      <c r="C265" s="20" t="s">
        <v>3136</v>
      </c>
      <c r="D265" s="20" t="s">
        <v>2026</v>
      </c>
      <c r="E265" s="20" t="s">
        <v>2025</v>
      </c>
      <c r="F265" s="2" t="s">
        <v>2028</v>
      </c>
      <c r="G265" s="20" t="s">
        <v>1002</v>
      </c>
      <c r="H265" s="36">
        <v>45627</v>
      </c>
      <c r="I265" s="20">
        <v>2024</v>
      </c>
      <c r="J265" s="20" t="s">
        <v>61</v>
      </c>
      <c r="K265" s="20" t="s">
        <v>3137</v>
      </c>
      <c r="L265" s="20" t="s">
        <v>2515</v>
      </c>
      <c r="M265" s="20" t="s">
        <v>2027</v>
      </c>
      <c r="N265" s="20" t="b">
        <v>1</v>
      </c>
      <c r="O265" s="2" t="b">
        <f>IF(Table1938[[#This Row],[Title]]="",TRUE,FALSE)</f>
        <v>0</v>
      </c>
      <c r="P265" s="2" t="b">
        <f>IF(Table1938[[#This Row],[Author]]="",TRUE,FALSE)</f>
        <v>0</v>
      </c>
      <c r="Q265" s="2" t="b">
        <f>IF(Table1938[[#This Row],[DOI]]&lt;&gt;"", FALSE,TRUE)</f>
        <v>0</v>
      </c>
      <c r="R265" s="2" t="b">
        <f>IF(Table1938[[#This Row],[Abstract]]="",TRUE,FALSE)</f>
        <v>0</v>
      </c>
      <c r="S265" s="2" t="b">
        <f>IF(OR(Table1938[[#This Row],[Document Type]]="book",Table1938[[#This Row],[Document Type]]="bookSection"),TRUE,FALSE)</f>
        <v>0</v>
      </c>
      <c r="T265" s="2" t="b">
        <f>NOT(IF(OR(Table1938[[#This Row],[Language]]&lt;&gt;"en",Table1938[[#This Row],[Language]]&lt;&gt;"EN",Table1938[[#This Row],[Language]]&lt;&gt;"spa",Table1938[[#This Row],[Language]]&lt;&gt;"SPA"),TRUE,FALSE))</f>
        <v>0</v>
      </c>
      <c r="U265" s="2" t="b">
        <f>IF(AND(Table1938[[#This Row],[EC-01]]=FALSE,Table1938[[#This Row],[EC-02]]=FALSE,Table1938[[#This Row],[EC-03]]=FALSE,Table1938[[#This Row],[EC-04]]=FALSE,Table1938[[#This Row],[EC-05]]=FALSE,Table1938[[#This Row],[EC-06]]=FALSE),TRUE,FALSE)</f>
        <v>1</v>
      </c>
      <c r="V265" s="2" t="b">
        <f>IF(Table1938[[#This Row],[Date]]&lt;&gt;"",AND(YEAR(Table1938[[#This Row],[Date]])&gt;=2010, YEAR(Table1938[[#This Row],[Date]])&lt;=2024),FALSE)</f>
        <v>1</v>
      </c>
      <c r="W265" s="2" t="b">
        <f>IF(Table1938[[#This Row],[Date]]&lt;&gt;"",AND(YEAR(Table1938[[#This Row],[Date]])&gt;=2010, YEAR(Table1938[[#This Row],[Date]])&lt;=2020),FALSE)</f>
        <v>0</v>
      </c>
      <c r="X265" s="2" t="b">
        <f>IF(AND(Table1938[[#This Row],[Accesible]]=TRUE,Table1938[[#This Row],[DOI]]&lt;&gt;""),TRUE,FALSE)</f>
        <v>1</v>
      </c>
      <c r="Y265" s="2" t="b">
        <f>OR(Table1938[[#This Row],[Document Type]]="journalArticle",Table1938[[#This Row],[Document Type]]="conferencePaper",Table1938[[#This Row],[Document Type]]="review")</f>
        <v>1</v>
      </c>
      <c r="Z265" s="2" t="b" cm="1">
        <f t="array" ref="Z265">SUMPRODUCT(--ISNUMBER(SEARCH({"dimensional analysis","dimensionless coefficients","Π","Pi","theorem","software","design","tools","development","architecture","similar"}, LOWER(Table1938[[#This Row],[Title]]))))&gt;0</f>
        <v>0</v>
      </c>
      <c r="AA265" s="2" t="b" cm="1">
        <f t="array" ref="AA265">SUMPRODUCT(--ISNUMBER(SEARCH({"dimensional analysis","dimensionless coefficients","Π","Pi","theorem","software","design","tools","development","architecture","similar"}, LOWER(Table1938[[#This Row],[Abstract]]))))&gt;0</f>
        <v>1</v>
      </c>
      <c r="AB265" s="2" t="b">
        <f>AND(OR(Table1938[[#This Row],[IC-01 @2024]:[IC-01 @2020]])=TRUE,Table1938[[#This Row],[IC-02]]=TRUE,Table1938[[#This Row],[IC-03]]=TRUE,Table1938[[#This Row],[IC-04]]=TRUE,Table1938[[#This Row],[IC-05]]=TRUE)</f>
        <v>0</v>
      </c>
      <c r="AC265" s="2" t="b">
        <f>AND(Table1938[[#This Row],[Pass-IC]]=TRUE,Table1938[[#This Row],[Pass-EC]]=TRUE)</f>
        <v>0</v>
      </c>
      <c r="AD265" s="2" t="b">
        <f>COUNTIF($D$25:D265, Table1938[[#This Row],[Title]]) = 1</f>
        <v>1</v>
      </c>
      <c r="AE265" s="2" t="b">
        <f>AND(Table1938[[#This Row],[IC + EC]:[Unique]])</f>
        <v>0</v>
      </c>
      <c r="AF265" s="2" t="b">
        <v>0</v>
      </c>
      <c r="AG265" s="2" t="b">
        <v>0</v>
      </c>
      <c r="AH265" s="2" t="b">
        <v>0</v>
      </c>
      <c r="AI265" s="2" t="b">
        <f>IF(AND(Table1938[[#This Row],[Double Check]]=TRUE,Table1938[[#This Row],[Inspected]]=TRUE,Table1938[[#This Row],[Relevant]]=TRUE),TRUE,FALSE)</f>
        <v>0</v>
      </c>
    </row>
    <row r="266" spans="1:35" ht="57.35" x14ac:dyDescent="0.5">
      <c r="A266" s="2">
        <v>265</v>
      </c>
      <c r="B266" s="20" t="s">
        <v>3</v>
      </c>
      <c r="C266" s="20" t="s">
        <v>3138</v>
      </c>
      <c r="D266" s="20" t="s">
        <v>2008</v>
      </c>
      <c r="E266" s="20" t="s">
        <v>2007</v>
      </c>
      <c r="F266" s="2" t="s">
        <v>2010</v>
      </c>
      <c r="G266" s="20" t="s">
        <v>939</v>
      </c>
      <c r="H266" s="36">
        <v>45611</v>
      </c>
      <c r="I266" s="20">
        <v>2024</v>
      </c>
      <c r="J266" s="20" t="s">
        <v>61</v>
      </c>
      <c r="K266" s="20" t="s">
        <v>3139</v>
      </c>
      <c r="L266" s="20" t="s">
        <v>2515</v>
      </c>
      <c r="M266" s="20" t="s">
        <v>2009</v>
      </c>
      <c r="N266" s="20" t="b">
        <v>1</v>
      </c>
      <c r="O266" s="2" t="b">
        <f>IF(Table1938[[#This Row],[Title]]="",TRUE,FALSE)</f>
        <v>0</v>
      </c>
      <c r="P266" s="2" t="b">
        <f>IF(Table1938[[#This Row],[Author]]="",TRUE,FALSE)</f>
        <v>0</v>
      </c>
      <c r="Q266" s="2" t="b">
        <f>IF(Table1938[[#This Row],[DOI]]&lt;&gt;"", FALSE,TRUE)</f>
        <v>0</v>
      </c>
      <c r="R266" s="2" t="b">
        <f>IF(Table1938[[#This Row],[Abstract]]="",TRUE,FALSE)</f>
        <v>0</v>
      </c>
      <c r="S266" s="2" t="b">
        <f>IF(OR(Table1938[[#This Row],[Document Type]]="book",Table1938[[#This Row],[Document Type]]="bookSection"),TRUE,FALSE)</f>
        <v>0</v>
      </c>
      <c r="T266" s="2" t="b">
        <f>NOT(IF(OR(Table1938[[#This Row],[Language]]&lt;&gt;"en",Table1938[[#This Row],[Language]]&lt;&gt;"EN",Table1938[[#This Row],[Language]]&lt;&gt;"spa",Table1938[[#This Row],[Language]]&lt;&gt;"SPA"),TRUE,FALSE))</f>
        <v>0</v>
      </c>
      <c r="U266" s="2" t="b">
        <f>IF(AND(Table1938[[#This Row],[EC-01]]=FALSE,Table1938[[#This Row],[EC-02]]=FALSE,Table1938[[#This Row],[EC-03]]=FALSE,Table1938[[#This Row],[EC-04]]=FALSE,Table1938[[#This Row],[EC-05]]=FALSE,Table1938[[#This Row],[EC-06]]=FALSE),TRUE,FALSE)</f>
        <v>1</v>
      </c>
      <c r="V266" s="2" t="b">
        <f>IF(Table1938[[#This Row],[Date]]&lt;&gt;"",AND(YEAR(Table1938[[#This Row],[Date]])&gt;=2010, YEAR(Table1938[[#This Row],[Date]])&lt;=2024),FALSE)</f>
        <v>1</v>
      </c>
      <c r="W266" s="2" t="b">
        <f>IF(Table1938[[#This Row],[Date]]&lt;&gt;"",AND(YEAR(Table1938[[#This Row],[Date]])&gt;=2010, YEAR(Table1938[[#This Row],[Date]])&lt;=2020),FALSE)</f>
        <v>0</v>
      </c>
      <c r="X266" s="2" t="b">
        <f>IF(AND(Table1938[[#This Row],[Accesible]]=TRUE,Table1938[[#This Row],[DOI]]&lt;&gt;""),TRUE,FALSE)</f>
        <v>1</v>
      </c>
      <c r="Y266" s="2" t="b">
        <f>OR(Table1938[[#This Row],[Document Type]]="journalArticle",Table1938[[#This Row],[Document Type]]="conferencePaper",Table1938[[#This Row],[Document Type]]="review")</f>
        <v>1</v>
      </c>
      <c r="Z266" s="2" t="b" cm="1">
        <f t="array" ref="Z266">SUMPRODUCT(--ISNUMBER(SEARCH({"dimensional analysis","dimensionless coefficients","Π","Pi","theorem","software","design","tools","development","architecture","similar"}, LOWER(Table1938[[#This Row],[Title]]))))&gt;0</f>
        <v>1</v>
      </c>
      <c r="AA266" s="2" t="b" cm="1">
        <f t="array" ref="AA266">SUMPRODUCT(--ISNUMBER(SEARCH({"dimensional analysis","dimensionless coefficients","Π","Pi","theorem","software","design","tools","development","architecture","similar"}, LOWER(Table1938[[#This Row],[Abstract]]))))&gt;0</f>
        <v>1</v>
      </c>
      <c r="AB266" s="2" t="b">
        <f>AND(OR(Table1938[[#This Row],[IC-01 @2024]:[IC-01 @2020]])=TRUE,Table1938[[#This Row],[IC-02]]=TRUE,Table1938[[#This Row],[IC-03]]=TRUE,Table1938[[#This Row],[IC-04]]=TRUE,Table1938[[#This Row],[IC-05]]=TRUE)</f>
        <v>1</v>
      </c>
      <c r="AC266" s="2" t="b">
        <f>AND(Table1938[[#This Row],[Pass-IC]]=TRUE,Table1938[[#This Row],[Pass-EC]]=TRUE)</f>
        <v>1</v>
      </c>
      <c r="AD266" s="2" t="b">
        <f>COUNTIF($D$25:D266, Table1938[[#This Row],[Title]]) = 1</f>
        <v>1</v>
      </c>
      <c r="AE266" s="2" t="b">
        <f>AND(Table1938[[#This Row],[IC + EC]:[Unique]])</f>
        <v>1</v>
      </c>
      <c r="AF266" s="2" t="b">
        <v>1</v>
      </c>
      <c r="AG266" s="2" t="b">
        <v>0</v>
      </c>
      <c r="AH266" s="2" t="b">
        <v>0</v>
      </c>
      <c r="AI266" s="2" t="b">
        <f>IF(AND(Table1938[[#This Row],[Double Check]]=TRUE,Table1938[[#This Row],[Inspected]]=TRUE,Table1938[[#This Row],[Relevant]]=TRUE),TRUE,FALSE)</f>
        <v>0</v>
      </c>
    </row>
    <row r="267" spans="1:35" ht="71.7" x14ac:dyDescent="0.5">
      <c r="A267" s="2">
        <v>266</v>
      </c>
      <c r="B267" s="20" t="s">
        <v>3</v>
      </c>
      <c r="C267" s="20" t="s">
        <v>3140</v>
      </c>
      <c r="D267" s="20" t="s">
        <v>1808</v>
      </c>
      <c r="E267" s="20" t="s">
        <v>1807</v>
      </c>
      <c r="F267" s="2" t="s">
        <v>1810</v>
      </c>
      <c r="G267" s="20" t="s">
        <v>954</v>
      </c>
      <c r="H267" s="36">
        <v>44909</v>
      </c>
      <c r="I267" s="20">
        <v>2022</v>
      </c>
      <c r="J267" s="20" t="s">
        <v>61</v>
      </c>
      <c r="K267" s="20" t="s">
        <v>3141</v>
      </c>
      <c r="L267" s="20" t="s">
        <v>2515</v>
      </c>
      <c r="M267" s="20" t="s">
        <v>1809</v>
      </c>
      <c r="N267" s="20" t="b">
        <v>1</v>
      </c>
      <c r="O267" s="2" t="b">
        <f>IF(Table1938[[#This Row],[Title]]="",TRUE,FALSE)</f>
        <v>0</v>
      </c>
      <c r="P267" s="2" t="b">
        <f>IF(Table1938[[#This Row],[Author]]="",TRUE,FALSE)</f>
        <v>0</v>
      </c>
      <c r="Q267" s="2" t="b">
        <f>IF(Table1938[[#This Row],[DOI]]&lt;&gt;"", FALSE,TRUE)</f>
        <v>0</v>
      </c>
      <c r="R267" s="2" t="b">
        <f>IF(Table1938[[#This Row],[Abstract]]="",TRUE,FALSE)</f>
        <v>0</v>
      </c>
      <c r="S267" s="2" t="b">
        <f>IF(OR(Table1938[[#This Row],[Document Type]]="book",Table1938[[#This Row],[Document Type]]="bookSection"),TRUE,FALSE)</f>
        <v>0</v>
      </c>
      <c r="T267" s="2" t="b">
        <f>NOT(IF(OR(Table1938[[#This Row],[Language]]&lt;&gt;"en",Table1938[[#This Row],[Language]]&lt;&gt;"EN",Table1938[[#This Row],[Language]]&lt;&gt;"spa",Table1938[[#This Row],[Language]]&lt;&gt;"SPA"),TRUE,FALSE))</f>
        <v>0</v>
      </c>
      <c r="U267" s="2" t="b">
        <f>IF(AND(Table1938[[#This Row],[EC-01]]=FALSE,Table1938[[#This Row],[EC-02]]=FALSE,Table1938[[#This Row],[EC-03]]=FALSE,Table1938[[#This Row],[EC-04]]=FALSE,Table1938[[#This Row],[EC-05]]=FALSE,Table1938[[#This Row],[EC-06]]=FALSE),TRUE,FALSE)</f>
        <v>1</v>
      </c>
      <c r="V267" s="2" t="b">
        <f>IF(Table1938[[#This Row],[Date]]&lt;&gt;"",AND(YEAR(Table1938[[#This Row],[Date]])&gt;=2010, YEAR(Table1938[[#This Row],[Date]])&lt;=2024),FALSE)</f>
        <v>1</v>
      </c>
      <c r="W267" s="2" t="b">
        <f>IF(Table1938[[#This Row],[Date]]&lt;&gt;"",AND(YEAR(Table1938[[#This Row],[Date]])&gt;=2010, YEAR(Table1938[[#This Row],[Date]])&lt;=2020),FALSE)</f>
        <v>0</v>
      </c>
      <c r="X267" s="2" t="b">
        <f>IF(AND(Table1938[[#This Row],[Accesible]]=TRUE,Table1938[[#This Row],[DOI]]&lt;&gt;""),TRUE,FALSE)</f>
        <v>1</v>
      </c>
      <c r="Y267" s="2" t="b">
        <f>OR(Table1938[[#This Row],[Document Type]]="journalArticle",Table1938[[#This Row],[Document Type]]="conferencePaper",Table1938[[#This Row],[Document Type]]="review")</f>
        <v>1</v>
      </c>
      <c r="Z267" s="2" t="b" cm="1">
        <f t="array" ref="Z267">SUMPRODUCT(--ISNUMBER(SEARCH({"dimensional analysis","dimensionless coefficients","Π","Pi","theorem","software","design","tools","development","architecture","similar"}, LOWER(Table1938[[#This Row],[Title]]))))&gt;0</f>
        <v>0</v>
      </c>
      <c r="AA267" s="2" t="b" cm="1">
        <f t="array" ref="AA267">SUMPRODUCT(--ISNUMBER(SEARCH({"dimensional analysis","dimensionless coefficients","Π","Pi","theorem","software","design","tools","development","architecture","similar"}, LOWER(Table1938[[#This Row],[Abstract]]))))&gt;0</f>
        <v>1</v>
      </c>
      <c r="AB267" s="2" t="b">
        <f>AND(OR(Table1938[[#This Row],[IC-01 @2024]:[IC-01 @2020]])=TRUE,Table1938[[#This Row],[IC-02]]=TRUE,Table1938[[#This Row],[IC-03]]=TRUE,Table1938[[#This Row],[IC-04]]=TRUE,Table1938[[#This Row],[IC-05]]=TRUE)</f>
        <v>0</v>
      </c>
      <c r="AC267" s="2" t="b">
        <f>AND(Table1938[[#This Row],[Pass-IC]]=TRUE,Table1938[[#This Row],[Pass-EC]]=TRUE)</f>
        <v>0</v>
      </c>
      <c r="AD267" s="2" t="b">
        <f>COUNTIF($D$25:D267, Table1938[[#This Row],[Title]]) = 1</f>
        <v>1</v>
      </c>
      <c r="AE267" s="2" t="b">
        <f>AND(Table1938[[#This Row],[IC + EC]:[Unique]])</f>
        <v>0</v>
      </c>
      <c r="AF267" s="2" t="b">
        <v>0</v>
      </c>
      <c r="AG267" s="2" t="b">
        <v>0</v>
      </c>
      <c r="AH267" s="2" t="b">
        <v>0</v>
      </c>
      <c r="AI267" s="2" t="b">
        <f>IF(AND(Table1938[[#This Row],[Double Check]]=TRUE,Table1938[[#This Row],[Inspected]]=TRUE,Table1938[[#This Row],[Relevant]]=TRUE),TRUE,FALSE)</f>
        <v>0</v>
      </c>
    </row>
    <row r="268" spans="1:35" ht="43" x14ac:dyDescent="0.5">
      <c r="A268" s="2">
        <v>267</v>
      </c>
      <c r="B268" s="20" t="s">
        <v>3</v>
      </c>
      <c r="C268" s="20" t="s">
        <v>3142</v>
      </c>
      <c r="D268" s="20" t="s">
        <v>2261</v>
      </c>
      <c r="E268" s="20" t="s">
        <v>2260</v>
      </c>
      <c r="F268" s="2" t="s">
        <v>2264</v>
      </c>
      <c r="G268" s="20" t="s">
        <v>2262</v>
      </c>
      <c r="H268" s="36">
        <v>41904</v>
      </c>
      <c r="I268" s="20">
        <v>2014</v>
      </c>
      <c r="J268" s="20" t="s">
        <v>61</v>
      </c>
      <c r="K268" s="20" t="s">
        <v>3143</v>
      </c>
      <c r="L268" s="20" t="s">
        <v>2515</v>
      </c>
      <c r="M268" s="20" t="s">
        <v>2263</v>
      </c>
      <c r="N268" s="20" t="b">
        <v>1</v>
      </c>
      <c r="O268" s="2" t="b">
        <f>IF(Table1938[[#This Row],[Title]]="",TRUE,FALSE)</f>
        <v>0</v>
      </c>
      <c r="P268" s="2" t="b">
        <f>IF(Table1938[[#This Row],[Author]]="",TRUE,FALSE)</f>
        <v>0</v>
      </c>
      <c r="Q268" s="2" t="b">
        <f>IF(Table1938[[#This Row],[DOI]]&lt;&gt;"", FALSE,TRUE)</f>
        <v>0</v>
      </c>
      <c r="R268" s="2" t="b">
        <f>IF(Table1938[[#This Row],[Abstract]]="",TRUE,FALSE)</f>
        <v>0</v>
      </c>
      <c r="S268" s="2" t="b">
        <f>IF(OR(Table1938[[#This Row],[Document Type]]="book",Table1938[[#This Row],[Document Type]]="bookSection"),TRUE,FALSE)</f>
        <v>0</v>
      </c>
      <c r="T268" s="2" t="b">
        <f>NOT(IF(OR(Table1938[[#This Row],[Language]]&lt;&gt;"en",Table1938[[#This Row],[Language]]&lt;&gt;"EN",Table1938[[#This Row],[Language]]&lt;&gt;"spa",Table1938[[#This Row],[Language]]&lt;&gt;"SPA"),TRUE,FALSE))</f>
        <v>0</v>
      </c>
      <c r="U268" s="2" t="b">
        <f>IF(AND(Table1938[[#This Row],[EC-01]]=FALSE,Table1938[[#This Row],[EC-02]]=FALSE,Table1938[[#This Row],[EC-03]]=FALSE,Table1938[[#This Row],[EC-04]]=FALSE,Table1938[[#This Row],[EC-05]]=FALSE,Table1938[[#This Row],[EC-06]]=FALSE),TRUE,FALSE)</f>
        <v>1</v>
      </c>
      <c r="V268" s="2" t="b">
        <f>IF(Table1938[[#This Row],[Date]]&lt;&gt;"",AND(YEAR(Table1938[[#This Row],[Date]])&gt;=2010, YEAR(Table1938[[#This Row],[Date]])&lt;=2024),FALSE)</f>
        <v>1</v>
      </c>
      <c r="W268" s="2" t="b">
        <f>IF(Table1938[[#This Row],[Date]]&lt;&gt;"",AND(YEAR(Table1938[[#This Row],[Date]])&gt;=2010, YEAR(Table1938[[#This Row],[Date]])&lt;=2020),FALSE)</f>
        <v>1</v>
      </c>
      <c r="X268" s="2" t="b">
        <f>IF(AND(Table1938[[#This Row],[Accesible]]=TRUE,Table1938[[#This Row],[DOI]]&lt;&gt;""),TRUE,FALSE)</f>
        <v>1</v>
      </c>
      <c r="Y268" s="2" t="b">
        <f>OR(Table1938[[#This Row],[Document Type]]="journalArticle",Table1938[[#This Row],[Document Type]]="conferencePaper",Table1938[[#This Row],[Document Type]]="review")</f>
        <v>1</v>
      </c>
      <c r="Z268" s="2" t="b" cm="1">
        <f t="array" ref="Z268">SUMPRODUCT(--ISNUMBER(SEARCH({"dimensional analysis","dimensionless coefficients","Π","Pi","theorem","software","design","tools","development","architecture","similar"}, LOWER(Table1938[[#This Row],[Title]]))))&gt;0</f>
        <v>0</v>
      </c>
      <c r="AA268" s="2" t="b" cm="1">
        <f t="array" ref="AA268">SUMPRODUCT(--ISNUMBER(SEARCH({"dimensional analysis","dimensionless coefficients","Π","Pi","theorem","software","design","tools","development","architecture","similar"}, LOWER(Table1938[[#This Row],[Abstract]]))))&gt;0</f>
        <v>0</v>
      </c>
      <c r="AB268" s="2" t="b">
        <f>AND(OR(Table1938[[#This Row],[IC-01 @2024]:[IC-01 @2020]])=TRUE,Table1938[[#This Row],[IC-02]]=TRUE,Table1938[[#This Row],[IC-03]]=TRUE,Table1938[[#This Row],[IC-04]]=TRUE,Table1938[[#This Row],[IC-05]]=TRUE)</f>
        <v>0</v>
      </c>
      <c r="AC268" s="2" t="b">
        <f>AND(Table1938[[#This Row],[Pass-IC]]=TRUE,Table1938[[#This Row],[Pass-EC]]=TRUE)</f>
        <v>0</v>
      </c>
      <c r="AD268" s="2" t="b">
        <f>COUNTIF($D$25:D268, Table1938[[#This Row],[Title]]) = 1</f>
        <v>1</v>
      </c>
      <c r="AE268" s="2" t="b">
        <f>AND(Table1938[[#This Row],[IC + EC]:[Unique]])</f>
        <v>0</v>
      </c>
      <c r="AF268" s="2" t="b">
        <v>0</v>
      </c>
      <c r="AG268" s="2" t="b">
        <v>0</v>
      </c>
      <c r="AH268" s="2" t="b">
        <v>0</v>
      </c>
      <c r="AI268" s="2" t="b">
        <f>IF(AND(Table1938[[#This Row],[Double Check]]=TRUE,Table1938[[#This Row],[Inspected]]=TRUE,Table1938[[#This Row],[Relevant]]=TRUE),TRUE,FALSE)</f>
        <v>0</v>
      </c>
    </row>
    <row r="269" spans="1:35" ht="43" x14ac:dyDescent="0.5">
      <c r="A269" s="2">
        <v>268</v>
      </c>
      <c r="B269" s="20" t="s">
        <v>3</v>
      </c>
      <c r="C269" s="20" t="s">
        <v>3144</v>
      </c>
      <c r="D269" s="20" t="s">
        <v>2034</v>
      </c>
      <c r="E269" s="20" t="s">
        <v>2033</v>
      </c>
      <c r="F269" s="2" t="s">
        <v>2037</v>
      </c>
      <c r="G269" s="20" t="s">
        <v>2035</v>
      </c>
      <c r="H269" s="36">
        <v>43525</v>
      </c>
      <c r="I269" s="20">
        <v>2019</v>
      </c>
      <c r="J269" s="20" t="s">
        <v>61</v>
      </c>
      <c r="K269" s="20" t="s">
        <v>3145</v>
      </c>
      <c r="L269" s="20" t="s">
        <v>2515</v>
      </c>
      <c r="M269" s="20" t="s">
        <v>2036</v>
      </c>
      <c r="N269" s="20" t="b">
        <v>1</v>
      </c>
      <c r="O269" s="2" t="b">
        <f>IF(Table1938[[#This Row],[Title]]="",TRUE,FALSE)</f>
        <v>0</v>
      </c>
      <c r="P269" s="2" t="b">
        <f>IF(Table1938[[#This Row],[Author]]="",TRUE,FALSE)</f>
        <v>0</v>
      </c>
      <c r="Q269" s="2" t="b">
        <f>IF(Table1938[[#This Row],[DOI]]&lt;&gt;"", FALSE,TRUE)</f>
        <v>0</v>
      </c>
      <c r="R269" s="2" t="b">
        <f>IF(Table1938[[#This Row],[Abstract]]="",TRUE,FALSE)</f>
        <v>0</v>
      </c>
      <c r="S269" s="2" t="b">
        <f>IF(OR(Table1938[[#This Row],[Document Type]]="book",Table1938[[#This Row],[Document Type]]="bookSection"),TRUE,FALSE)</f>
        <v>0</v>
      </c>
      <c r="T269" s="2" t="b">
        <f>NOT(IF(OR(Table1938[[#This Row],[Language]]&lt;&gt;"en",Table1938[[#This Row],[Language]]&lt;&gt;"EN",Table1938[[#This Row],[Language]]&lt;&gt;"spa",Table1938[[#This Row],[Language]]&lt;&gt;"SPA"),TRUE,FALSE))</f>
        <v>0</v>
      </c>
      <c r="U269" s="2" t="b">
        <f>IF(AND(Table1938[[#This Row],[EC-01]]=FALSE,Table1938[[#This Row],[EC-02]]=FALSE,Table1938[[#This Row],[EC-03]]=FALSE,Table1938[[#This Row],[EC-04]]=FALSE,Table1938[[#This Row],[EC-05]]=FALSE,Table1938[[#This Row],[EC-06]]=FALSE),TRUE,FALSE)</f>
        <v>1</v>
      </c>
      <c r="V269" s="2" t="b">
        <f>IF(Table1938[[#This Row],[Date]]&lt;&gt;"",AND(YEAR(Table1938[[#This Row],[Date]])&gt;=2010, YEAR(Table1938[[#This Row],[Date]])&lt;=2024),FALSE)</f>
        <v>1</v>
      </c>
      <c r="W269" s="2" t="b">
        <f>IF(Table1938[[#This Row],[Date]]&lt;&gt;"",AND(YEAR(Table1938[[#This Row],[Date]])&gt;=2010, YEAR(Table1938[[#This Row],[Date]])&lt;=2020),FALSE)</f>
        <v>1</v>
      </c>
      <c r="X269" s="2" t="b">
        <f>IF(AND(Table1938[[#This Row],[Accesible]]=TRUE,Table1938[[#This Row],[DOI]]&lt;&gt;""),TRUE,FALSE)</f>
        <v>1</v>
      </c>
      <c r="Y269" s="2" t="b">
        <f>OR(Table1938[[#This Row],[Document Type]]="journalArticle",Table1938[[#This Row],[Document Type]]="conferencePaper",Table1938[[#This Row],[Document Type]]="review")</f>
        <v>1</v>
      </c>
      <c r="Z269" s="2" t="b" cm="1">
        <f t="array" ref="Z269">SUMPRODUCT(--ISNUMBER(SEARCH({"dimensional analysis","dimensionless coefficients","Π","Pi","theorem","software","design","tools","development","architecture","similar"}, LOWER(Table1938[[#This Row],[Title]]))))&gt;0</f>
        <v>0</v>
      </c>
      <c r="AA269" s="2" t="b" cm="1">
        <f t="array" ref="AA269">SUMPRODUCT(--ISNUMBER(SEARCH({"dimensional analysis","dimensionless coefficients","Π","Pi","theorem","software","design","tools","development","architecture","similar"}, LOWER(Table1938[[#This Row],[Abstract]]))))&gt;0</f>
        <v>1</v>
      </c>
      <c r="AB269" s="2" t="b">
        <f>AND(OR(Table1938[[#This Row],[IC-01 @2024]:[IC-01 @2020]])=TRUE,Table1938[[#This Row],[IC-02]]=TRUE,Table1938[[#This Row],[IC-03]]=TRUE,Table1938[[#This Row],[IC-04]]=TRUE,Table1938[[#This Row],[IC-05]]=TRUE)</f>
        <v>0</v>
      </c>
      <c r="AC269" s="2" t="b">
        <f>AND(Table1938[[#This Row],[Pass-IC]]=TRUE,Table1938[[#This Row],[Pass-EC]]=TRUE)</f>
        <v>0</v>
      </c>
      <c r="AD269" s="2" t="b">
        <f>COUNTIF($D$25:D269, Table1938[[#This Row],[Title]]) = 1</f>
        <v>1</v>
      </c>
      <c r="AE269" s="2" t="b">
        <f>AND(Table1938[[#This Row],[IC + EC]:[Unique]])</f>
        <v>0</v>
      </c>
      <c r="AF269" s="2" t="b">
        <v>0</v>
      </c>
      <c r="AG269" s="2" t="b">
        <v>0</v>
      </c>
      <c r="AH269" s="2" t="b">
        <v>0</v>
      </c>
      <c r="AI269" s="2" t="b">
        <f>IF(AND(Table1938[[#This Row],[Double Check]]=TRUE,Table1938[[#This Row],[Inspected]]=TRUE,Table1938[[#This Row],[Relevant]]=TRUE),TRUE,FALSE)</f>
        <v>0</v>
      </c>
    </row>
    <row r="270" spans="1:35" ht="57.35" x14ac:dyDescent="0.5">
      <c r="A270" s="2">
        <v>269</v>
      </c>
      <c r="B270" s="20" t="s">
        <v>3</v>
      </c>
      <c r="C270" s="20" t="s">
        <v>3146</v>
      </c>
      <c r="D270" s="20" t="s">
        <v>1661</v>
      </c>
      <c r="E270" s="20" t="s">
        <v>1660</v>
      </c>
      <c r="F270" s="2" t="s">
        <v>1663</v>
      </c>
      <c r="G270" s="20" t="s">
        <v>936</v>
      </c>
      <c r="H270" s="36">
        <v>43221</v>
      </c>
      <c r="I270" s="20">
        <v>2018</v>
      </c>
      <c r="J270" s="20" t="s">
        <v>61</v>
      </c>
      <c r="K270" s="20" t="s">
        <v>3147</v>
      </c>
      <c r="L270" s="20" t="s">
        <v>2515</v>
      </c>
      <c r="M270" s="20" t="s">
        <v>1662</v>
      </c>
      <c r="N270" s="20" t="b">
        <v>1</v>
      </c>
      <c r="O270" s="2" t="b">
        <f>IF(Table1938[[#This Row],[Title]]="",TRUE,FALSE)</f>
        <v>0</v>
      </c>
      <c r="P270" s="2" t="b">
        <f>IF(Table1938[[#This Row],[Author]]="",TRUE,FALSE)</f>
        <v>0</v>
      </c>
      <c r="Q270" s="2" t="b">
        <f>IF(Table1938[[#This Row],[DOI]]&lt;&gt;"", FALSE,TRUE)</f>
        <v>0</v>
      </c>
      <c r="R270" s="2" t="b">
        <f>IF(Table1938[[#This Row],[Abstract]]="",TRUE,FALSE)</f>
        <v>0</v>
      </c>
      <c r="S270" s="2" t="b">
        <f>IF(OR(Table1938[[#This Row],[Document Type]]="book",Table1938[[#This Row],[Document Type]]="bookSection"),TRUE,FALSE)</f>
        <v>0</v>
      </c>
      <c r="T270" s="2" t="b">
        <f>NOT(IF(OR(Table1938[[#This Row],[Language]]&lt;&gt;"en",Table1938[[#This Row],[Language]]&lt;&gt;"EN",Table1938[[#This Row],[Language]]&lt;&gt;"spa",Table1938[[#This Row],[Language]]&lt;&gt;"SPA"),TRUE,FALSE))</f>
        <v>0</v>
      </c>
      <c r="U270" s="2" t="b">
        <f>IF(AND(Table1938[[#This Row],[EC-01]]=FALSE,Table1938[[#This Row],[EC-02]]=FALSE,Table1938[[#This Row],[EC-03]]=FALSE,Table1938[[#This Row],[EC-04]]=FALSE,Table1938[[#This Row],[EC-05]]=FALSE,Table1938[[#This Row],[EC-06]]=FALSE),TRUE,FALSE)</f>
        <v>1</v>
      </c>
      <c r="V270" s="2" t="b">
        <f>IF(Table1938[[#This Row],[Date]]&lt;&gt;"",AND(YEAR(Table1938[[#This Row],[Date]])&gt;=2010, YEAR(Table1938[[#This Row],[Date]])&lt;=2024),FALSE)</f>
        <v>1</v>
      </c>
      <c r="W270" s="2" t="b">
        <f>IF(Table1938[[#This Row],[Date]]&lt;&gt;"",AND(YEAR(Table1938[[#This Row],[Date]])&gt;=2010, YEAR(Table1938[[#This Row],[Date]])&lt;=2020),FALSE)</f>
        <v>1</v>
      </c>
      <c r="X270" s="2" t="b">
        <f>IF(AND(Table1938[[#This Row],[Accesible]]=TRUE,Table1938[[#This Row],[DOI]]&lt;&gt;""),TRUE,FALSE)</f>
        <v>1</v>
      </c>
      <c r="Y270" s="2" t="b">
        <f>OR(Table1938[[#This Row],[Document Type]]="journalArticle",Table1938[[#This Row],[Document Type]]="conferencePaper",Table1938[[#This Row],[Document Type]]="review")</f>
        <v>1</v>
      </c>
      <c r="Z270" s="2" t="b" cm="1">
        <f t="array" ref="Z270">SUMPRODUCT(--ISNUMBER(SEARCH({"dimensional analysis","dimensionless coefficients","Π","Pi","theorem","software","design","tools","development","architecture","similar"}, LOWER(Table1938[[#This Row],[Title]]))))&gt;0</f>
        <v>0</v>
      </c>
      <c r="AA270" s="2" t="b" cm="1">
        <f t="array" ref="AA270">SUMPRODUCT(--ISNUMBER(SEARCH({"dimensional analysis","dimensionless coefficients","Π","Pi","theorem","software","design","tools","development","architecture","similar"}, LOWER(Table1938[[#This Row],[Abstract]]))))&gt;0</f>
        <v>1</v>
      </c>
      <c r="AB270" s="2" t="b">
        <f>AND(OR(Table1938[[#This Row],[IC-01 @2024]:[IC-01 @2020]])=TRUE,Table1938[[#This Row],[IC-02]]=TRUE,Table1938[[#This Row],[IC-03]]=TRUE,Table1938[[#This Row],[IC-04]]=TRUE,Table1938[[#This Row],[IC-05]]=TRUE)</f>
        <v>0</v>
      </c>
      <c r="AC270" s="2" t="b">
        <f>AND(Table1938[[#This Row],[Pass-IC]]=TRUE,Table1938[[#This Row],[Pass-EC]]=TRUE)</f>
        <v>0</v>
      </c>
      <c r="AD270" s="2" t="b">
        <f>COUNTIF($D$25:D270, Table1938[[#This Row],[Title]]) = 1</f>
        <v>1</v>
      </c>
      <c r="AE270" s="2" t="b">
        <f>AND(Table1938[[#This Row],[IC + EC]:[Unique]])</f>
        <v>0</v>
      </c>
      <c r="AF270" s="2" t="b">
        <v>0</v>
      </c>
      <c r="AG270" s="2" t="b">
        <v>0</v>
      </c>
      <c r="AH270" s="2" t="b">
        <v>0</v>
      </c>
      <c r="AI270" s="2" t="b">
        <f>IF(AND(Table1938[[#This Row],[Double Check]]=TRUE,Table1938[[#This Row],[Inspected]]=TRUE,Table1938[[#This Row],[Relevant]]=TRUE),TRUE,FALSE)</f>
        <v>0</v>
      </c>
    </row>
    <row r="271" spans="1:35" ht="57.35" x14ac:dyDescent="0.5">
      <c r="A271" s="2">
        <v>270</v>
      </c>
      <c r="B271" s="20" t="s">
        <v>3</v>
      </c>
      <c r="C271" s="20" t="s">
        <v>3148</v>
      </c>
      <c r="D271" s="20" t="s">
        <v>1446</v>
      </c>
      <c r="E271" s="20" t="s">
        <v>1445</v>
      </c>
      <c r="F271" s="2" t="s">
        <v>1448</v>
      </c>
      <c r="G271" s="20" t="s">
        <v>941</v>
      </c>
      <c r="H271" s="36">
        <v>44211</v>
      </c>
      <c r="I271" s="20">
        <v>2021</v>
      </c>
      <c r="J271" s="20" t="s">
        <v>61</v>
      </c>
      <c r="K271" s="20" t="s">
        <v>3149</v>
      </c>
      <c r="L271" s="20" t="s">
        <v>2515</v>
      </c>
      <c r="M271" s="20" t="s">
        <v>1447</v>
      </c>
      <c r="N271" s="20" t="b">
        <v>1</v>
      </c>
      <c r="O271" s="2" t="b">
        <f>IF(Table1938[[#This Row],[Title]]="",TRUE,FALSE)</f>
        <v>0</v>
      </c>
      <c r="P271" s="2" t="b">
        <f>IF(Table1938[[#This Row],[Author]]="",TRUE,FALSE)</f>
        <v>0</v>
      </c>
      <c r="Q271" s="2" t="b">
        <f>IF(Table1938[[#This Row],[DOI]]&lt;&gt;"", FALSE,TRUE)</f>
        <v>0</v>
      </c>
      <c r="R271" s="2" t="b">
        <f>IF(Table1938[[#This Row],[Abstract]]="",TRUE,FALSE)</f>
        <v>0</v>
      </c>
      <c r="S271" s="2" t="b">
        <f>IF(OR(Table1938[[#This Row],[Document Type]]="book",Table1938[[#This Row],[Document Type]]="bookSection"),TRUE,FALSE)</f>
        <v>0</v>
      </c>
      <c r="T271" s="2" t="b">
        <f>NOT(IF(OR(Table1938[[#This Row],[Language]]&lt;&gt;"en",Table1938[[#This Row],[Language]]&lt;&gt;"EN",Table1938[[#This Row],[Language]]&lt;&gt;"spa",Table1938[[#This Row],[Language]]&lt;&gt;"SPA"),TRUE,FALSE))</f>
        <v>0</v>
      </c>
      <c r="U271" s="2" t="b">
        <f>IF(AND(Table1938[[#This Row],[EC-01]]=FALSE,Table1938[[#This Row],[EC-02]]=FALSE,Table1938[[#This Row],[EC-03]]=FALSE,Table1938[[#This Row],[EC-04]]=FALSE,Table1938[[#This Row],[EC-05]]=FALSE,Table1938[[#This Row],[EC-06]]=FALSE),TRUE,FALSE)</f>
        <v>1</v>
      </c>
      <c r="V271" s="2" t="b">
        <f>IF(Table1938[[#This Row],[Date]]&lt;&gt;"",AND(YEAR(Table1938[[#This Row],[Date]])&gt;=2010, YEAR(Table1938[[#This Row],[Date]])&lt;=2024),FALSE)</f>
        <v>1</v>
      </c>
      <c r="W271" s="2" t="b">
        <f>IF(Table1938[[#This Row],[Date]]&lt;&gt;"",AND(YEAR(Table1938[[#This Row],[Date]])&gt;=2010, YEAR(Table1938[[#This Row],[Date]])&lt;=2020),FALSE)</f>
        <v>0</v>
      </c>
      <c r="X271" s="2" t="b">
        <f>IF(AND(Table1938[[#This Row],[Accesible]]=TRUE,Table1938[[#This Row],[DOI]]&lt;&gt;""),TRUE,FALSE)</f>
        <v>1</v>
      </c>
      <c r="Y271" s="2" t="b">
        <f>OR(Table1938[[#This Row],[Document Type]]="journalArticle",Table1938[[#This Row],[Document Type]]="conferencePaper",Table1938[[#This Row],[Document Type]]="review")</f>
        <v>1</v>
      </c>
      <c r="Z271" s="2" t="b" cm="1">
        <f t="array" ref="Z271">SUMPRODUCT(--ISNUMBER(SEARCH({"dimensional analysis","dimensionless coefficients","Π","Pi","theorem","software","design","tools","development","architecture","similar"}, LOWER(Table1938[[#This Row],[Title]]))))&gt;0</f>
        <v>0</v>
      </c>
      <c r="AA271" s="2" t="b" cm="1">
        <f t="array" ref="AA271">SUMPRODUCT(--ISNUMBER(SEARCH({"dimensional analysis","dimensionless coefficients","Π","Pi","theorem","software","design","tools","development","architecture","similar"}, LOWER(Table1938[[#This Row],[Abstract]]))))&gt;0</f>
        <v>1</v>
      </c>
      <c r="AB271" s="2" t="b">
        <f>AND(OR(Table1938[[#This Row],[IC-01 @2024]:[IC-01 @2020]])=TRUE,Table1938[[#This Row],[IC-02]]=TRUE,Table1938[[#This Row],[IC-03]]=TRUE,Table1938[[#This Row],[IC-04]]=TRUE,Table1938[[#This Row],[IC-05]]=TRUE)</f>
        <v>0</v>
      </c>
      <c r="AC271" s="2" t="b">
        <f>AND(Table1938[[#This Row],[Pass-IC]]=TRUE,Table1938[[#This Row],[Pass-EC]]=TRUE)</f>
        <v>0</v>
      </c>
      <c r="AD271" s="2" t="b">
        <f>COUNTIF($D$25:D271, Table1938[[#This Row],[Title]]) = 1</f>
        <v>1</v>
      </c>
      <c r="AE271" s="2" t="b">
        <f>AND(Table1938[[#This Row],[IC + EC]:[Unique]])</f>
        <v>0</v>
      </c>
      <c r="AF271" s="2" t="b">
        <v>0</v>
      </c>
      <c r="AG271" s="2" t="b">
        <v>0</v>
      </c>
      <c r="AH271" s="2" t="b">
        <v>0</v>
      </c>
      <c r="AI271" s="2" t="b">
        <f>IF(AND(Table1938[[#This Row],[Double Check]]=TRUE,Table1938[[#This Row],[Inspected]]=TRUE,Table1938[[#This Row],[Relevant]]=TRUE),TRUE,FALSE)</f>
        <v>0</v>
      </c>
    </row>
    <row r="272" spans="1:35" ht="86" x14ac:dyDescent="0.5">
      <c r="A272" s="2">
        <v>271</v>
      </c>
      <c r="B272" s="20" t="s">
        <v>3</v>
      </c>
      <c r="C272" s="20" t="s">
        <v>3150</v>
      </c>
      <c r="D272" s="20" t="s">
        <v>1308</v>
      </c>
      <c r="E272" s="20" t="s">
        <v>1307</v>
      </c>
      <c r="F272" s="2" t="s">
        <v>1310</v>
      </c>
      <c r="G272" s="20" t="s">
        <v>1113</v>
      </c>
      <c r="H272" s="36">
        <v>45505</v>
      </c>
      <c r="I272" s="20">
        <v>2024</v>
      </c>
      <c r="J272" s="20" t="s">
        <v>61</v>
      </c>
      <c r="K272" s="20" t="s">
        <v>3151</v>
      </c>
      <c r="L272" s="20" t="s">
        <v>2515</v>
      </c>
      <c r="M272" s="20" t="s">
        <v>1309</v>
      </c>
      <c r="N272" s="20" t="b">
        <v>1</v>
      </c>
      <c r="O272" s="2" t="b">
        <f>IF(Table1938[[#This Row],[Title]]="",TRUE,FALSE)</f>
        <v>0</v>
      </c>
      <c r="P272" s="2" t="b">
        <f>IF(Table1938[[#This Row],[Author]]="",TRUE,FALSE)</f>
        <v>0</v>
      </c>
      <c r="Q272" s="2" t="b">
        <f>IF(Table1938[[#This Row],[DOI]]&lt;&gt;"", FALSE,TRUE)</f>
        <v>0</v>
      </c>
      <c r="R272" s="2" t="b">
        <f>IF(Table1938[[#This Row],[Abstract]]="",TRUE,FALSE)</f>
        <v>0</v>
      </c>
      <c r="S272" s="2" t="b">
        <f>IF(OR(Table1938[[#This Row],[Document Type]]="book",Table1938[[#This Row],[Document Type]]="bookSection"),TRUE,FALSE)</f>
        <v>0</v>
      </c>
      <c r="T272" s="2" t="b">
        <f>NOT(IF(OR(Table1938[[#This Row],[Language]]&lt;&gt;"en",Table1938[[#This Row],[Language]]&lt;&gt;"EN",Table1938[[#This Row],[Language]]&lt;&gt;"spa",Table1938[[#This Row],[Language]]&lt;&gt;"SPA"),TRUE,FALSE))</f>
        <v>0</v>
      </c>
      <c r="U272" s="2" t="b">
        <f>IF(AND(Table1938[[#This Row],[EC-01]]=FALSE,Table1938[[#This Row],[EC-02]]=FALSE,Table1938[[#This Row],[EC-03]]=FALSE,Table1938[[#This Row],[EC-04]]=FALSE,Table1938[[#This Row],[EC-05]]=FALSE,Table1938[[#This Row],[EC-06]]=FALSE),TRUE,FALSE)</f>
        <v>1</v>
      </c>
      <c r="V272" s="2" t="b">
        <f>IF(Table1938[[#This Row],[Date]]&lt;&gt;"",AND(YEAR(Table1938[[#This Row],[Date]])&gt;=2010, YEAR(Table1938[[#This Row],[Date]])&lt;=2024),FALSE)</f>
        <v>1</v>
      </c>
      <c r="W272" s="2" t="b">
        <f>IF(Table1938[[#This Row],[Date]]&lt;&gt;"",AND(YEAR(Table1938[[#This Row],[Date]])&gt;=2010, YEAR(Table1938[[#This Row],[Date]])&lt;=2020),FALSE)</f>
        <v>0</v>
      </c>
      <c r="X272" s="2" t="b">
        <f>IF(AND(Table1938[[#This Row],[Accesible]]=TRUE,Table1938[[#This Row],[DOI]]&lt;&gt;""),TRUE,FALSE)</f>
        <v>1</v>
      </c>
      <c r="Y272" s="2" t="b">
        <f>OR(Table1938[[#This Row],[Document Type]]="journalArticle",Table1938[[#This Row],[Document Type]]="conferencePaper",Table1938[[#This Row],[Document Type]]="review")</f>
        <v>1</v>
      </c>
      <c r="Z272" s="2" t="b" cm="1">
        <f t="array" ref="Z272">SUMPRODUCT(--ISNUMBER(SEARCH({"dimensional analysis","dimensionless coefficients","Π","Pi","theorem","software","design","tools","development","architecture","similar"}, LOWER(Table1938[[#This Row],[Title]]))))&gt;0</f>
        <v>1</v>
      </c>
      <c r="AA272" s="2" t="b" cm="1">
        <f t="array" ref="AA272">SUMPRODUCT(--ISNUMBER(SEARCH({"dimensional analysis","dimensionless coefficients","Π","Pi","theorem","software","design","tools","development","architecture","similar"}, LOWER(Table1938[[#This Row],[Abstract]]))))&gt;0</f>
        <v>1</v>
      </c>
      <c r="AB272" s="2" t="b">
        <f>AND(OR(Table1938[[#This Row],[IC-01 @2024]:[IC-01 @2020]])=TRUE,Table1938[[#This Row],[IC-02]]=TRUE,Table1938[[#This Row],[IC-03]]=TRUE,Table1938[[#This Row],[IC-04]]=TRUE,Table1938[[#This Row],[IC-05]]=TRUE)</f>
        <v>1</v>
      </c>
      <c r="AC272" s="2" t="b">
        <f>AND(Table1938[[#This Row],[Pass-IC]]=TRUE,Table1938[[#This Row],[Pass-EC]]=TRUE)</f>
        <v>1</v>
      </c>
      <c r="AD272" s="2" t="b">
        <f>COUNTIF($D$25:D272, Table1938[[#This Row],[Title]]) = 1</f>
        <v>1</v>
      </c>
      <c r="AE272" s="2" t="b">
        <f>AND(Table1938[[#This Row],[IC + EC]:[Unique]])</f>
        <v>1</v>
      </c>
      <c r="AF272" s="2" t="b">
        <v>1</v>
      </c>
      <c r="AG272" s="2" t="b">
        <v>0</v>
      </c>
      <c r="AH272" s="2" t="b">
        <v>0</v>
      </c>
      <c r="AI272" s="2" t="b">
        <f>IF(AND(Table1938[[#This Row],[Double Check]]=TRUE,Table1938[[#This Row],[Inspected]]=TRUE,Table1938[[#This Row],[Relevant]]=TRUE),TRUE,FALSE)</f>
        <v>0</v>
      </c>
    </row>
    <row r="273" spans="1:35" ht="57.35" x14ac:dyDescent="0.5">
      <c r="A273" s="2">
        <v>272</v>
      </c>
      <c r="B273" s="20" t="s">
        <v>3</v>
      </c>
      <c r="C273" s="20" t="s">
        <v>3152</v>
      </c>
      <c r="D273" s="20" t="s">
        <v>2159</v>
      </c>
      <c r="E273" s="20" t="s">
        <v>2158</v>
      </c>
      <c r="F273" s="2" t="s">
        <v>2162</v>
      </c>
      <c r="G273" s="20" t="s">
        <v>2160</v>
      </c>
      <c r="H273" s="36">
        <v>42736</v>
      </c>
      <c r="I273" s="20">
        <v>2017</v>
      </c>
      <c r="J273" s="20" t="s">
        <v>61</v>
      </c>
      <c r="K273" s="20" t="s">
        <v>3153</v>
      </c>
      <c r="L273" s="20" t="s">
        <v>2515</v>
      </c>
      <c r="M273" s="20" t="s">
        <v>2161</v>
      </c>
      <c r="N273" s="20" t="b">
        <v>1</v>
      </c>
      <c r="O273" s="2" t="b">
        <f>IF(Table1938[[#This Row],[Title]]="",TRUE,FALSE)</f>
        <v>0</v>
      </c>
      <c r="P273" s="2" t="b">
        <f>IF(Table1938[[#This Row],[Author]]="",TRUE,FALSE)</f>
        <v>0</v>
      </c>
      <c r="Q273" s="2" t="b">
        <f>IF(Table1938[[#This Row],[DOI]]&lt;&gt;"", FALSE,TRUE)</f>
        <v>0</v>
      </c>
      <c r="R273" s="2" t="b">
        <f>IF(Table1938[[#This Row],[Abstract]]="",TRUE,FALSE)</f>
        <v>0</v>
      </c>
      <c r="S273" s="2" t="b">
        <f>IF(OR(Table1938[[#This Row],[Document Type]]="book",Table1938[[#This Row],[Document Type]]="bookSection"),TRUE,FALSE)</f>
        <v>0</v>
      </c>
      <c r="T273" s="2" t="b">
        <f>NOT(IF(OR(Table1938[[#This Row],[Language]]&lt;&gt;"en",Table1938[[#This Row],[Language]]&lt;&gt;"EN",Table1938[[#This Row],[Language]]&lt;&gt;"spa",Table1938[[#This Row],[Language]]&lt;&gt;"SPA"),TRUE,FALSE))</f>
        <v>0</v>
      </c>
      <c r="U273" s="2" t="b">
        <f>IF(AND(Table1938[[#This Row],[EC-01]]=FALSE,Table1938[[#This Row],[EC-02]]=FALSE,Table1938[[#This Row],[EC-03]]=FALSE,Table1938[[#This Row],[EC-04]]=FALSE,Table1938[[#This Row],[EC-05]]=FALSE,Table1938[[#This Row],[EC-06]]=FALSE),TRUE,FALSE)</f>
        <v>1</v>
      </c>
      <c r="V273" s="2" t="b">
        <f>IF(Table1938[[#This Row],[Date]]&lt;&gt;"",AND(YEAR(Table1938[[#This Row],[Date]])&gt;=2010, YEAR(Table1938[[#This Row],[Date]])&lt;=2024),FALSE)</f>
        <v>1</v>
      </c>
      <c r="W273" s="2" t="b">
        <f>IF(Table1938[[#This Row],[Date]]&lt;&gt;"",AND(YEAR(Table1938[[#This Row],[Date]])&gt;=2010, YEAR(Table1938[[#This Row],[Date]])&lt;=2020),FALSE)</f>
        <v>1</v>
      </c>
      <c r="X273" s="2" t="b">
        <f>IF(AND(Table1938[[#This Row],[Accesible]]=TRUE,Table1938[[#This Row],[DOI]]&lt;&gt;""),TRUE,FALSE)</f>
        <v>1</v>
      </c>
      <c r="Y273" s="2" t="b">
        <f>OR(Table1938[[#This Row],[Document Type]]="journalArticle",Table1938[[#This Row],[Document Type]]="conferencePaper",Table1938[[#This Row],[Document Type]]="review")</f>
        <v>1</v>
      </c>
      <c r="Z273" s="2" t="b" cm="1">
        <f t="array" ref="Z273">SUMPRODUCT(--ISNUMBER(SEARCH({"dimensional analysis","dimensionless coefficients","Π","Pi","theorem","software","design","tools","development","architecture","similar"}, LOWER(Table1938[[#This Row],[Title]]))))&gt;0</f>
        <v>0</v>
      </c>
      <c r="AA273" s="2" t="b" cm="1">
        <f t="array" ref="AA273">SUMPRODUCT(--ISNUMBER(SEARCH({"dimensional analysis","dimensionless coefficients","Π","Pi","theorem","software","design","tools","development","architecture","similar"}, LOWER(Table1938[[#This Row],[Abstract]]))))&gt;0</f>
        <v>1</v>
      </c>
      <c r="AB273" s="2" t="b">
        <f>AND(OR(Table1938[[#This Row],[IC-01 @2024]:[IC-01 @2020]])=TRUE,Table1938[[#This Row],[IC-02]]=TRUE,Table1938[[#This Row],[IC-03]]=TRUE,Table1938[[#This Row],[IC-04]]=TRUE,Table1938[[#This Row],[IC-05]]=TRUE)</f>
        <v>0</v>
      </c>
      <c r="AC273" s="2" t="b">
        <f>AND(Table1938[[#This Row],[Pass-IC]]=TRUE,Table1938[[#This Row],[Pass-EC]]=TRUE)</f>
        <v>0</v>
      </c>
      <c r="AD273" s="2" t="b">
        <f>COUNTIF($D$25:D273, Table1938[[#This Row],[Title]]) = 1</f>
        <v>1</v>
      </c>
      <c r="AE273" s="2" t="b">
        <f>AND(Table1938[[#This Row],[IC + EC]:[Unique]])</f>
        <v>0</v>
      </c>
      <c r="AF273" s="2" t="b">
        <v>0</v>
      </c>
      <c r="AG273" s="2" t="b">
        <v>0</v>
      </c>
      <c r="AH273" s="2" t="b">
        <v>0</v>
      </c>
      <c r="AI273" s="2" t="b">
        <f>IF(AND(Table1938[[#This Row],[Double Check]]=TRUE,Table1938[[#This Row],[Inspected]]=TRUE,Table1938[[#This Row],[Relevant]]=TRUE),TRUE,FALSE)</f>
        <v>0</v>
      </c>
    </row>
    <row r="274" spans="1:35" ht="57.35" x14ac:dyDescent="0.5">
      <c r="A274" s="2">
        <v>273</v>
      </c>
      <c r="B274" s="20" t="s">
        <v>3</v>
      </c>
      <c r="C274" s="20" t="s">
        <v>3154</v>
      </c>
      <c r="D274" s="20" t="s">
        <v>1462</v>
      </c>
      <c r="E274" s="20" t="s">
        <v>1461</v>
      </c>
      <c r="F274" s="2" t="s">
        <v>1464</v>
      </c>
      <c r="G274" s="20" t="s">
        <v>1052</v>
      </c>
      <c r="H274" s="36">
        <v>45498</v>
      </c>
      <c r="I274" s="20">
        <v>2024</v>
      </c>
      <c r="J274" s="20" t="s">
        <v>61</v>
      </c>
      <c r="K274" s="20" t="s">
        <v>3155</v>
      </c>
      <c r="L274" s="20" t="s">
        <v>2515</v>
      </c>
      <c r="M274" s="20" t="s">
        <v>1463</v>
      </c>
      <c r="N274" s="20" t="b">
        <v>1</v>
      </c>
      <c r="O274" s="2" t="b">
        <f>IF(Table1938[[#This Row],[Title]]="",TRUE,FALSE)</f>
        <v>0</v>
      </c>
      <c r="P274" s="2" t="b">
        <f>IF(Table1938[[#This Row],[Author]]="",TRUE,FALSE)</f>
        <v>0</v>
      </c>
      <c r="Q274" s="2" t="b">
        <f>IF(Table1938[[#This Row],[DOI]]&lt;&gt;"", FALSE,TRUE)</f>
        <v>0</v>
      </c>
      <c r="R274" s="2" t="b">
        <f>IF(Table1938[[#This Row],[Abstract]]="",TRUE,FALSE)</f>
        <v>0</v>
      </c>
      <c r="S274" s="2" t="b">
        <f>IF(OR(Table1938[[#This Row],[Document Type]]="book",Table1938[[#This Row],[Document Type]]="bookSection"),TRUE,FALSE)</f>
        <v>0</v>
      </c>
      <c r="T274" s="2" t="b">
        <f>NOT(IF(OR(Table1938[[#This Row],[Language]]&lt;&gt;"en",Table1938[[#This Row],[Language]]&lt;&gt;"EN",Table1938[[#This Row],[Language]]&lt;&gt;"spa",Table1938[[#This Row],[Language]]&lt;&gt;"SPA"),TRUE,FALSE))</f>
        <v>0</v>
      </c>
      <c r="U274" s="2" t="b">
        <f>IF(AND(Table1938[[#This Row],[EC-01]]=FALSE,Table1938[[#This Row],[EC-02]]=FALSE,Table1938[[#This Row],[EC-03]]=FALSE,Table1938[[#This Row],[EC-04]]=FALSE,Table1938[[#This Row],[EC-05]]=FALSE,Table1938[[#This Row],[EC-06]]=FALSE),TRUE,FALSE)</f>
        <v>1</v>
      </c>
      <c r="V274" s="2" t="b">
        <f>IF(Table1938[[#This Row],[Date]]&lt;&gt;"",AND(YEAR(Table1938[[#This Row],[Date]])&gt;=2010, YEAR(Table1938[[#This Row],[Date]])&lt;=2024),FALSE)</f>
        <v>1</v>
      </c>
      <c r="W274" s="2" t="b">
        <f>IF(Table1938[[#This Row],[Date]]&lt;&gt;"",AND(YEAR(Table1938[[#This Row],[Date]])&gt;=2010, YEAR(Table1938[[#This Row],[Date]])&lt;=2020),FALSE)</f>
        <v>0</v>
      </c>
      <c r="X274" s="2" t="b">
        <f>IF(AND(Table1938[[#This Row],[Accesible]]=TRUE,Table1938[[#This Row],[DOI]]&lt;&gt;""),TRUE,FALSE)</f>
        <v>1</v>
      </c>
      <c r="Y274" s="2" t="b">
        <f>OR(Table1938[[#This Row],[Document Type]]="journalArticle",Table1938[[#This Row],[Document Type]]="conferencePaper",Table1938[[#This Row],[Document Type]]="review")</f>
        <v>1</v>
      </c>
      <c r="Z274" s="2" t="b" cm="1">
        <f t="array" ref="Z274">SUMPRODUCT(--ISNUMBER(SEARCH({"dimensional analysis","dimensionless coefficients","Π","Pi","theorem","software","design","tools","development","architecture","similar"}, LOWER(Table1938[[#This Row],[Title]]))))&gt;0</f>
        <v>0</v>
      </c>
      <c r="AA274" s="2" t="b" cm="1">
        <f t="array" ref="AA274">SUMPRODUCT(--ISNUMBER(SEARCH({"dimensional analysis","dimensionless coefficients","Π","Pi","theorem","software","design","tools","development","architecture","similar"}, LOWER(Table1938[[#This Row],[Abstract]]))))&gt;0</f>
        <v>1</v>
      </c>
      <c r="AB274" s="2" t="b">
        <f>AND(OR(Table1938[[#This Row],[IC-01 @2024]:[IC-01 @2020]])=TRUE,Table1938[[#This Row],[IC-02]]=TRUE,Table1938[[#This Row],[IC-03]]=TRUE,Table1938[[#This Row],[IC-04]]=TRUE,Table1938[[#This Row],[IC-05]]=TRUE)</f>
        <v>0</v>
      </c>
      <c r="AC274" s="2" t="b">
        <f>AND(Table1938[[#This Row],[Pass-IC]]=TRUE,Table1938[[#This Row],[Pass-EC]]=TRUE)</f>
        <v>0</v>
      </c>
      <c r="AD274" s="2" t="b">
        <f>COUNTIF($D$25:D274, Table1938[[#This Row],[Title]]) = 1</f>
        <v>1</v>
      </c>
      <c r="AE274" s="2" t="b">
        <f>AND(Table1938[[#This Row],[IC + EC]:[Unique]])</f>
        <v>0</v>
      </c>
      <c r="AF274" s="2" t="b">
        <v>0</v>
      </c>
      <c r="AG274" s="2" t="b">
        <v>0</v>
      </c>
      <c r="AH274" s="2" t="b">
        <v>0</v>
      </c>
      <c r="AI274" s="2" t="b">
        <f>IF(AND(Table1938[[#This Row],[Double Check]]=TRUE,Table1938[[#This Row],[Inspected]]=TRUE,Table1938[[#This Row],[Relevant]]=TRUE),TRUE,FALSE)</f>
        <v>0</v>
      </c>
    </row>
    <row r="275" spans="1:35" ht="57.35" x14ac:dyDescent="0.5">
      <c r="A275" s="2">
        <v>274</v>
      </c>
      <c r="B275" s="20" t="s">
        <v>3</v>
      </c>
      <c r="C275" s="20" t="s">
        <v>3156</v>
      </c>
      <c r="D275" s="20" t="s">
        <v>2021</v>
      </c>
      <c r="E275" s="20" t="s">
        <v>2020</v>
      </c>
      <c r="F275" s="2" t="s">
        <v>2024</v>
      </c>
      <c r="G275" s="20" t="s">
        <v>2022</v>
      </c>
      <c r="H275" s="36">
        <v>44593</v>
      </c>
      <c r="I275" s="20">
        <v>2022</v>
      </c>
      <c r="J275" s="20" t="s">
        <v>61</v>
      </c>
      <c r="K275" s="20" t="s">
        <v>3157</v>
      </c>
      <c r="L275" s="20" t="s">
        <v>2515</v>
      </c>
      <c r="M275" s="20" t="s">
        <v>2023</v>
      </c>
      <c r="N275" s="20" t="b">
        <v>1</v>
      </c>
      <c r="O275" s="2" t="b">
        <f>IF(Table1938[[#This Row],[Title]]="",TRUE,FALSE)</f>
        <v>0</v>
      </c>
      <c r="P275" s="2" t="b">
        <f>IF(Table1938[[#This Row],[Author]]="",TRUE,FALSE)</f>
        <v>0</v>
      </c>
      <c r="Q275" s="2" t="b">
        <f>IF(Table1938[[#This Row],[DOI]]&lt;&gt;"", FALSE,TRUE)</f>
        <v>0</v>
      </c>
      <c r="R275" s="2" t="b">
        <f>IF(Table1938[[#This Row],[Abstract]]="",TRUE,FALSE)</f>
        <v>0</v>
      </c>
      <c r="S275" s="2" t="b">
        <f>IF(OR(Table1938[[#This Row],[Document Type]]="book",Table1938[[#This Row],[Document Type]]="bookSection"),TRUE,FALSE)</f>
        <v>0</v>
      </c>
      <c r="T275" s="2" t="b">
        <f>NOT(IF(OR(Table1938[[#This Row],[Language]]&lt;&gt;"en",Table1938[[#This Row],[Language]]&lt;&gt;"EN",Table1938[[#This Row],[Language]]&lt;&gt;"spa",Table1938[[#This Row],[Language]]&lt;&gt;"SPA"),TRUE,FALSE))</f>
        <v>0</v>
      </c>
      <c r="U275" s="2" t="b">
        <f>IF(AND(Table1938[[#This Row],[EC-01]]=FALSE,Table1938[[#This Row],[EC-02]]=FALSE,Table1938[[#This Row],[EC-03]]=FALSE,Table1938[[#This Row],[EC-04]]=FALSE,Table1938[[#This Row],[EC-05]]=FALSE,Table1938[[#This Row],[EC-06]]=FALSE),TRUE,FALSE)</f>
        <v>1</v>
      </c>
      <c r="V275" s="2" t="b">
        <f>IF(Table1938[[#This Row],[Date]]&lt;&gt;"",AND(YEAR(Table1938[[#This Row],[Date]])&gt;=2010, YEAR(Table1938[[#This Row],[Date]])&lt;=2024),FALSE)</f>
        <v>1</v>
      </c>
      <c r="W275" s="2" t="b">
        <f>IF(Table1938[[#This Row],[Date]]&lt;&gt;"",AND(YEAR(Table1938[[#This Row],[Date]])&gt;=2010, YEAR(Table1938[[#This Row],[Date]])&lt;=2020),FALSE)</f>
        <v>0</v>
      </c>
      <c r="X275" s="2" t="b">
        <f>IF(AND(Table1938[[#This Row],[Accesible]]=TRUE,Table1938[[#This Row],[DOI]]&lt;&gt;""),TRUE,FALSE)</f>
        <v>1</v>
      </c>
      <c r="Y275" s="2" t="b">
        <f>OR(Table1938[[#This Row],[Document Type]]="journalArticle",Table1938[[#This Row],[Document Type]]="conferencePaper",Table1938[[#This Row],[Document Type]]="review")</f>
        <v>1</v>
      </c>
      <c r="Z275" s="2" t="b" cm="1">
        <f t="array" ref="Z275">SUMPRODUCT(--ISNUMBER(SEARCH({"dimensional analysis","dimensionless coefficients","Π","Pi","theorem","software","design","tools","development","architecture","similar"}, LOWER(Table1938[[#This Row],[Title]]))))&gt;0</f>
        <v>0</v>
      </c>
      <c r="AA275" s="2" t="b" cm="1">
        <f t="array" ref="AA275">SUMPRODUCT(--ISNUMBER(SEARCH({"dimensional analysis","dimensionless coefficients","Π","Pi","theorem","software","design","tools","development","architecture","similar"}, LOWER(Table1938[[#This Row],[Abstract]]))))&gt;0</f>
        <v>1</v>
      </c>
      <c r="AB275" s="2" t="b">
        <f>AND(OR(Table1938[[#This Row],[IC-01 @2024]:[IC-01 @2020]])=TRUE,Table1938[[#This Row],[IC-02]]=TRUE,Table1938[[#This Row],[IC-03]]=TRUE,Table1938[[#This Row],[IC-04]]=TRUE,Table1938[[#This Row],[IC-05]]=TRUE)</f>
        <v>0</v>
      </c>
      <c r="AC275" s="2" t="b">
        <f>AND(Table1938[[#This Row],[Pass-IC]]=TRUE,Table1938[[#This Row],[Pass-EC]]=TRUE)</f>
        <v>0</v>
      </c>
      <c r="AD275" s="2" t="b">
        <f>COUNTIF($D$25:D275, Table1938[[#This Row],[Title]]) = 1</f>
        <v>1</v>
      </c>
      <c r="AE275" s="2" t="b">
        <f>AND(Table1938[[#This Row],[IC + EC]:[Unique]])</f>
        <v>0</v>
      </c>
      <c r="AF275" s="2" t="b">
        <v>0</v>
      </c>
      <c r="AG275" s="2" t="b">
        <v>0</v>
      </c>
      <c r="AH275" s="2" t="b">
        <v>0</v>
      </c>
      <c r="AI275" s="2" t="b">
        <f>IF(AND(Table1938[[#This Row],[Double Check]]=TRUE,Table1938[[#This Row],[Inspected]]=TRUE,Table1938[[#This Row],[Relevant]]=TRUE),TRUE,FALSE)</f>
        <v>0</v>
      </c>
    </row>
    <row r="276" spans="1:35" ht="43" x14ac:dyDescent="0.5">
      <c r="A276" s="2">
        <v>275</v>
      </c>
      <c r="B276" s="20" t="s">
        <v>3</v>
      </c>
      <c r="C276" s="20" t="s">
        <v>3158</v>
      </c>
      <c r="D276" s="20" t="s">
        <v>1323</v>
      </c>
      <c r="E276" s="20" t="s">
        <v>3159</v>
      </c>
      <c r="F276" s="2" t="s">
        <v>123</v>
      </c>
      <c r="G276" s="20" t="s">
        <v>3160</v>
      </c>
      <c r="H276" s="36">
        <v>45078</v>
      </c>
      <c r="I276" s="20">
        <v>2023</v>
      </c>
      <c r="J276" s="20" t="s">
        <v>61</v>
      </c>
      <c r="K276" s="20" t="s">
        <v>3161</v>
      </c>
      <c r="L276" s="20" t="s">
        <v>2515</v>
      </c>
      <c r="M276" s="20" t="s">
        <v>1324</v>
      </c>
      <c r="N276" s="20" t="b">
        <v>1</v>
      </c>
      <c r="O276" s="2" t="b">
        <f>IF(Table1938[[#This Row],[Title]]="",TRUE,FALSE)</f>
        <v>0</v>
      </c>
      <c r="P276" s="2" t="b">
        <f>IF(Table1938[[#This Row],[Author]]="",TRUE,FALSE)</f>
        <v>0</v>
      </c>
      <c r="Q276" s="2" t="b">
        <f>IF(Table1938[[#This Row],[DOI]]&lt;&gt;"", FALSE,TRUE)</f>
        <v>0</v>
      </c>
      <c r="R276" s="2" t="b">
        <f>IF(Table1938[[#This Row],[Abstract]]="",TRUE,FALSE)</f>
        <v>1</v>
      </c>
      <c r="S276" s="2" t="b">
        <f>IF(OR(Table1938[[#This Row],[Document Type]]="book",Table1938[[#This Row],[Document Type]]="bookSection"),TRUE,FALSE)</f>
        <v>0</v>
      </c>
      <c r="T276" s="2" t="b">
        <f>NOT(IF(OR(Table1938[[#This Row],[Language]]&lt;&gt;"en",Table1938[[#This Row],[Language]]&lt;&gt;"EN",Table1938[[#This Row],[Language]]&lt;&gt;"spa",Table1938[[#This Row],[Language]]&lt;&gt;"SPA"),TRUE,FALSE))</f>
        <v>0</v>
      </c>
      <c r="U276" s="2" t="b">
        <f>IF(AND(Table1938[[#This Row],[EC-01]]=FALSE,Table1938[[#This Row],[EC-02]]=FALSE,Table1938[[#This Row],[EC-03]]=FALSE,Table1938[[#This Row],[EC-04]]=FALSE,Table1938[[#This Row],[EC-05]]=FALSE,Table1938[[#This Row],[EC-06]]=FALSE),TRUE,FALSE)</f>
        <v>0</v>
      </c>
      <c r="V276" s="2" t="b">
        <f>IF(Table1938[[#This Row],[Date]]&lt;&gt;"",AND(YEAR(Table1938[[#This Row],[Date]])&gt;=2010, YEAR(Table1938[[#This Row],[Date]])&lt;=2024),FALSE)</f>
        <v>1</v>
      </c>
      <c r="W276" s="2" t="b">
        <f>IF(Table1938[[#This Row],[Date]]&lt;&gt;"",AND(YEAR(Table1938[[#This Row],[Date]])&gt;=2010, YEAR(Table1938[[#This Row],[Date]])&lt;=2020),FALSE)</f>
        <v>0</v>
      </c>
      <c r="X276" s="2" t="b">
        <f>IF(AND(Table1938[[#This Row],[Accesible]]=TRUE,Table1938[[#This Row],[DOI]]&lt;&gt;""),TRUE,FALSE)</f>
        <v>1</v>
      </c>
      <c r="Y276" s="2" t="b">
        <f>OR(Table1938[[#This Row],[Document Type]]="journalArticle",Table1938[[#This Row],[Document Type]]="conferencePaper",Table1938[[#This Row],[Document Type]]="review")</f>
        <v>1</v>
      </c>
      <c r="Z276" s="2" t="b" cm="1">
        <f t="array" ref="Z276">SUMPRODUCT(--ISNUMBER(SEARCH({"dimensional analysis","dimensionless coefficients","Π","Pi","theorem","software","design","tools","development","architecture","similar"}, LOWER(Table1938[[#This Row],[Title]]))))&gt;0</f>
        <v>0</v>
      </c>
      <c r="AA276" s="2" t="b" cm="1">
        <f t="array" ref="AA276">SUMPRODUCT(--ISNUMBER(SEARCH({"dimensional analysis","dimensionless coefficients","Π","Pi","theorem","software","design","tools","development","architecture","similar"}, LOWER(Table1938[[#This Row],[Abstract]]))))&gt;0</f>
        <v>0</v>
      </c>
      <c r="AB276" s="2" t="b">
        <f>AND(OR(Table1938[[#This Row],[IC-01 @2024]:[IC-01 @2020]])=TRUE,Table1938[[#This Row],[IC-02]]=TRUE,Table1938[[#This Row],[IC-03]]=TRUE,Table1938[[#This Row],[IC-04]]=TRUE,Table1938[[#This Row],[IC-05]]=TRUE)</f>
        <v>0</v>
      </c>
      <c r="AC276" s="2" t="b">
        <f>AND(Table1938[[#This Row],[Pass-IC]]=TRUE,Table1938[[#This Row],[Pass-EC]]=TRUE)</f>
        <v>0</v>
      </c>
      <c r="AD276" s="2" t="b">
        <f>COUNTIF($D$25:D276, Table1938[[#This Row],[Title]]) = 1</f>
        <v>1</v>
      </c>
      <c r="AE276" s="2" t="b">
        <f>AND(Table1938[[#This Row],[IC + EC]:[Unique]])</f>
        <v>0</v>
      </c>
      <c r="AF276" s="2" t="b">
        <v>0</v>
      </c>
      <c r="AG276" s="2" t="b">
        <v>0</v>
      </c>
      <c r="AH276" s="2" t="b">
        <v>0</v>
      </c>
      <c r="AI276" s="2" t="b">
        <f>IF(AND(Table1938[[#This Row],[Double Check]]=TRUE,Table1938[[#This Row],[Inspected]]=TRUE,Table1938[[#This Row],[Relevant]]=TRUE),TRUE,FALSE)</f>
        <v>0</v>
      </c>
    </row>
    <row r="277" spans="1:35" ht="57.35" x14ac:dyDescent="0.5">
      <c r="A277" s="2">
        <v>276</v>
      </c>
      <c r="B277" s="20" t="s">
        <v>3</v>
      </c>
      <c r="C277" s="20" t="s">
        <v>3162</v>
      </c>
      <c r="D277" s="20" t="s">
        <v>1726</v>
      </c>
      <c r="E277" s="20" t="s">
        <v>1725</v>
      </c>
      <c r="F277" s="2" t="s">
        <v>1729</v>
      </c>
      <c r="G277" s="20" t="s">
        <v>1727</v>
      </c>
      <c r="H277" s="36">
        <v>42929</v>
      </c>
      <c r="I277" s="20">
        <v>2017</v>
      </c>
      <c r="J277" s="20" t="s">
        <v>61</v>
      </c>
      <c r="K277" s="20" t="s">
        <v>3163</v>
      </c>
      <c r="L277" s="20" t="s">
        <v>2515</v>
      </c>
      <c r="M277" s="20" t="s">
        <v>1728</v>
      </c>
      <c r="N277" s="20" t="b">
        <v>1</v>
      </c>
      <c r="O277" s="2" t="b">
        <f>IF(Table1938[[#This Row],[Title]]="",TRUE,FALSE)</f>
        <v>0</v>
      </c>
      <c r="P277" s="2" t="b">
        <f>IF(Table1938[[#This Row],[Author]]="",TRUE,FALSE)</f>
        <v>0</v>
      </c>
      <c r="Q277" s="2" t="b">
        <f>IF(Table1938[[#This Row],[DOI]]&lt;&gt;"", FALSE,TRUE)</f>
        <v>0</v>
      </c>
      <c r="R277" s="2" t="b">
        <f>IF(Table1938[[#This Row],[Abstract]]="",TRUE,FALSE)</f>
        <v>0</v>
      </c>
      <c r="S277" s="2" t="b">
        <f>IF(OR(Table1938[[#This Row],[Document Type]]="book",Table1938[[#This Row],[Document Type]]="bookSection"),TRUE,FALSE)</f>
        <v>0</v>
      </c>
      <c r="T277" s="2" t="b">
        <f>NOT(IF(OR(Table1938[[#This Row],[Language]]&lt;&gt;"en",Table1938[[#This Row],[Language]]&lt;&gt;"EN",Table1938[[#This Row],[Language]]&lt;&gt;"spa",Table1938[[#This Row],[Language]]&lt;&gt;"SPA"),TRUE,FALSE))</f>
        <v>0</v>
      </c>
      <c r="U277" s="2" t="b">
        <f>IF(AND(Table1938[[#This Row],[EC-01]]=FALSE,Table1938[[#This Row],[EC-02]]=FALSE,Table1938[[#This Row],[EC-03]]=FALSE,Table1938[[#This Row],[EC-04]]=FALSE,Table1938[[#This Row],[EC-05]]=FALSE,Table1938[[#This Row],[EC-06]]=FALSE),TRUE,FALSE)</f>
        <v>1</v>
      </c>
      <c r="V277" s="2" t="b">
        <f>IF(Table1938[[#This Row],[Date]]&lt;&gt;"",AND(YEAR(Table1938[[#This Row],[Date]])&gt;=2010, YEAR(Table1938[[#This Row],[Date]])&lt;=2024),FALSE)</f>
        <v>1</v>
      </c>
      <c r="W277" s="2" t="b">
        <f>IF(Table1938[[#This Row],[Date]]&lt;&gt;"",AND(YEAR(Table1938[[#This Row],[Date]])&gt;=2010, YEAR(Table1938[[#This Row],[Date]])&lt;=2020),FALSE)</f>
        <v>1</v>
      </c>
      <c r="X277" s="2" t="b">
        <f>IF(AND(Table1938[[#This Row],[Accesible]]=TRUE,Table1938[[#This Row],[DOI]]&lt;&gt;""),TRUE,FALSE)</f>
        <v>1</v>
      </c>
      <c r="Y277" s="2" t="b">
        <f>OR(Table1938[[#This Row],[Document Type]]="journalArticle",Table1938[[#This Row],[Document Type]]="conferencePaper",Table1938[[#This Row],[Document Type]]="review")</f>
        <v>1</v>
      </c>
      <c r="Z277" s="2" t="b" cm="1">
        <f t="array" ref="Z277">SUMPRODUCT(--ISNUMBER(SEARCH({"dimensional analysis","dimensionless coefficients","Π","Pi","theorem","software","design","tools","development","architecture","similar"}, LOWER(Table1938[[#This Row],[Title]]))))&gt;0</f>
        <v>0</v>
      </c>
      <c r="AA277" s="2" t="b" cm="1">
        <f t="array" ref="AA277">SUMPRODUCT(--ISNUMBER(SEARCH({"dimensional analysis","dimensionless coefficients","Π","Pi","theorem","software","design","tools","development","architecture","similar"}, LOWER(Table1938[[#This Row],[Abstract]]))))&gt;0</f>
        <v>1</v>
      </c>
      <c r="AB277" s="2" t="b">
        <f>AND(OR(Table1938[[#This Row],[IC-01 @2024]:[IC-01 @2020]])=TRUE,Table1938[[#This Row],[IC-02]]=TRUE,Table1938[[#This Row],[IC-03]]=TRUE,Table1938[[#This Row],[IC-04]]=TRUE,Table1938[[#This Row],[IC-05]]=TRUE)</f>
        <v>0</v>
      </c>
      <c r="AC277" s="2" t="b">
        <f>AND(Table1938[[#This Row],[Pass-IC]]=TRUE,Table1938[[#This Row],[Pass-EC]]=TRUE)</f>
        <v>0</v>
      </c>
      <c r="AD277" s="2" t="b">
        <f>COUNTIF($D$25:D277, Table1938[[#This Row],[Title]]) = 1</f>
        <v>1</v>
      </c>
      <c r="AE277" s="2" t="b">
        <f>AND(Table1938[[#This Row],[IC + EC]:[Unique]])</f>
        <v>0</v>
      </c>
      <c r="AF277" s="2" t="b">
        <v>0</v>
      </c>
      <c r="AG277" s="2" t="b">
        <v>0</v>
      </c>
      <c r="AH277" s="2" t="b">
        <v>0</v>
      </c>
      <c r="AI277" s="2" t="b">
        <f>IF(AND(Table1938[[#This Row],[Double Check]]=TRUE,Table1938[[#This Row],[Inspected]]=TRUE,Table1938[[#This Row],[Relevant]]=TRUE),TRUE,FALSE)</f>
        <v>0</v>
      </c>
    </row>
    <row r="278" spans="1:35" ht="43" x14ac:dyDescent="0.5">
      <c r="A278" s="2">
        <v>277</v>
      </c>
      <c r="B278" s="20" t="s">
        <v>3</v>
      </c>
      <c r="C278" s="20" t="s">
        <v>3164</v>
      </c>
      <c r="D278" s="20" t="s">
        <v>1479</v>
      </c>
      <c r="E278" s="20" t="s">
        <v>1478</v>
      </c>
      <c r="F278" s="2" t="s">
        <v>1481</v>
      </c>
      <c r="G278" s="20" t="s">
        <v>1014</v>
      </c>
      <c r="H278" s="36">
        <v>43221</v>
      </c>
      <c r="I278" s="20">
        <v>2018</v>
      </c>
      <c r="J278" s="20" t="s">
        <v>61</v>
      </c>
      <c r="K278" s="20" t="s">
        <v>3165</v>
      </c>
      <c r="L278" s="20" t="s">
        <v>2515</v>
      </c>
      <c r="M278" s="20" t="s">
        <v>1480</v>
      </c>
      <c r="N278" s="20" t="b">
        <v>1</v>
      </c>
      <c r="O278" s="2" t="b">
        <f>IF(Table1938[[#This Row],[Title]]="",TRUE,FALSE)</f>
        <v>0</v>
      </c>
      <c r="P278" s="2" t="b">
        <f>IF(Table1938[[#This Row],[Author]]="",TRUE,FALSE)</f>
        <v>0</v>
      </c>
      <c r="Q278" s="2" t="b">
        <f>IF(Table1938[[#This Row],[DOI]]&lt;&gt;"", FALSE,TRUE)</f>
        <v>0</v>
      </c>
      <c r="R278" s="2" t="b">
        <f>IF(Table1938[[#This Row],[Abstract]]="",TRUE,FALSE)</f>
        <v>0</v>
      </c>
      <c r="S278" s="2" t="b">
        <f>IF(OR(Table1938[[#This Row],[Document Type]]="book",Table1938[[#This Row],[Document Type]]="bookSection"),TRUE,FALSE)</f>
        <v>0</v>
      </c>
      <c r="T278" s="2" t="b">
        <f>NOT(IF(OR(Table1938[[#This Row],[Language]]&lt;&gt;"en",Table1938[[#This Row],[Language]]&lt;&gt;"EN",Table1938[[#This Row],[Language]]&lt;&gt;"spa",Table1938[[#This Row],[Language]]&lt;&gt;"SPA"),TRUE,FALSE))</f>
        <v>0</v>
      </c>
      <c r="U278" s="2" t="b">
        <f>IF(AND(Table1938[[#This Row],[EC-01]]=FALSE,Table1938[[#This Row],[EC-02]]=FALSE,Table1938[[#This Row],[EC-03]]=FALSE,Table1938[[#This Row],[EC-04]]=FALSE,Table1938[[#This Row],[EC-05]]=FALSE,Table1938[[#This Row],[EC-06]]=FALSE),TRUE,FALSE)</f>
        <v>1</v>
      </c>
      <c r="V278" s="2" t="b">
        <f>IF(Table1938[[#This Row],[Date]]&lt;&gt;"",AND(YEAR(Table1938[[#This Row],[Date]])&gt;=2010, YEAR(Table1938[[#This Row],[Date]])&lt;=2024),FALSE)</f>
        <v>1</v>
      </c>
      <c r="W278" s="2" t="b">
        <f>IF(Table1938[[#This Row],[Date]]&lt;&gt;"",AND(YEAR(Table1938[[#This Row],[Date]])&gt;=2010, YEAR(Table1938[[#This Row],[Date]])&lt;=2020),FALSE)</f>
        <v>1</v>
      </c>
      <c r="X278" s="2" t="b">
        <f>IF(AND(Table1938[[#This Row],[Accesible]]=TRUE,Table1938[[#This Row],[DOI]]&lt;&gt;""),TRUE,FALSE)</f>
        <v>1</v>
      </c>
      <c r="Y278" s="2" t="b">
        <f>OR(Table1938[[#This Row],[Document Type]]="journalArticle",Table1938[[#This Row],[Document Type]]="conferencePaper",Table1938[[#This Row],[Document Type]]="review")</f>
        <v>1</v>
      </c>
      <c r="Z278" s="2" t="b" cm="1">
        <f t="array" ref="Z278">SUMPRODUCT(--ISNUMBER(SEARCH({"dimensional analysis","dimensionless coefficients","Π","Pi","theorem","software","design","tools","development","architecture","similar"}, LOWER(Table1938[[#This Row],[Title]]))))&gt;0</f>
        <v>0</v>
      </c>
      <c r="AA278" s="2" t="b" cm="1">
        <f t="array" ref="AA278">SUMPRODUCT(--ISNUMBER(SEARCH({"dimensional analysis","dimensionless coefficients","Π","Pi","theorem","software","design","tools","development","architecture","similar"}, LOWER(Table1938[[#This Row],[Abstract]]))))&gt;0</f>
        <v>1</v>
      </c>
      <c r="AB278" s="2" t="b">
        <f>AND(OR(Table1938[[#This Row],[IC-01 @2024]:[IC-01 @2020]])=TRUE,Table1938[[#This Row],[IC-02]]=TRUE,Table1938[[#This Row],[IC-03]]=TRUE,Table1938[[#This Row],[IC-04]]=TRUE,Table1938[[#This Row],[IC-05]]=TRUE)</f>
        <v>0</v>
      </c>
      <c r="AC278" s="2" t="b">
        <f>AND(Table1938[[#This Row],[Pass-IC]]=TRUE,Table1938[[#This Row],[Pass-EC]]=TRUE)</f>
        <v>0</v>
      </c>
      <c r="AD278" s="2" t="b">
        <f>COUNTIF($D$25:D278, Table1938[[#This Row],[Title]]) = 1</f>
        <v>1</v>
      </c>
      <c r="AE278" s="2" t="b">
        <f>AND(Table1938[[#This Row],[IC + EC]:[Unique]])</f>
        <v>0</v>
      </c>
      <c r="AF278" s="2" t="b">
        <v>0</v>
      </c>
      <c r="AG278" s="2" t="b">
        <v>0</v>
      </c>
      <c r="AH278" s="2" t="b">
        <v>0</v>
      </c>
      <c r="AI278" s="2" t="b">
        <f>IF(AND(Table1938[[#This Row],[Double Check]]=TRUE,Table1938[[#This Row],[Inspected]]=TRUE,Table1938[[#This Row],[Relevant]]=TRUE),TRUE,FALSE)</f>
        <v>0</v>
      </c>
    </row>
    <row r="279" spans="1:35" ht="43" x14ac:dyDescent="0.5">
      <c r="A279" s="2">
        <v>278</v>
      </c>
      <c r="B279" s="20" t="s">
        <v>3</v>
      </c>
      <c r="C279" s="20" t="s">
        <v>3166</v>
      </c>
      <c r="D279" s="20" t="s">
        <v>1760</v>
      </c>
      <c r="E279" s="20" t="s">
        <v>1759</v>
      </c>
      <c r="F279" s="2" t="s">
        <v>1762</v>
      </c>
      <c r="G279" s="20" t="s">
        <v>1006</v>
      </c>
      <c r="H279" s="36">
        <v>43709</v>
      </c>
      <c r="I279" s="20">
        <v>2019</v>
      </c>
      <c r="J279" s="20" t="s">
        <v>61</v>
      </c>
      <c r="K279" s="20" t="s">
        <v>123</v>
      </c>
      <c r="L279" s="20" t="s">
        <v>2515</v>
      </c>
      <c r="M279" s="20" t="s">
        <v>1761</v>
      </c>
      <c r="N279" s="20" t="b">
        <v>1</v>
      </c>
      <c r="O279" s="2" t="b">
        <f>IF(Table1938[[#This Row],[Title]]="",TRUE,FALSE)</f>
        <v>0</v>
      </c>
      <c r="P279" s="2" t="b">
        <f>IF(Table1938[[#This Row],[Author]]="",TRUE,FALSE)</f>
        <v>0</v>
      </c>
      <c r="Q279" s="2" t="b">
        <f>IF(Table1938[[#This Row],[DOI]]&lt;&gt;"", FALSE,TRUE)</f>
        <v>0</v>
      </c>
      <c r="R279" s="2" t="b">
        <f>IF(Table1938[[#This Row],[Abstract]]="",TRUE,FALSE)</f>
        <v>0</v>
      </c>
      <c r="S279" s="2" t="b">
        <f>IF(OR(Table1938[[#This Row],[Document Type]]="book",Table1938[[#This Row],[Document Type]]="bookSection"),TRUE,FALSE)</f>
        <v>0</v>
      </c>
      <c r="T279" s="2" t="b">
        <f>NOT(IF(OR(Table1938[[#This Row],[Language]]&lt;&gt;"en",Table1938[[#This Row],[Language]]&lt;&gt;"EN",Table1938[[#This Row],[Language]]&lt;&gt;"spa",Table1938[[#This Row],[Language]]&lt;&gt;"SPA"),TRUE,FALSE))</f>
        <v>0</v>
      </c>
      <c r="U279" s="2" t="b">
        <f>IF(AND(Table1938[[#This Row],[EC-01]]=FALSE,Table1938[[#This Row],[EC-02]]=FALSE,Table1938[[#This Row],[EC-03]]=FALSE,Table1938[[#This Row],[EC-04]]=FALSE,Table1938[[#This Row],[EC-05]]=FALSE,Table1938[[#This Row],[EC-06]]=FALSE),TRUE,FALSE)</f>
        <v>1</v>
      </c>
      <c r="V279" s="2" t="b">
        <f>IF(Table1938[[#This Row],[Date]]&lt;&gt;"",AND(YEAR(Table1938[[#This Row],[Date]])&gt;=2010, YEAR(Table1938[[#This Row],[Date]])&lt;=2024),FALSE)</f>
        <v>1</v>
      </c>
      <c r="W279" s="2" t="b">
        <f>IF(Table1938[[#This Row],[Date]]&lt;&gt;"",AND(YEAR(Table1938[[#This Row],[Date]])&gt;=2010, YEAR(Table1938[[#This Row],[Date]])&lt;=2020),FALSE)</f>
        <v>1</v>
      </c>
      <c r="X279" s="2" t="b">
        <f>IF(AND(Table1938[[#This Row],[Accesible]]=TRUE,Table1938[[#This Row],[DOI]]&lt;&gt;""),TRUE,FALSE)</f>
        <v>1</v>
      </c>
      <c r="Y279" s="2" t="b">
        <f>OR(Table1938[[#This Row],[Document Type]]="journalArticle",Table1938[[#This Row],[Document Type]]="conferencePaper",Table1938[[#This Row],[Document Type]]="review")</f>
        <v>1</v>
      </c>
      <c r="Z279" s="2" t="b" cm="1">
        <f t="array" ref="Z279">SUMPRODUCT(--ISNUMBER(SEARCH({"dimensional analysis","dimensionless coefficients","Π","Pi","theorem","software","design","tools","development","architecture","similar"}, LOWER(Table1938[[#This Row],[Title]]))))&gt;0</f>
        <v>0</v>
      </c>
      <c r="AA279" s="2" t="b" cm="1">
        <f t="array" ref="AA279">SUMPRODUCT(--ISNUMBER(SEARCH({"dimensional analysis","dimensionless coefficients","Π","Pi","theorem","software","design","tools","development","architecture","similar"}, LOWER(Table1938[[#This Row],[Abstract]]))))&gt;0</f>
        <v>1</v>
      </c>
      <c r="AB279" s="2" t="b">
        <f>AND(OR(Table1938[[#This Row],[IC-01 @2024]:[IC-01 @2020]])=TRUE,Table1938[[#This Row],[IC-02]]=TRUE,Table1938[[#This Row],[IC-03]]=TRUE,Table1938[[#This Row],[IC-04]]=TRUE,Table1938[[#This Row],[IC-05]]=TRUE)</f>
        <v>0</v>
      </c>
      <c r="AC279" s="2" t="b">
        <f>AND(Table1938[[#This Row],[Pass-IC]]=TRUE,Table1938[[#This Row],[Pass-EC]]=TRUE)</f>
        <v>0</v>
      </c>
      <c r="AD279" s="2" t="b">
        <f>COUNTIF($D$25:D279, Table1938[[#This Row],[Title]]) = 1</f>
        <v>1</v>
      </c>
      <c r="AE279" s="2" t="b">
        <f>AND(Table1938[[#This Row],[IC + EC]:[Unique]])</f>
        <v>0</v>
      </c>
      <c r="AF279" s="2" t="b">
        <v>0</v>
      </c>
      <c r="AG279" s="2" t="b">
        <v>0</v>
      </c>
      <c r="AH279" s="2" t="b">
        <v>0</v>
      </c>
      <c r="AI279" s="2" t="b">
        <f>IF(AND(Table1938[[#This Row],[Double Check]]=TRUE,Table1938[[#This Row],[Inspected]]=TRUE,Table1938[[#This Row],[Relevant]]=TRUE),TRUE,FALSE)</f>
        <v>0</v>
      </c>
    </row>
    <row r="280" spans="1:35" ht="57.35" x14ac:dyDescent="0.5">
      <c r="A280" s="2">
        <v>279</v>
      </c>
      <c r="B280" s="20" t="s">
        <v>3</v>
      </c>
      <c r="C280" s="20" t="s">
        <v>3167</v>
      </c>
      <c r="D280" s="20" t="s">
        <v>2400</v>
      </c>
      <c r="E280" s="20" t="s">
        <v>2399</v>
      </c>
      <c r="F280" s="2" t="s">
        <v>2402</v>
      </c>
      <c r="G280" s="20" t="s">
        <v>1139</v>
      </c>
      <c r="H280" s="36">
        <v>42795</v>
      </c>
      <c r="I280" s="20">
        <v>2017</v>
      </c>
      <c r="J280" s="20" t="s">
        <v>61</v>
      </c>
      <c r="K280" s="20" t="s">
        <v>3168</v>
      </c>
      <c r="L280" s="20" t="s">
        <v>2515</v>
      </c>
      <c r="M280" s="20" t="s">
        <v>2401</v>
      </c>
      <c r="N280" s="20" t="b">
        <v>1</v>
      </c>
      <c r="O280" s="2" t="b">
        <f>IF(Table1938[[#This Row],[Title]]="",TRUE,FALSE)</f>
        <v>0</v>
      </c>
      <c r="P280" s="2" t="b">
        <f>IF(Table1938[[#This Row],[Author]]="",TRUE,FALSE)</f>
        <v>0</v>
      </c>
      <c r="Q280" s="2" t="b">
        <f>IF(Table1938[[#This Row],[DOI]]&lt;&gt;"", FALSE,TRUE)</f>
        <v>0</v>
      </c>
      <c r="R280" s="2" t="b">
        <f>IF(Table1938[[#This Row],[Abstract]]="",TRUE,FALSE)</f>
        <v>0</v>
      </c>
      <c r="S280" s="2" t="b">
        <f>IF(OR(Table1938[[#This Row],[Document Type]]="book",Table1938[[#This Row],[Document Type]]="bookSection"),TRUE,FALSE)</f>
        <v>0</v>
      </c>
      <c r="T280" s="2" t="b">
        <f>NOT(IF(OR(Table1938[[#This Row],[Language]]&lt;&gt;"en",Table1938[[#This Row],[Language]]&lt;&gt;"EN",Table1938[[#This Row],[Language]]&lt;&gt;"spa",Table1938[[#This Row],[Language]]&lt;&gt;"SPA"),TRUE,FALSE))</f>
        <v>0</v>
      </c>
      <c r="U280" s="2" t="b">
        <f>IF(AND(Table1938[[#This Row],[EC-01]]=FALSE,Table1938[[#This Row],[EC-02]]=FALSE,Table1938[[#This Row],[EC-03]]=FALSE,Table1938[[#This Row],[EC-04]]=FALSE,Table1938[[#This Row],[EC-05]]=FALSE,Table1938[[#This Row],[EC-06]]=FALSE),TRUE,FALSE)</f>
        <v>1</v>
      </c>
      <c r="V280" s="2" t="b">
        <f>IF(Table1938[[#This Row],[Date]]&lt;&gt;"",AND(YEAR(Table1938[[#This Row],[Date]])&gt;=2010, YEAR(Table1938[[#This Row],[Date]])&lt;=2024),FALSE)</f>
        <v>1</v>
      </c>
      <c r="W280" s="2" t="b">
        <f>IF(Table1938[[#This Row],[Date]]&lt;&gt;"",AND(YEAR(Table1938[[#This Row],[Date]])&gt;=2010, YEAR(Table1938[[#This Row],[Date]])&lt;=2020),FALSE)</f>
        <v>1</v>
      </c>
      <c r="X280" s="2" t="b">
        <f>IF(AND(Table1938[[#This Row],[Accesible]]=TRUE,Table1938[[#This Row],[DOI]]&lt;&gt;""),TRUE,FALSE)</f>
        <v>1</v>
      </c>
      <c r="Y280" s="2" t="b">
        <f>OR(Table1938[[#This Row],[Document Type]]="journalArticle",Table1938[[#This Row],[Document Type]]="conferencePaper",Table1938[[#This Row],[Document Type]]="review")</f>
        <v>1</v>
      </c>
      <c r="Z280" s="2" t="b" cm="1">
        <f t="array" ref="Z280">SUMPRODUCT(--ISNUMBER(SEARCH({"dimensional analysis","dimensionless coefficients","Π","Pi","theorem","software","design","tools","development","architecture","similar"}, LOWER(Table1938[[#This Row],[Title]]))))&gt;0</f>
        <v>1</v>
      </c>
      <c r="AA280" s="2" t="b" cm="1">
        <f t="array" ref="AA280">SUMPRODUCT(--ISNUMBER(SEARCH({"dimensional analysis","dimensionless coefficients","Π","Pi","theorem","software","design","tools","development","architecture","similar"}, LOWER(Table1938[[#This Row],[Abstract]]))))&gt;0</f>
        <v>1</v>
      </c>
      <c r="AB280" s="2" t="b">
        <f>AND(OR(Table1938[[#This Row],[IC-01 @2024]:[IC-01 @2020]])=TRUE,Table1938[[#This Row],[IC-02]]=TRUE,Table1938[[#This Row],[IC-03]]=TRUE,Table1938[[#This Row],[IC-04]]=TRUE,Table1938[[#This Row],[IC-05]]=TRUE)</f>
        <v>1</v>
      </c>
      <c r="AC280" s="2" t="b">
        <f>AND(Table1938[[#This Row],[Pass-IC]]=TRUE,Table1938[[#This Row],[Pass-EC]]=TRUE)</f>
        <v>1</v>
      </c>
      <c r="AD280" s="2" t="b">
        <f>COUNTIF($D$25:D280, Table1938[[#This Row],[Title]]) = 1</f>
        <v>1</v>
      </c>
      <c r="AE280" s="2" t="b">
        <f>AND(Table1938[[#This Row],[IC + EC]:[Unique]])</f>
        <v>1</v>
      </c>
      <c r="AF280" s="2" t="b">
        <v>1</v>
      </c>
      <c r="AG280" s="2" t="b">
        <v>0</v>
      </c>
      <c r="AH280" s="2" t="b">
        <v>0</v>
      </c>
      <c r="AI280" s="2" t="b">
        <f>IF(AND(Table1938[[#This Row],[Double Check]]=TRUE,Table1938[[#This Row],[Inspected]]=TRUE,Table1938[[#This Row],[Relevant]]=TRUE),TRUE,FALSE)</f>
        <v>0</v>
      </c>
    </row>
    <row r="281" spans="1:35" ht="57.35" x14ac:dyDescent="0.5">
      <c r="A281" s="2">
        <v>280</v>
      </c>
      <c r="B281" s="20" t="s">
        <v>3</v>
      </c>
      <c r="C281" s="20" t="s">
        <v>3169</v>
      </c>
      <c r="D281" s="20" t="s">
        <v>1913</v>
      </c>
      <c r="E281" s="20" t="s">
        <v>1912</v>
      </c>
      <c r="F281" s="2" t="s">
        <v>1915</v>
      </c>
      <c r="G281" s="20" t="s">
        <v>996</v>
      </c>
      <c r="H281" s="36">
        <v>45200</v>
      </c>
      <c r="I281" s="20">
        <v>2023</v>
      </c>
      <c r="J281" s="20" t="s">
        <v>61</v>
      </c>
      <c r="K281" s="20" t="s">
        <v>3170</v>
      </c>
      <c r="L281" s="20" t="s">
        <v>2515</v>
      </c>
      <c r="M281" s="20" t="s">
        <v>1914</v>
      </c>
      <c r="N281" s="20" t="b">
        <v>1</v>
      </c>
      <c r="O281" s="2" t="b">
        <f>IF(Table1938[[#This Row],[Title]]="",TRUE,FALSE)</f>
        <v>0</v>
      </c>
      <c r="P281" s="2" t="b">
        <f>IF(Table1938[[#This Row],[Author]]="",TRUE,FALSE)</f>
        <v>0</v>
      </c>
      <c r="Q281" s="2" t="b">
        <f>IF(Table1938[[#This Row],[DOI]]&lt;&gt;"", FALSE,TRUE)</f>
        <v>0</v>
      </c>
      <c r="R281" s="2" t="b">
        <f>IF(Table1938[[#This Row],[Abstract]]="",TRUE,FALSE)</f>
        <v>0</v>
      </c>
      <c r="S281" s="2" t="b">
        <f>IF(OR(Table1938[[#This Row],[Document Type]]="book",Table1938[[#This Row],[Document Type]]="bookSection"),TRUE,FALSE)</f>
        <v>0</v>
      </c>
      <c r="T281" s="2" t="b">
        <f>NOT(IF(OR(Table1938[[#This Row],[Language]]&lt;&gt;"en",Table1938[[#This Row],[Language]]&lt;&gt;"EN",Table1938[[#This Row],[Language]]&lt;&gt;"spa",Table1938[[#This Row],[Language]]&lt;&gt;"SPA"),TRUE,FALSE))</f>
        <v>0</v>
      </c>
      <c r="U281" s="2" t="b">
        <f>IF(AND(Table1938[[#This Row],[EC-01]]=FALSE,Table1938[[#This Row],[EC-02]]=FALSE,Table1938[[#This Row],[EC-03]]=FALSE,Table1938[[#This Row],[EC-04]]=FALSE,Table1938[[#This Row],[EC-05]]=FALSE,Table1938[[#This Row],[EC-06]]=FALSE),TRUE,FALSE)</f>
        <v>1</v>
      </c>
      <c r="V281" s="2" t="b">
        <f>IF(Table1938[[#This Row],[Date]]&lt;&gt;"",AND(YEAR(Table1938[[#This Row],[Date]])&gt;=2010, YEAR(Table1938[[#This Row],[Date]])&lt;=2024),FALSE)</f>
        <v>1</v>
      </c>
      <c r="W281" s="2" t="b">
        <f>IF(Table1938[[#This Row],[Date]]&lt;&gt;"",AND(YEAR(Table1938[[#This Row],[Date]])&gt;=2010, YEAR(Table1938[[#This Row],[Date]])&lt;=2020),FALSE)</f>
        <v>0</v>
      </c>
      <c r="X281" s="2" t="b">
        <f>IF(AND(Table1938[[#This Row],[Accesible]]=TRUE,Table1938[[#This Row],[DOI]]&lt;&gt;""),TRUE,FALSE)</f>
        <v>1</v>
      </c>
      <c r="Y281" s="2" t="b">
        <f>OR(Table1938[[#This Row],[Document Type]]="journalArticle",Table1938[[#This Row],[Document Type]]="conferencePaper",Table1938[[#This Row],[Document Type]]="review")</f>
        <v>1</v>
      </c>
      <c r="Z281" s="2" t="b" cm="1">
        <f t="array" ref="Z281">SUMPRODUCT(--ISNUMBER(SEARCH({"dimensional analysis","dimensionless coefficients","Π","Pi","theorem","software","design","tools","development","architecture","similar"}, LOWER(Table1938[[#This Row],[Title]]))))&gt;0</f>
        <v>0</v>
      </c>
      <c r="AA281" s="2" t="b" cm="1">
        <f t="array" ref="AA281">SUMPRODUCT(--ISNUMBER(SEARCH({"dimensional analysis","dimensionless coefficients","Π","Pi","theorem","software","design","tools","development","architecture","similar"}, LOWER(Table1938[[#This Row],[Abstract]]))))&gt;0</f>
        <v>1</v>
      </c>
      <c r="AB281" s="2" t="b">
        <f>AND(OR(Table1938[[#This Row],[IC-01 @2024]:[IC-01 @2020]])=TRUE,Table1938[[#This Row],[IC-02]]=TRUE,Table1938[[#This Row],[IC-03]]=TRUE,Table1938[[#This Row],[IC-04]]=TRUE,Table1938[[#This Row],[IC-05]]=TRUE)</f>
        <v>0</v>
      </c>
      <c r="AC281" s="2" t="b">
        <f>AND(Table1938[[#This Row],[Pass-IC]]=TRUE,Table1938[[#This Row],[Pass-EC]]=TRUE)</f>
        <v>0</v>
      </c>
      <c r="AD281" s="2" t="b">
        <f>COUNTIF($D$25:D281, Table1938[[#This Row],[Title]]) = 1</f>
        <v>1</v>
      </c>
      <c r="AE281" s="2" t="b">
        <f>AND(Table1938[[#This Row],[IC + EC]:[Unique]])</f>
        <v>0</v>
      </c>
      <c r="AF281" s="2" t="b">
        <v>0</v>
      </c>
      <c r="AG281" s="2" t="b">
        <v>0</v>
      </c>
      <c r="AH281" s="2" t="b">
        <v>0</v>
      </c>
      <c r="AI281" s="2" t="b">
        <f>IF(AND(Table1938[[#This Row],[Double Check]]=TRUE,Table1938[[#This Row],[Inspected]]=TRUE,Table1938[[#This Row],[Relevant]]=TRUE),TRUE,FALSE)</f>
        <v>0</v>
      </c>
    </row>
    <row r="282" spans="1:35" ht="57.35" x14ac:dyDescent="0.5">
      <c r="A282" s="2">
        <v>281</v>
      </c>
      <c r="B282" s="20" t="s">
        <v>3</v>
      </c>
      <c r="C282" s="20" t="s">
        <v>3171</v>
      </c>
      <c r="D282" s="20" t="s">
        <v>1398</v>
      </c>
      <c r="E282" s="20" t="s">
        <v>1397</v>
      </c>
      <c r="F282" s="2" t="s">
        <v>1401</v>
      </c>
      <c r="G282" s="20" t="s">
        <v>1399</v>
      </c>
      <c r="H282" s="36">
        <v>44774</v>
      </c>
      <c r="I282" s="20">
        <v>2022</v>
      </c>
      <c r="J282" s="20" t="s">
        <v>61</v>
      </c>
      <c r="K282" s="20" t="s">
        <v>3172</v>
      </c>
      <c r="L282" s="20" t="s">
        <v>2515</v>
      </c>
      <c r="M282" s="20" t="s">
        <v>1400</v>
      </c>
      <c r="N282" s="20" t="b">
        <v>1</v>
      </c>
      <c r="O282" s="2" t="b">
        <f>IF(Table1938[[#This Row],[Title]]="",TRUE,FALSE)</f>
        <v>0</v>
      </c>
      <c r="P282" s="2" t="b">
        <f>IF(Table1938[[#This Row],[Author]]="",TRUE,FALSE)</f>
        <v>0</v>
      </c>
      <c r="Q282" s="2" t="b">
        <f>IF(Table1938[[#This Row],[DOI]]&lt;&gt;"", FALSE,TRUE)</f>
        <v>0</v>
      </c>
      <c r="R282" s="2" t="b">
        <f>IF(Table1938[[#This Row],[Abstract]]="",TRUE,FALSE)</f>
        <v>0</v>
      </c>
      <c r="S282" s="2" t="b">
        <f>IF(OR(Table1938[[#This Row],[Document Type]]="book",Table1938[[#This Row],[Document Type]]="bookSection"),TRUE,FALSE)</f>
        <v>0</v>
      </c>
      <c r="T282" s="2" t="b">
        <f>NOT(IF(OR(Table1938[[#This Row],[Language]]&lt;&gt;"en",Table1938[[#This Row],[Language]]&lt;&gt;"EN",Table1938[[#This Row],[Language]]&lt;&gt;"spa",Table1938[[#This Row],[Language]]&lt;&gt;"SPA"),TRUE,FALSE))</f>
        <v>0</v>
      </c>
      <c r="U282" s="2" t="b">
        <f>IF(AND(Table1938[[#This Row],[EC-01]]=FALSE,Table1938[[#This Row],[EC-02]]=FALSE,Table1938[[#This Row],[EC-03]]=FALSE,Table1938[[#This Row],[EC-04]]=FALSE,Table1938[[#This Row],[EC-05]]=FALSE,Table1938[[#This Row],[EC-06]]=FALSE),TRUE,FALSE)</f>
        <v>1</v>
      </c>
      <c r="V282" s="2" t="b">
        <f>IF(Table1938[[#This Row],[Date]]&lt;&gt;"",AND(YEAR(Table1938[[#This Row],[Date]])&gt;=2010, YEAR(Table1938[[#This Row],[Date]])&lt;=2024),FALSE)</f>
        <v>1</v>
      </c>
      <c r="W282" s="2" t="b">
        <f>IF(Table1938[[#This Row],[Date]]&lt;&gt;"",AND(YEAR(Table1938[[#This Row],[Date]])&gt;=2010, YEAR(Table1938[[#This Row],[Date]])&lt;=2020),FALSE)</f>
        <v>0</v>
      </c>
      <c r="X282" s="2" t="b">
        <f>IF(AND(Table1938[[#This Row],[Accesible]]=TRUE,Table1938[[#This Row],[DOI]]&lt;&gt;""),TRUE,FALSE)</f>
        <v>1</v>
      </c>
      <c r="Y282" s="2" t="b">
        <f>OR(Table1938[[#This Row],[Document Type]]="journalArticle",Table1938[[#This Row],[Document Type]]="conferencePaper",Table1938[[#This Row],[Document Type]]="review")</f>
        <v>1</v>
      </c>
      <c r="Z282" s="2" t="b" cm="1">
        <f t="array" ref="Z282">SUMPRODUCT(--ISNUMBER(SEARCH({"dimensional analysis","dimensionless coefficients","Π","Pi","theorem","software","design","tools","development","architecture","similar"}, LOWER(Table1938[[#This Row],[Title]]))))&gt;0</f>
        <v>0</v>
      </c>
      <c r="AA282" s="2" t="b" cm="1">
        <f t="array" ref="AA282">SUMPRODUCT(--ISNUMBER(SEARCH({"dimensional analysis","dimensionless coefficients","Π","Pi","theorem","software","design","tools","development","architecture","similar"}, LOWER(Table1938[[#This Row],[Abstract]]))))&gt;0</f>
        <v>1</v>
      </c>
      <c r="AB282" s="2" t="b">
        <f>AND(OR(Table1938[[#This Row],[IC-01 @2024]:[IC-01 @2020]])=TRUE,Table1938[[#This Row],[IC-02]]=TRUE,Table1938[[#This Row],[IC-03]]=TRUE,Table1938[[#This Row],[IC-04]]=TRUE,Table1938[[#This Row],[IC-05]]=TRUE)</f>
        <v>0</v>
      </c>
      <c r="AC282" s="2" t="b">
        <f>AND(Table1938[[#This Row],[Pass-IC]]=TRUE,Table1938[[#This Row],[Pass-EC]]=TRUE)</f>
        <v>0</v>
      </c>
      <c r="AD282" s="2" t="b">
        <f>COUNTIF($D$25:D282, Table1938[[#This Row],[Title]]) = 1</f>
        <v>1</v>
      </c>
      <c r="AE282" s="2" t="b">
        <f>AND(Table1938[[#This Row],[IC + EC]:[Unique]])</f>
        <v>0</v>
      </c>
      <c r="AF282" s="2" t="b">
        <v>0</v>
      </c>
      <c r="AG282" s="2" t="b">
        <v>0</v>
      </c>
      <c r="AH282" s="2" t="b">
        <v>0</v>
      </c>
      <c r="AI282" s="2" t="b">
        <f>IF(AND(Table1938[[#This Row],[Double Check]]=TRUE,Table1938[[#This Row],[Inspected]]=TRUE,Table1938[[#This Row],[Relevant]]=TRUE),TRUE,FALSE)</f>
        <v>0</v>
      </c>
    </row>
    <row r="283" spans="1:35" ht="43" x14ac:dyDescent="0.5">
      <c r="A283" s="2">
        <v>282</v>
      </c>
      <c r="B283" s="20" t="s">
        <v>3</v>
      </c>
      <c r="C283" s="20" t="s">
        <v>3173</v>
      </c>
      <c r="D283" s="20" t="s">
        <v>2306</v>
      </c>
      <c r="E283" s="20" t="s">
        <v>2305</v>
      </c>
      <c r="F283" s="2" t="s">
        <v>2308</v>
      </c>
      <c r="G283" s="20" t="s">
        <v>954</v>
      </c>
      <c r="H283" s="36">
        <v>40391</v>
      </c>
      <c r="I283" s="20">
        <v>2010</v>
      </c>
      <c r="J283" s="20" t="s">
        <v>61</v>
      </c>
      <c r="K283" s="20" t="s">
        <v>3174</v>
      </c>
      <c r="L283" s="20" t="s">
        <v>2515</v>
      </c>
      <c r="M283" s="20" t="s">
        <v>2307</v>
      </c>
      <c r="N283" s="20" t="b">
        <v>1</v>
      </c>
      <c r="O283" s="2" t="b">
        <f>IF(Table1938[[#This Row],[Title]]="",TRUE,FALSE)</f>
        <v>0</v>
      </c>
      <c r="P283" s="2" t="b">
        <f>IF(Table1938[[#This Row],[Author]]="",TRUE,FALSE)</f>
        <v>0</v>
      </c>
      <c r="Q283" s="2" t="b">
        <f>IF(Table1938[[#This Row],[DOI]]&lt;&gt;"", FALSE,TRUE)</f>
        <v>0</v>
      </c>
      <c r="R283" s="2" t="b">
        <f>IF(Table1938[[#This Row],[Abstract]]="",TRUE,FALSE)</f>
        <v>0</v>
      </c>
      <c r="S283" s="2" t="b">
        <f>IF(OR(Table1938[[#This Row],[Document Type]]="book",Table1938[[#This Row],[Document Type]]="bookSection"),TRUE,FALSE)</f>
        <v>0</v>
      </c>
      <c r="T283" s="2" t="b">
        <f>NOT(IF(OR(Table1938[[#This Row],[Language]]&lt;&gt;"en",Table1938[[#This Row],[Language]]&lt;&gt;"EN",Table1938[[#This Row],[Language]]&lt;&gt;"spa",Table1938[[#This Row],[Language]]&lt;&gt;"SPA"),TRUE,FALSE))</f>
        <v>0</v>
      </c>
      <c r="U283" s="2" t="b">
        <f>IF(AND(Table1938[[#This Row],[EC-01]]=FALSE,Table1938[[#This Row],[EC-02]]=FALSE,Table1938[[#This Row],[EC-03]]=FALSE,Table1938[[#This Row],[EC-04]]=FALSE,Table1938[[#This Row],[EC-05]]=FALSE,Table1938[[#This Row],[EC-06]]=FALSE),TRUE,FALSE)</f>
        <v>1</v>
      </c>
      <c r="V283" s="2" t="b">
        <f>IF(Table1938[[#This Row],[Date]]&lt;&gt;"",AND(YEAR(Table1938[[#This Row],[Date]])&gt;=2010, YEAR(Table1938[[#This Row],[Date]])&lt;=2024),FALSE)</f>
        <v>1</v>
      </c>
      <c r="W283" s="2" t="b">
        <f>IF(Table1938[[#This Row],[Date]]&lt;&gt;"",AND(YEAR(Table1938[[#This Row],[Date]])&gt;=2010, YEAR(Table1938[[#This Row],[Date]])&lt;=2020),FALSE)</f>
        <v>1</v>
      </c>
      <c r="X283" s="2" t="b">
        <f>IF(AND(Table1938[[#This Row],[Accesible]]=TRUE,Table1938[[#This Row],[DOI]]&lt;&gt;""),TRUE,FALSE)</f>
        <v>1</v>
      </c>
      <c r="Y283" s="2" t="b">
        <f>OR(Table1938[[#This Row],[Document Type]]="journalArticle",Table1938[[#This Row],[Document Type]]="conferencePaper",Table1938[[#This Row],[Document Type]]="review")</f>
        <v>1</v>
      </c>
      <c r="Z283" s="2" t="b" cm="1">
        <f t="array" ref="Z283">SUMPRODUCT(--ISNUMBER(SEARCH({"dimensional analysis","dimensionless coefficients","Π","Pi","theorem","software","design","tools","development","architecture","similar"}, LOWER(Table1938[[#This Row],[Title]]))))&gt;0</f>
        <v>0</v>
      </c>
      <c r="AA283" s="2" t="b" cm="1">
        <f t="array" ref="AA283">SUMPRODUCT(--ISNUMBER(SEARCH({"dimensional analysis","dimensionless coefficients","Π","Pi","theorem","software","design","tools","development","architecture","similar"}, LOWER(Table1938[[#This Row],[Abstract]]))))&gt;0</f>
        <v>1</v>
      </c>
      <c r="AB283" s="2" t="b">
        <f>AND(OR(Table1938[[#This Row],[IC-01 @2024]:[IC-01 @2020]])=TRUE,Table1938[[#This Row],[IC-02]]=TRUE,Table1938[[#This Row],[IC-03]]=TRUE,Table1938[[#This Row],[IC-04]]=TRUE,Table1938[[#This Row],[IC-05]]=TRUE)</f>
        <v>0</v>
      </c>
      <c r="AC283" s="2" t="b">
        <f>AND(Table1938[[#This Row],[Pass-IC]]=TRUE,Table1938[[#This Row],[Pass-EC]]=TRUE)</f>
        <v>0</v>
      </c>
      <c r="AD283" s="2" t="b">
        <f>COUNTIF($D$25:D283, Table1938[[#This Row],[Title]]) = 1</f>
        <v>1</v>
      </c>
      <c r="AE283" s="2" t="b">
        <f>AND(Table1938[[#This Row],[IC + EC]:[Unique]])</f>
        <v>0</v>
      </c>
      <c r="AF283" s="2" t="b">
        <v>0</v>
      </c>
      <c r="AG283" s="2" t="b">
        <v>0</v>
      </c>
      <c r="AH283" s="2" t="b">
        <v>0</v>
      </c>
      <c r="AI283" s="2" t="b">
        <f>IF(AND(Table1938[[#This Row],[Double Check]]=TRUE,Table1938[[#This Row],[Inspected]]=TRUE,Table1938[[#This Row],[Relevant]]=TRUE),TRUE,FALSE)</f>
        <v>0</v>
      </c>
    </row>
    <row r="284" spans="1:35" ht="43" x14ac:dyDescent="0.5">
      <c r="A284" s="2">
        <v>283</v>
      </c>
      <c r="B284" s="20" t="s">
        <v>3</v>
      </c>
      <c r="C284" s="20" t="s">
        <v>3175</v>
      </c>
      <c r="D284" s="20" t="s">
        <v>1538</v>
      </c>
      <c r="E284" s="20" t="s">
        <v>1537</v>
      </c>
      <c r="F284" s="2" t="s">
        <v>1541</v>
      </c>
      <c r="G284" s="20" t="s">
        <v>1539</v>
      </c>
      <c r="H284" s="36">
        <v>43952</v>
      </c>
      <c r="I284" s="20">
        <v>2020</v>
      </c>
      <c r="J284" s="20" t="s">
        <v>61</v>
      </c>
      <c r="K284" s="20" t="s">
        <v>3176</v>
      </c>
      <c r="L284" s="20" t="s">
        <v>2515</v>
      </c>
      <c r="M284" s="20" t="s">
        <v>1540</v>
      </c>
      <c r="N284" s="20" t="b">
        <v>1</v>
      </c>
      <c r="O284" s="2" t="b">
        <f>IF(Table1938[[#This Row],[Title]]="",TRUE,FALSE)</f>
        <v>0</v>
      </c>
      <c r="P284" s="2" t="b">
        <f>IF(Table1938[[#This Row],[Author]]="",TRUE,FALSE)</f>
        <v>0</v>
      </c>
      <c r="Q284" s="2" t="b">
        <f>IF(Table1938[[#This Row],[DOI]]&lt;&gt;"", FALSE,TRUE)</f>
        <v>0</v>
      </c>
      <c r="R284" s="2" t="b">
        <f>IF(Table1938[[#This Row],[Abstract]]="",TRUE,FALSE)</f>
        <v>0</v>
      </c>
      <c r="S284" s="2" t="b">
        <f>IF(OR(Table1938[[#This Row],[Document Type]]="book",Table1938[[#This Row],[Document Type]]="bookSection"),TRUE,FALSE)</f>
        <v>0</v>
      </c>
      <c r="T284" s="2" t="b">
        <f>NOT(IF(OR(Table1938[[#This Row],[Language]]&lt;&gt;"en",Table1938[[#This Row],[Language]]&lt;&gt;"EN",Table1938[[#This Row],[Language]]&lt;&gt;"spa",Table1938[[#This Row],[Language]]&lt;&gt;"SPA"),TRUE,FALSE))</f>
        <v>0</v>
      </c>
      <c r="U284" s="2" t="b">
        <f>IF(AND(Table1938[[#This Row],[EC-01]]=FALSE,Table1938[[#This Row],[EC-02]]=FALSE,Table1938[[#This Row],[EC-03]]=FALSE,Table1938[[#This Row],[EC-04]]=FALSE,Table1938[[#This Row],[EC-05]]=FALSE,Table1938[[#This Row],[EC-06]]=FALSE),TRUE,FALSE)</f>
        <v>1</v>
      </c>
      <c r="V284" s="2" t="b">
        <f>IF(Table1938[[#This Row],[Date]]&lt;&gt;"",AND(YEAR(Table1938[[#This Row],[Date]])&gt;=2010, YEAR(Table1938[[#This Row],[Date]])&lt;=2024),FALSE)</f>
        <v>1</v>
      </c>
      <c r="W284" s="2" t="b">
        <f>IF(Table1938[[#This Row],[Date]]&lt;&gt;"",AND(YEAR(Table1938[[#This Row],[Date]])&gt;=2010, YEAR(Table1938[[#This Row],[Date]])&lt;=2020),FALSE)</f>
        <v>1</v>
      </c>
      <c r="X284" s="2" t="b">
        <f>IF(AND(Table1938[[#This Row],[Accesible]]=TRUE,Table1938[[#This Row],[DOI]]&lt;&gt;""),TRUE,FALSE)</f>
        <v>1</v>
      </c>
      <c r="Y284" s="2" t="b">
        <f>OR(Table1938[[#This Row],[Document Type]]="journalArticle",Table1938[[#This Row],[Document Type]]="conferencePaper",Table1938[[#This Row],[Document Type]]="review")</f>
        <v>1</v>
      </c>
      <c r="Z284" s="2" t="b" cm="1">
        <f t="array" ref="Z284">SUMPRODUCT(--ISNUMBER(SEARCH({"dimensional analysis","dimensionless coefficients","Π","Pi","theorem","software","design","tools","development","architecture","similar"}, LOWER(Table1938[[#This Row],[Title]]))))&gt;0</f>
        <v>0</v>
      </c>
      <c r="AA284" s="2" t="b" cm="1">
        <f t="array" ref="AA284">SUMPRODUCT(--ISNUMBER(SEARCH({"dimensional analysis","dimensionless coefficients","Π","Pi","theorem","software","design","tools","development","architecture","similar"}, LOWER(Table1938[[#This Row],[Abstract]]))))&gt;0</f>
        <v>0</v>
      </c>
      <c r="AB284" s="2" t="b">
        <f>AND(OR(Table1938[[#This Row],[IC-01 @2024]:[IC-01 @2020]])=TRUE,Table1938[[#This Row],[IC-02]]=TRUE,Table1938[[#This Row],[IC-03]]=TRUE,Table1938[[#This Row],[IC-04]]=TRUE,Table1938[[#This Row],[IC-05]]=TRUE)</f>
        <v>0</v>
      </c>
      <c r="AC284" s="2" t="b">
        <f>AND(Table1938[[#This Row],[Pass-IC]]=TRUE,Table1938[[#This Row],[Pass-EC]]=TRUE)</f>
        <v>0</v>
      </c>
      <c r="AD284" s="2" t="b">
        <f>COUNTIF($D$25:D284, Table1938[[#This Row],[Title]]) = 1</f>
        <v>1</v>
      </c>
      <c r="AE284" s="2" t="b">
        <f>AND(Table1938[[#This Row],[IC + EC]:[Unique]])</f>
        <v>0</v>
      </c>
      <c r="AF284" s="2" t="b">
        <v>0</v>
      </c>
      <c r="AG284" s="2" t="b">
        <v>0</v>
      </c>
      <c r="AH284" s="2" t="b">
        <v>0</v>
      </c>
      <c r="AI284" s="2" t="b">
        <f>IF(AND(Table1938[[#This Row],[Double Check]]=TRUE,Table1938[[#This Row],[Inspected]]=TRUE,Table1938[[#This Row],[Relevant]]=TRUE),TRUE,FALSE)</f>
        <v>0</v>
      </c>
    </row>
    <row r="285" spans="1:35" ht="57.35" x14ac:dyDescent="0.5">
      <c r="A285" s="2">
        <v>284</v>
      </c>
      <c r="B285" s="20" t="s">
        <v>3</v>
      </c>
      <c r="C285" s="20" t="s">
        <v>3177</v>
      </c>
      <c r="D285" s="20" t="s">
        <v>1938</v>
      </c>
      <c r="E285" s="20" t="s">
        <v>1937</v>
      </c>
      <c r="F285" s="2" t="s">
        <v>1940</v>
      </c>
      <c r="G285" s="20" t="s">
        <v>927</v>
      </c>
      <c r="H285" s="36">
        <v>45536</v>
      </c>
      <c r="I285" s="20">
        <v>2024</v>
      </c>
      <c r="J285" s="20" t="s">
        <v>61</v>
      </c>
      <c r="K285" s="20" t="s">
        <v>3178</v>
      </c>
      <c r="L285" s="20" t="s">
        <v>2515</v>
      </c>
      <c r="M285" s="20" t="s">
        <v>1939</v>
      </c>
      <c r="N285" s="20" t="b">
        <v>1</v>
      </c>
      <c r="O285" s="2" t="b">
        <f>IF(Table1938[[#This Row],[Title]]="",TRUE,FALSE)</f>
        <v>0</v>
      </c>
      <c r="P285" s="2" t="b">
        <f>IF(Table1938[[#This Row],[Author]]="",TRUE,FALSE)</f>
        <v>0</v>
      </c>
      <c r="Q285" s="2" t="b">
        <f>IF(Table1938[[#This Row],[DOI]]&lt;&gt;"", FALSE,TRUE)</f>
        <v>0</v>
      </c>
      <c r="R285" s="2" t="b">
        <f>IF(Table1938[[#This Row],[Abstract]]="",TRUE,FALSE)</f>
        <v>0</v>
      </c>
      <c r="S285" s="2" t="b">
        <f>IF(OR(Table1938[[#This Row],[Document Type]]="book",Table1938[[#This Row],[Document Type]]="bookSection"),TRUE,FALSE)</f>
        <v>0</v>
      </c>
      <c r="T285" s="2" t="b">
        <f>NOT(IF(OR(Table1938[[#This Row],[Language]]&lt;&gt;"en",Table1938[[#This Row],[Language]]&lt;&gt;"EN",Table1938[[#This Row],[Language]]&lt;&gt;"spa",Table1938[[#This Row],[Language]]&lt;&gt;"SPA"),TRUE,FALSE))</f>
        <v>0</v>
      </c>
      <c r="U285" s="2" t="b">
        <f>IF(AND(Table1938[[#This Row],[EC-01]]=FALSE,Table1938[[#This Row],[EC-02]]=FALSE,Table1938[[#This Row],[EC-03]]=FALSE,Table1938[[#This Row],[EC-04]]=FALSE,Table1938[[#This Row],[EC-05]]=FALSE,Table1938[[#This Row],[EC-06]]=FALSE),TRUE,FALSE)</f>
        <v>1</v>
      </c>
      <c r="V285" s="2" t="b">
        <f>IF(Table1938[[#This Row],[Date]]&lt;&gt;"",AND(YEAR(Table1938[[#This Row],[Date]])&gt;=2010, YEAR(Table1938[[#This Row],[Date]])&lt;=2024),FALSE)</f>
        <v>1</v>
      </c>
      <c r="W285" s="2" t="b">
        <f>IF(Table1938[[#This Row],[Date]]&lt;&gt;"",AND(YEAR(Table1938[[#This Row],[Date]])&gt;=2010, YEAR(Table1938[[#This Row],[Date]])&lt;=2020),FALSE)</f>
        <v>0</v>
      </c>
      <c r="X285" s="2" t="b">
        <f>IF(AND(Table1938[[#This Row],[Accesible]]=TRUE,Table1938[[#This Row],[DOI]]&lt;&gt;""),TRUE,FALSE)</f>
        <v>1</v>
      </c>
      <c r="Y285" s="2" t="b">
        <f>OR(Table1938[[#This Row],[Document Type]]="journalArticle",Table1938[[#This Row],[Document Type]]="conferencePaper",Table1938[[#This Row],[Document Type]]="review")</f>
        <v>1</v>
      </c>
      <c r="Z285" s="2" t="b" cm="1">
        <f t="array" ref="Z285">SUMPRODUCT(--ISNUMBER(SEARCH({"dimensional analysis","dimensionless coefficients","Π","Pi","theorem","software","design","tools","development","architecture","similar"}, LOWER(Table1938[[#This Row],[Title]]))))&gt;0</f>
        <v>0</v>
      </c>
      <c r="AA285" s="2" t="b" cm="1">
        <f t="array" ref="AA285">SUMPRODUCT(--ISNUMBER(SEARCH({"dimensional analysis","dimensionless coefficients","Π","Pi","theorem","software","design","tools","development","architecture","similar"}, LOWER(Table1938[[#This Row],[Abstract]]))))&gt;0</f>
        <v>1</v>
      </c>
      <c r="AB285" s="2" t="b">
        <f>AND(OR(Table1938[[#This Row],[IC-01 @2024]:[IC-01 @2020]])=TRUE,Table1938[[#This Row],[IC-02]]=TRUE,Table1938[[#This Row],[IC-03]]=TRUE,Table1938[[#This Row],[IC-04]]=TRUE,Table1938[[#This Row],[IC-05]]=TRUE)</f>
        <v>0</v>
      </c>
      <c r="AC285" s="2" t="b">
        <f>AND(Table1938[[#This Row],[Pass-IC]]=TRUE,Table1938[[#This Row],[Pass-EC]]=TRUE)</f>
        <v>0</v>
      </c>
      <c r="AD285" s="2" t="b">
        <f>COUNTIF($D$25:D285, Table1938[[#This Row],[Title]]) = 1</f>
        <v>1</v>
      </c>
      <c r="AE285" s="2" t="b">
        <f>AND(Table1938[[#This Row],[IC + EC]:[Unique]])</f>
        <v>0</v>
      </c>
      <c r="AF285" s="2" t="b">
        <v>0</v>
      </c>
      <c r="AG285" s="2" t="b">
        <v>0</v>
      </c>
      <c r="AH285" s="2" t="b">
        <v>0</v>
      </c>
      <c r="AI285" s="2" t="b">
        <f>IF(AND(Table1938[[#This Row],[Double Check]]=TRUE,Table1938[[#This Row],[Inspected]]=TRUE,Table1938[[#This Row],[Relevant]]=TRUE),TRUE,FALSE)</f>
        <v>0</v>
      </c>
    </row>
    <row r="286" spans="1:35" ht="57.35" x14ac:dyDescent="0.5">
      <c r="A286" s="2">
        <v>285</v>
      </c>
      <c r="B286" s="20" t="s">
        <v>3</v>
      </c>
      <c r="C286" s="20" t="s">
        <v>3179</v>
      </c>
      <c r="D286" s="20" t="s">
        <v>2396</v>
      </c>
      <c r="E286" s="20" t="s">
        <v>2395</v>
      </c>
      <c r="F286" s="2" t="s">
        <v>2398</v>
      </c>
      <c r="G286" s="20" t="s">
        <v>928</v>
      </c>
      <c r="H286" s="36">
        <v>44256</v>
      </c>
      <c r="I286" s="20">
        <v>2021</v>
      </c>
      <c r="J286" s="20" t="s">
        <v>61</v>
      </c>
      <c r="K286" s="20" t="s">
        <v>3180</v>
      </c>
      <c r="L286" s="20" t="s">
        <v>2515</v>
      </c>
      <c r="M286" s="20" t="s">
        <v>2397</v>
      </c>
      <c r="N286" s="20" t="b">
        <v>1</v>
      </c>
      <c r="O286" s="2" t="b">
        <f>IF(Table1938[[#This Row],[Title]]="",TRUE,FALSE)</f>
        <v>0</v>
      </c>
      <c r="P286" s="2" t="b">
        <f>IF(Table1938[[#This Row],[Author]]="",TRUE,FALSE)</f>
        <v>0</v>
      </c>
      <c r="Q286" s="2" t="b">
        <f>IF(Table1938[[#This Row],[DOI]]&lt;&gt;"", FALSE,TRUE)</f>
        <v>0</v>
      </c>
      <c r="R286" s="2" t="b">
        <f>IF(Table1938[[#This Row],[Abstract]]="",TRUE,FALSE)</f>
        <v>0</v>
      </c>
      <c r="S286" s="2" t="b">
        <f>IF(OR(Table1938[[#This Row],[Document Type]]="book",Table1938[[#This Row],[Document Type]]="bookSection"),TRUE,FALSE)</f>
        <v>0</v>
      </c>
      <c r="T286" s="2" t="b">
        <f>NOT(IF(OR(Table1938[[#This Row],[Language]]&lt;&gt;"en",Table1938[[#This Row],[Language]]&lt;&gt;"EN",Table1938[[#This Row],[Language]]&lt;&gt;"spa",Table1938[[#This Row],[Language]]&lt;&gt;"SPA"),TRUE,FALSE))</f>
        <v>0</v>
      </c>
      <c r="U286" s="2" t="b">
        <f>IF(AND(Table1938[[#This Row],[EC-01]]=FALSE,Table1938[[#This Row],[EC-02]]=FALSE,Table1938[[#This Row],[EC-03]]=FALSE,Table1938[[#This Row],[EC-04]]=FALSE,Table1938[[#This Row],[EC-05]]=FALSE,Table1938[[#This Row],[EC-06]]=FALSE),TRUE,FALSE)</f>
        <v>1</v>
      </c>
      <c r="V286" s="2" t="b">
        <f>IF(Table1938[[#This Row],[Date]]&lt;&gt;"",AND(YEAR(Table1938[[#This Row],[Date]])&gt;=2010, YEAR(Table1938[[#This Row],[Date]])&lt;=2024),FALSE)</f>
        <v>1</v>
      </c>
      <c r="W286" s="2" t="b">
        <f>IF(Table1938[[#This Row],[Date]]&lt;&gt;"",AND(YEAR(Table1938[[#This Row],[Date]])&gt;=2010, YEAR(Table1938[[#This Row],[Date]])&lt;=2020),FALSE)</f>
        <v>0</v>
      </c>
      <c r="X286" s="2" t="b">
        <f>IF(AND(Table1938[[#This Row],[Accesible]]=TRUE,Table1938[[#This Row],[DOI]]&lt;&gt;""),TRUE,FALSE)</f>
        <v>1</v>
      </c>
      <c r="Y286" s="2" t="b">
        <f>OR(Table1938[[#This Row],[Document Type]]="journalArticle",Table1938[[#This Row],[Document Type]]="conferencePaper",Table1938[[#This Row],[Document Type]]="review")</f>
        <v>1</v>
      </c>
      <c r="Z286" s="2" t="b" cm="1">
        <f t="array" ref="Z286">SUMPRODUCT(--ISNUMBER(SEARCH({"dimensional analysis","dimensionless coefficients","Π","Pi","theorem","software","design","tools","development","architecture","similar"}, LOWER(Table1938[[#This Row],[Title]]))))&gt;0</f>
        <v>0</v>
      </c>
      <c r="AA286" s="2" t="b" cm="1">
        <f t="array" ref="AA286">SUMPRODUCT(--ISNUMBER(SEARCH({"dimensional analysis","dimensionless coefficients","Π","Pi","theorem","software","design","tools","development","architecture","similar"}, LOWER(Table1938[[#This Row],[Abstract]]))))&gt;0</f>
        <v>1</v>
      </c>
      <c r="AB286" s="2" t="b">
        <f>AND(OR(Table1938[[#This Row],[IC-01 @2024]:[IC-01 @2020]])=TRUE,Table1938[[#This Row],[IC-02]]=TRUE,Table1938[[#This Row],[IC-03]]=TRUE,Table1938[[#This Row],[IC-04]]=TRUE,Table1938[[#This Row],[IC-05]]=TRUE)</f>
        <v>0</v>
      </c>
      <c r="AC286" s="2" t="b">
        <f>AND(Table1938[[#This Row],[Pass-IC]]=TRUE,Table1938[[#This Row],[Pass-EC]]=TRUE)</f>
        <v>0</v>
      </c>
      <c r="AD286" s="2" t="b">
        <f>COUNTIF($D$25:D286, Table1938[[#This Row],[Title]]) = 1</f>
        <v>1</v>
      </c>
      <c r="AE286" s="2" t="b">
        <f>AND(Table1938[[#This Row],[IC + EC]:[Unique]])</f>
        <v>0</v>
      </c>
      <c r="AF286" s="2" t="b">
        <v>0</v>
      </c>
      <c r="AG286" s="2" t="b">
        <v>0</v>
      </c>
      <c r="AH286" s="2" t="b">
        <v>0</v>
      </c>
      <c r="AI286" s="2" t="b">
        <f>IF(AND(Table1938[[#This Row],[Double Check]]=TRUE,Table1938[[#This Row],[Inspected]]=TRUE,Table1938[[#This Row],[Relevant]]=TRUE),TRUE,FALSE)</f>
        <v>0</v>
      </c>
    </row>
    <row r="287" spans="1:35" ht="57.35" x14ac:dyDescent="0.5">
      <c r="A287" s="2">
        <v>286</v>
      </c>
      <c r="B287" s="20" t="s">
        <v>3</v>
      </c>
      <c r="C287" s="20" t="s">
        <v>3181</v>
      </c>
      <c r="D287" s="20" t="s">
        <v>1705</v>
      </c>
      <c r="E287" s="20" t="s">
        <v>1704</v>
      </c>
      <c r="F287" s="2" t="s">
        <v>1707</v>
      </c>
      <c r="G287" s="20" t="s">
        <v>996</v>
      </c>
      <c r="H287" s="36">
        <v>45383</v>
      </c>
      <c r="I287" s="20">
        <v>2024</v>
      </c>
      <c r="J287" s="20" t="s">
        <v>61</v>
      </c>
      <c r="K287" s="20" t="s">
        <v>3182</v>
      </c>
      <c r="L287" s="20" t="s">
        <v>2515</v>
      </c>
      <c r="M287" s="20" t="s">
        <v>1706</v>
      </c>
      <c r="N287" s="20" t="b">
        <v>1</v>
      </c>
      <c r="O287" s="2" t="b">
        <f>IF(Table1938[[#This Row],[Title]]="",TRUE,FALSE)</f>
        <v>0</v>
      </c>
      <c r="P287" s="2" t="b">
        <f>IF(Table1938[[#This Row],[Author]]="",TRUE,FALSE)</f>
        <v>0</v>
      </c>
      <c r="Q287" s="2" t="b">
        <f>IF(Table1938[[#This Row],[DOI]]&lt;&gt;"", FALSE,TRUE)</f>
        <v>0</v>
      </c>
      <c r="R287" s="2" t="b">
        <f>IF(Table1938[[#This Row],[Abstract]]="",TRUE,FALSE)</f>
        <v>0</v>
      </c>
      <c r="S287" s="2" t="b">
        <f>IF(OR(Table1938[[#This Row],[Document Type]]="book",Table1938[[#This Row],[Document Type]]="bookSection"),TRUE,FALSE)</f>
        <v>0</v>
      </c>
      <c r="T287" s="2" t="b">
        <f>NOT(IF(OR(Table1938[[#This Row],[Language]]&lt;&gt;"en",Table1938[[#This Row],[Language]]&lt;&gt;"EN",Table1938[[#This Row],[Language]]&lt;&gt;"spa",Table1938[[#This Row],[Language]]&lt;&gt;"SPA"),TRUE,FALSE))</f>
        <v>0</v>
      </c>
      <c r="U287" s="2" t="b">
        <f>IF(AND(Table1938[[#This Row],[EC-01]]=FALSE,Table1938[[#This Row],[EC-02]]=FALSE,Table1938[[#This Row],[EC-03]]=FALSE,Table1938[[#This Row],[EC-04]]=FALSE,Table1938[[#This Row],[EC-05]]=FALSE,Table1938[[#This Row],[EC-06]]=FALSE),TRUE,FALSE)</f>
        <v>1</v>
      </c>
      <c r="V287" s="2" t="b">
        <f>IF(Table1938[[#This Row],[Date]]&lt;&gt;"",AND(YEAR(Table1938[[#This Row],[Date]])&gt;=2010, YEAR(Table1938[[#This Row],[Date]])&lt;=2024),FALSE)</f>
        <v>1</v>
      </c>
      <c r="W287" s="2" t="b">
        <f>IF(Table1938[[#This Row],[Date]]&lt;&gt;"",AND(YEAR(Table1938[[#This Row],[Date]])&gt;=2010, YEAR(Table1938[[#This Row],[Date]])&lt;=2020),FALSE)</f>
        <v>0</v>
      </c>
      <c r="X287" s="2" t="b">
        <f>IF(AND(Table1938[[#This Row],[Accesible]]=TRUE,Table1938[[#This Row],[DOI]]&lt;&gt;""),TRUE,FALSE)</f>
        <v>1</v>
      </c>
      <c r="Y287" s="2" t="b">
        <f>OR(Table1938[[#This Row],[Document Type]]="journalArticle",Table1938[[#This Row],[Document Type]]="conferencePaper",Table1938[[#This Row],[Document Type]]="review")</f>
        <v>1</v>
      </c>
      <c r="Z287" s="2" t="b" cm="1">
        <f t="array" ref="Z287">SUMPRODUCT(--ISNUMBER(SEARCH({"dimensional analysis","dimensionless coefficients","Π","Pi","theorem","software","design","tools","development","architecture","similar"}, LOWER(Table1938[[#This Row],[Title]]))))&gt;0</f>
        <v>0</v>
      </c>
      <c r="AA287" s="2" t="b" cm="1">
        <f t="array" ref="AA287">SUMPRODUCT(--ISNUMBER(SEARCH({"dimensional analysis","dimensionless coefficients","Π","Pi","theorem","software","design","tools","development","architecture","similar"}, LOWER(Table1938[[#This Row],[Abstract]]))))&gt;0</f>
        <v>1</v>
      </c>
      <c r="AB287" s="2" t="b">
        <f>AND(OR(Table1938[[#This Row],[IC-01 @2024]:[IC-01 @2020]])=TRUE,Table1938[[#This Row],[IC-02]]=TRUE,Table1938[[#This Row],[IC-03]]=TRUE,Table1938[[#This Row],[IC-04]]=TRUE,Table1938[[#This Row],[IC-05]]=TRUE)</f>
        <v>0</v>
      </c>
      <c r="AC287" s="2" t="b">
        <f>AND(Table1938[[#This Row],[Pass-IC]]=TRUE,Table1938[[#This Row],[Pass-EC]]=TRUE)</f>
        <v>0</v>
      </c>
      <c r="AD287" s="2" t="b">
        <f>COUNTIF($D$25:D287, Table1938[[#This Row],[Title]]) = 1</f>
        <v>1</v>
      </c>
      <c r="AE287" s="2" t="b">
        <f>AND(Table1938[[#This Row],[IC + EC]:[Unique]])</f>
        <v>0</v>
      </c>
      <c r="AF287" s="2" t="b">
        <v>0</v>
      </c>
      <c r="AG287" s="2" t="b">
        <v>0</v>
      </c>
      <c r="AH287" s="2" t="b">
        <v>0</v>
      </c>
      <c r="AI287" s="2" t="b">
        <f>IF(AND(Table1938[[#This Row],[Double Check]]=TRUE,Table1938[[#This Row],[Inspected]]=TRUE,Table1938[[#This Row],[Relevant]]=TRUE),TRUE,FALSE)</f>
        <v>0</v>
      </c>
    </row>
    <row r="288" spans="1:35" ht="71.7" x14ac:dyDescent="0.5">
      <c r="A288" s="2">
        <v>287</v>
      </c>
      <c r="B288" s="20" t="s">
        <v>3</v>
      </c>
      <c r="C288" s="20" t="s">
        <v>3183</v>
      </c>
      <c r="D288" s="20" t="s">
        <v>1958</v>
      </c>
      <c r="E288" s="20" t="s">
        <v>1957</v>
      </c>
      <c r="F288" s="2" t="s">
        <v>1960</v>
      </c>
      <c r="G288" s="20" t="s">
        <v>1113</v>
      </c>
      <c r="H288" s="36">
        <v>44927</v>
      </c>
      <c r="I288" s="20">
        <v>2023</v>
      </c>
      <c r="J288" s="20" t="s">
        <v>61</v>
      </c>
      <c r="K288" s="20" t="s">
        <v>3184</v>
      </c>
      <c r="L288" s="20" t="s">
        <v>2515</v>
      </c>
      <c r="M288" s="20" t="s">
        <v>1959</v>
      </c>
      <c r="N288" s="20" t="b">
        <v>1</v>
      </c>
      <c r="O288" s="2" t="b">
        <f>IF(Table1938[[#This Row],[Title]]="",TRUE,FALSE)</f>
        <v>0</v>
      </c>
      <c r="P288" s="2" t="b">
        <f>IF(Table1938[[#This Row],[Author]]="",TRUE,FALSE)</f>
        <v>0</v>
      </c>
      <c r="Q288" s="2" t="b">
        <f>IF(Table1938[[#This Row],[DOI]]&lt;&gt;"", FALSE,TRUE)</f>
        <v>0</v>
      </c>
      <c r="R288" s="2" t="b">
        <f>IF(Table1938[[#This Row],[Abstract]]="",TRUE,FALSE)</f>
        <v>0</v>
      </c>
      <c r="S288" s="2" t="b">
        <f>IF(OR(Table1938[[#This Row],[Document Type]]="book",Table1938[[#This Row],[Document Type]]="bookSection"),TRUE,FALSE)</f>
        <v>0</v>
      </c>
      <c r="T288" s="2" t="b">
        <f>NOT(IF(OR(Table1938[[#This Row],[Language]]&lt;&gt;"en",Table1938[[#This Row],[Language]]&lt;&gt;"EN",Table1938[[#This Row],[Language]]&lt;&gt;"spa",Table1938[[#This Row],[Language]]&lt;&gt;"SPA"),TRUE,FALSE))</f>
        <v>0</v>
      </c>
      <c r="U288" s="2" t="b">
        <f>IF(AND(Table1938[[#This Row],[EC-01]]=FALSE,Table1938[[#This Row],[EC-02]]=FALSE,Table1938[[#This Row],[EC-03]]=FALSE,Table1938[[#This Row],[EC-04]]=FALSE,Table1938[[#This Row],[EC-05]]=FALSE,Table1938[[#This Row],[EC-06]]=FALSE),TRUE,FALSE)</f>
        <v>1</v>
      </c>
      <c r="V288" s="2" t="b">
        <f>IF(Table1938[[#This Row],[Date]]&lt;&gt;"",AND(YEAR(Table1938[[#This Row],[Date]])&gt;=2010, YEAR(Table1938[[#This Row],[Date]])&lt;=2024),FALSE)</f>
        <v>1</v>
      </c>
      <c r="W288" s="2" t="b">
        <f>IF(Table1938[[#This Row],[Date]]&lt;&gt;"",AND(YEAR(Table1938[[#This Row],[Date]])&gt;=2010, YEAR(Table1938[[#This Row],[Date]])&lt;=2020),FALSE)</f>
        <v>0</v>
      </c>
      <c r="X288" s="2" t="b">
        <f>IF(AND(Table1938[[#This Row],[Accesible]]=TRUE,Table1938[[#This Row],[DOI]]&lt;&gt;""),TRUE,FALSE)</f>
        <v>1</v>
      </c>
      <c r="Y288" s="2" t="b">
        <f>OR(Table1938[[#This Row],[Document Type]]="journalArticle",Table1938[[#This Row],[Document Type]]="conferencePaper",Table1938[[#This Row],[Document Type]]="review")</f>
        <v>1</v>
      </c>
      <c r="Z288" s="2" t="b" cm="1">
        <f t="array" ref="Z288">SUMPRODUCT(--ISNUMBER(SEARCH({"dimensional analysis","dimensionless coefficients","Π","Pi","theorem","software","design","tools","development","architecture","similar"}, LOWER(Table1938[[#This Row],[Title]]))))&gt;0</f>
        <v>0</v>
      </c>
      <c r="AA288" s="2" t="b" cm="1">
        <f t="array" ref="AA288">SUMPRODUCT(--ISNUMBER(SEARCH({"dimensional analysis","dimensionless coefficients","Π","Pi","theorem","software","design","tools","development","architecture","similar"}, LOWER(Table1938[[#This Row],[Abstract]]))))&gt;0</f>
        <v>1</v>
      </c>
      <c r="AB288" s="2" t="b">
        <f>AND(OR(Table1938[[#This Row],[IC-01 @2024]:[IC-01 @2020]])=TRUE,Table1938[[#This Row],[IC-02]]=TRUE,Table1938[[#This Row],[IC-03]]=TRUE,Table1938[[#This Row],[IC-04]]=TRUE,Table1938[[#This Row],[IC-05]]=TRUE)</f>
        <v>0</v>
      </c>
      <c r="AC288" s="2" t="b">
        <f>AND(Table1938[[#This Row],[Pass-IC]]=TRUE,Table1938[[#This Row],[Pass-EC]]=TRUE)</f>
        <v>0</v>
      </c>
      <c r="AD288" s="2" t="b">
        <f>COUNTIF($D$25:D288, Table1938[[#This Row],[Title]]) = 1</f>
        <v>1</v>
      </c>
      <c r="AE288" s="2" t="b">
        <f>AND(Table1938[[#This Row],[IC + EC]:[Unique]])</f>
        <v>0</v>
      </c>
      <c r="AF288" s="2" t="b">
        <v>0</v>
      </c>
      <c r="AG288" s="2" t="b">
        <v>0</v>
      </c>
      <c r="AH288" s="2" t="b">
        <v>0</v>
      </c>
      <c r="AI288" s="2" t="b">
        <f>IF(AND(Table1938[[#This Row],[Double Check]]=TRUE,Table1938[[#This Row],[Inspected]]=TRUE,Table1938[[#This Row],[Relevant]]=TRUE),TRUE,FALSE)</f>
        <v>0</v>
      </c>
    </row>
    <row r="289" spans="1:35" ht="43" x14ac:dyDescent="0.5">
      <c r="A289" s="2">
        <v>288</v>
      </c>
      <c r="B289" s="20" t="s">
        <v>3</v>
      </c>
      <c r="C289" s="20" t="s">
        <v>3185</v>
      </c>
      <c r="D289" s="20" t="s">
        <v>971</v>
      </c>
      <c r="E289" s="20" t="s">
        <v>972</v>
      </c>
      <c r="F289" s="2" t="s">
        <v>969</v>
      </c>
      <c r="G289" s="20" t="s">
        <v>968</v>
      </c>
      <c r="H289" s="36">
        <v>45306</v>
      </c>
      <c r="I289" s="20">
        <v>2024</v>
      </c>
      <c r="J289" s="20" t="s">
        <v>61</v>
      </c>
      <c r="K289" s="20" t="s">
        <v>3186</v>
      </c>
      <c r="L289" s="20" t="s">
        <v>2515</v>
      </c>
      <c r="M289" s="20" t="s">
        <v>970</v>
      </c>
      <c r="N289" s="20" t="b">
        <v>1</v>
      </c>
      <c r="O289" s="2" t="b">
        <f>IF(Table1938[[#This Row],[Title]]="",TRUE,FALSE)</f>
        <v>0</v>
      </c>
      <c r="P289" s="2" t="b">
        <f>IF(Table1938[[#This Row],[Author]]="",TRUE,FALSE)</f>
        <v>0</v>
      </c>
      <c r="Q289" s="2" t="b">
        <f>IF(Table1938[[#This Row],[DOI]]&lt;&gt;"", FALSE,TRUE)</f>
        <v>0</v>
      </c>
      <c r="R289" s="2" t="b">
        <f>IF(Table1938[[#This Row],[Abstract]]="",TRUE,FALSE)</f>
        <v>0</v>
      </c>
      <c r="S289" s="2" t="b">
        <f>IF(OR(Table1938[[#This Row],[Document Type]]="book",Table1938[[#This Row],[Document Type]]="bookSection"),TRUE,FALSE)</f>
        <v>0</v>
      </c>
      <c r="T289" s="2" t="b">
        <f>NOT(IF(OR(Table1938[[#This Row],[Language]]&lt;&gt;"en",Table1938[[#This Row],[Language]]&lt;&gt;"EN",Table1938[[#This Row],[Language]]&lt;&gt;"spa",Table1938[[#This Row],[Language]]&lt;&gt;"SPA"),TRUE,FALSE))</f>
        <v>0</v>
      </c>
      <c r="U289" s="2" t="b">
        <f>IF(AND(Table1938[[#This Row],[EC-01]]=FALSE,Table1938[[#This Row],[EC-02]]=FALSE,Table1938[[#This Row],[EC-03]]=FALSE,Table1938[[#This Row],[EC-04]]=FALSE,Table1938[[#This Row],[EC-05]]=FALSE,Table1938[[#This Row],[EC-06]]=FALSE),TRUE,FALSE)</f>
        <v>1</v>
      </c>
      <c r="V289" s="2" t="b">
        <f>IF(Table1938[[#This Row],[Date]]&lt;&gt;"",AND(YEAR(Table1938[[#This Row],[Date]])&gt;=2010, YEAR(Table1938[[#This Row],[Date]])&lt;=2024),FALSE)</f>
        <v>1</v>
      </c>
      <c r="W289" s="2" t="b">
        <f>IF(Table1938[[#This Row],[Date]]&lt;&gt;"",AND(YEAR(Table1938[[#This Row],[Date]])&gt;=2010, YEAR(Table1938[[#This Row],[Date]])&lt;=2020),FALSE)</f>
        <v>0</v>
      </c>
      <c r="X289" s="2" t="b">
        <f>IF(AND(Table1938[[#This Row],[Accesible]]=TRUE,Table1938[[#This Row],[DOI]]&lt;&gt;""),TRUE,FALSE)</f>
        <v>1</v>
      </c>
      <c r="Y289" s="2" t="b">
        <f>OR(Table1938[[#This Row],[Document Type]]="journalArticle",Table1938[[#This Row],[Document Type]]="conferencePaper",Table1938[[#This Row],[Document Type]]="review")</f>
        <v>1</v>
      </c>
      <c r="Z289" s="2" t="b" cm="1">
        <f t="array" ref="Z289">SUMPRODUCT(--ISNUMBER(SEARCH({"dimensional analysis","dimensionless coefficients","Π","Pi","theorem","software","design","tools","development","architecture","similar"}, LOWER(Table1938[[#This Row],[Title]]))))&gt;0</f>
        <v>1</v>
      </c>
      <c r="AA289" s="2" t="b" cm="1">
        <f t="array" ref="AA289">SUMPRODUCT(--ISNUMBER(SEARCH({"dimensional analysis","dimensionless coefficients","Π","Pi","theorem","software","design","tools","development","architecture","similar"}, LOWER(Table1938[[#This Row],[Abstract]]))))&gt;0</f>
        <v>1</v>
      </c>
      <c r="AB289" s="2" t="b">
        <f>AND(OR(Table1938[[#This Row],[IC-01 @2024]:[IC-01 @2020]])=TRUE,Table1938[[#This Row],[IC-02]]=TRUE,Table1938[[#This Row],[IC-03]]=TRUE,Table1938[[#This Row],[IC-04]]=TRUE,Table1938[[#This Row],[IC-05]]=TRUE)</f>
        <v>1</v>
      </c>
      <c r="AC289" s="2" t="b">
        <f>AND(Table1938[[#This Row],[Pass-IC]]=TRUE,Table1938[[#This Row],[Pass-EC]]=TRUE)</f>
        <v>1</v>
      </c>
      <c r="AD289" s="2" t="b">
        <f>COUNTIF($D$25:D289, Table1938[[#This Row],[Title]]) = 1</f>
        <v>1</v>
      </c>
      <c r="AE289" s="2" t="b">
        <f>AND(Table1938[[#This Row],[IC + EC]:[Unique]])</f>
        <v>1</v>
      </c>
      <c r="AF289" s="2" t="b">
        <v>1</v>
      </c>
      <c r="AG289" s="2" t="b">
        <v>0</v>
      </c>
      <c r="AH289" s="2" t="b">
        <v>0</v>
      </c>
      <c r="AI289" s="2" t="b">
        <f>IF(AND(Table1938[[#This Row],[Double Check]]=TRUE,Table1938[[#This Row],[Inspected]]=TRUE,Table1938[[#This Row],[Relevant]]=TRUE),TRUE,FALSE)</f>
        <v>0</v>
      </c>
    </row>
    <row r="290" spans="1:35" ht="57.35" x14ac:dyDescent="0.5">
      <c r="A290" s="2">
        <v>289</v>
      </c>
      <c r="B290" s="20" t="s">
        <v>3</v>
      </c>
      <c r="C290" s="20" t="s">
        <v>3187</v>
      </c>
      <c r="D290" s="20" t="s">
        <v>2368</v>
      </c>
      <c r="E290" s="20" t="s">
        <v>2367</v>
      </c>
      <c r="F290" s="2" t="s">
        <v>2370</v>
      </c>
      <c r="G290" s="20" t="s">
        <v>955</v>
      </c>
      <c r="H290" s="36">
        <v>44621</v>
      </c>
      <c r="I290" s="20">
        <v>2022</v>
      </c>
      <c r="J290" s="20" t="s">
        <v>61</v>
      </c>
      <c r="K290" s="20" t="s">
        <v>3188</v>
      </c>
      <c r="L290" s="20" t="s">
        <v>2515</v>
      </c>
      <c r="M290" s="20" t="s">
        <v>2369</v>
      </c>
      <c r="N290" s="20" t="b">
        <v>1</v>
      </c>
      <c r="O290" s="2" t="b">
        <f>IF(Table1938[[#This Row],[Title]]="",TRUE,FALSE)</f>
        <v>0</v>
      </c>
      <c r="P290" s="2" t="b">
        <f>IF(Table1938[[#This Row],[Author]]="",TRUE,FALSE)</f>
        <v>0</v>
      </c>
      <c r="Q290" s="2" t="b">
        <f>IF(Table1938[[#This Row],[DOI]]&lt;&gt;"", FALSE,TRUE)</f>
        <v>0</v>
      </c>
      <c r="R290" s="2" t="b">
        <f>IF(Table1938[[#This Row],[Abstract]]="",TRUE,FALSE)</f>
        <v>0</v>
      </c>
      <c r="S290" s="2" t="b">
        <f>IF(OR(Table1938[[#This Row],[Document Type]]="book",Table1938[[#This Row],[Document Type]]="bookSection"),TRUE,FALSE)</f>
        <v>0</v>
      </c>
      <c r="T290" s="2" t="b">
        <f>NOT(IF(OR(Table1938[[#This Row],[Language]]&lt;&gt;"en",Table1938[[#This Row],[Language]]&lt;&gt;"EN",Table1938[[#This Row],[Language]]&lt;&gt;"spa",Table1938[[#This Row],[Language]]&lt;&gt;"SPA"),TRUE,FALSE))</f>
        <v>0</v>
      </c>
      <c r="U290" s="2" t="b">
        <f>IF(AND(Table1938[[#This Row],[EC-01]]=FALSE,Table1938[[#This Row],[EC-02]]=FALSE,Table1938[[#This Row],[EC-03]]=FALSE,Table1938[[#This Row],[EC-04]]=FALSE,Table1938[[#This Row],[EC-05]]=FALSE,Table1938[[#This Row],[EC-06]]=FALSE),TRUE,FALSE)</f>
        <v>1</v>
      </c>
      <c r="V290" s="2" t="b">
        <f>IF(Table1938[[#This Row],[Date]]&lt;&gt;"",AND(YEAR(Table1938[[#This Row],[Date]])&gt;=2010, YEAR(Table1938[[#This Row],[Date]])&lt;=2024),FALSE)</f>
        <v>1</v>
      </c>
      <c r="W290" s="2" t="b">
        <f>IF(Table1938[[#This Row],[Date]]&lt;&gt;"",AND(YEAR(Table1938[[#This Row],[Date]])&gt;=2010, YEAR(Table1938[[#This Row],[Date]])&lt;=2020),FALSE)</f>
        <v>0</v>
      </c>
      <c r="X290" s="2" t="b">
        <f>IF(AND(Table1938[[#This Row],[Accesible]]=TRUE,Table1938[[#This Row],[DOI]]&lt;&gt;""),TRUE,FALSE)</f>
        <v>1</v>
      </c>
      <c r="Y290" s="2" t="b">
        <f>OR(Table1938[[#This Row],[Document Type]]="journalArticle",Table1938[[#This Row],[Document Type]]="conferencePaper",Table1938[[#This Row],[Document Type]]="review")</f>
        <v>1</v>
      </c>
      <c r="Z290" s="2" t="b" cm="1">
        <f t="array" ref="Z290">SUMPRODUCT(--ISNUMBER(SEARCH({"dimensional analysis","dimensionless coefficients","Π","Pi","theorem","software","design","tools","development","architecture","similar"}, LOWER(Table1938[[#This Row],[Title]]))))&gt;0</f>
        <v>0</v>
      </c>
      <c r="AA290" s="2" t="b" cm="1">
        <f t="array" ref="AA290">SUMPRODUCT(--ISNUMBER(SEARCH({"dimensional analysis","dimensionless coefficients","Π","Pi","theorem","software","design","tools","development","architecture","similar"}, LOWER(Table1938[[#This Row],[Abstract]]))))&gt;0</f>
        <v>1</v>
      </c>
      <c r="AB290" s="2" t="b">
        <f>AND(OR(Table1938[[#This Row],[IC-01 @2024]:[IC-01 @2020]])=TRUE,Table1938[[#This Row],[IC-02]]=TRUE,Table1938[[#This Row],[IC-03]]=TRUE,Table1938[[#This Row],[IC-04]]=TRUE,Table1938[[#This Row],[IC-05]]=TRUE)</f>
        <v>0</v>
      </c>
      <c r="AC290" s="2" t="b">
        <f>AND(Table1938[[#This Row],[Pass-IC]]=TRUE,Table1938[[#This Row],[Pass-EC]]=TRUE)</f>
        <v>0</v>
      </c>
      <c r="AD290" s="2" t="b">
        <f>COUNTIF($D$25:D290, Table1938[[#This Row],[Title]]) = 1</f>
        <v>1</v>
      </c>
      <c r="AE290" s="2" t="b">
        <f>AND(Table1938[[#This Row],[IC + EC]:[Unique]])</f>
        <v>0</v>
      </c>
      <c r="AF290" s="2" t="b">
        <v>0</v>
      </c>
      <c r="AG290" s="2" t="b">
        <v>0</v>
      </c>
      <c r="AH290" s="2" t="b">
        <v>0</v>
      </c>
      <c r="AI290" s="2" t="b">
        <f>IF(AND(Table1938[[#This Row],[Double Check]]=TRUE,Table1938[[#This Row],[Inspected]]=TRUE,Table1938[[#This Row],[Relevant]]=TRUE),TRUE,FALSE)</f>
        <v>0</v>
      </c>
    </row>
    <row r="291" spans="1:35" ht="71.7" x14ac:dyDescent="0.5">
      <c r="A291" s="2">
        <v>290</v>
      </c>
      <c r="B291" s="20" t="s">
        <v>3</v>
      </c>
      <c r="C291" s="20" t="s">
        <v>3189</v>
      </c>
      <c r="D291" s="20" t="s">
        <v>1876</v>
      </c>
      <c r="E291" s="20" t="s">
        <v>1875</v>
      </c>
      <c r="F291" s="2" t="s">
        <v>1878</v>
      </c>
      <c r="G291" s="20" t="s">
        <v>939</v>
      </c>
      <c r="H291" s="36">
        <v>45214</v>
      </c>
      <c r="I291" s="20">
        <v>2023</v>
      </c>
      <c r="J291" s="20" t="s">
        <v>61</v>
      </c>
      <c r="K291" s="20" t="s">
        <v>3190</v>
      </c>
      <c r="L291" s="20" t="s">
        <v>2515</v>
      </c>
      <c r="M291" s="20" t="s">
        <v>1877</v>
      </c>
      <c r="N291" s="20" t="b">
        <v>1</v>
      </c>
      <c r="O291" s="2" t="b">
        <f>IF(Table1938[[#This Row],[Title]]="",TRUE,FALSE)</f>
        <v>0</v>
      </c>
      <c r="P291" s="2" t="b">
        <f>IF(Table1938[[#This Row],[Author]]="",TRUE,FALSE)</f>
        <v>0</v>
      </c>
      <c r="Q291" s="2" t="b">
        <f>IF(Table1938[[#This Row],[DOI]]&lt;&gt;"", FALSE,TRUE)</f>
        <v>0</v>
      </c>
      <c r="R291" s="2" t="b">
        <f>IF(Table1938[[#This Row],[Abstract]]="",TRUE,FALSE)</f>
        <v>0</v>
      </c>
      <c r="S291" s="2" t="b">
        <f>IF(OR(Table1938[[#This Row],[Document Type]]="book",Table1938[[#This Row],[Document Type]]="bookSection"),TRUE,FALSE)</f>
        <v>0</v>
      </c>
      <c r="T291" s="2" t="b">
        <f>NOT(IF(OR(Table1938[[#This Row],[Language]]&lt;&gt;"en",Table1938[[#This Row],[Language]]&lt;&gt;"EN",Table1938[[#This Row],[Language]]&lt;&gt;"spa",Table1938[[#This Row],[Language]]&lt;&gt;"SPA"),TRUE,FALSE))</f>
        <v>0</v>
      </c>
      <c r="U291" s="2" t="b">
        <f>IF(AND(Table1938[[#This Row],[EC-01]]=FALSE,Table1938[[#This Row],[EC-02]]=FALSE,Table1938[[#This Row],[EC-03]]=FALSE,Table1938[[#This Row],[EC-04]]=FALSE,Table1938[[#This Row],[EC-05]]=FALSE,Table1938[[#This Row],[EC-06]]=FALSE),TRUE,FALSE)</f>
        <v>1</v>
      </c>
      <c r="V291" s="2" t="b">
        <f>IF(Table1938[[#This Row],[Date]]&lt;&gt;"",AND(YEAR(Table1938[[#This Row],[Date]])&gt;=2010, YEAR(Table1938[[#This Row],[Date]])&lt;=2024),FALSE)</f>
        <v>1</v>
      </c>
      <c r="W291" s="2" t="b">
        <f>IF(Table1938[[#This Row],[Date]]&lt;&gt;"",AND(YEAR(Table1938[[#This Row],[Date]])&gt;=2010, YEAR(Table1938[[#This Row],[Date]])&lt;=2020),FALSE)</f>
        <v>0</v>
      </c>
      <c r="X291" s="2" t="b">
        <f>IF(AND(Table1938[[#This Row],[Accesible]]=TRUE,Table1938[[#This Row],[DOI]]&lt;&gt;""),TRUE,FALSE)</f>
        <v>1</v>
      </c>
      <c r="Y291" s="2" t="b">
        <f>OR(Table1938[[#This Row],[Document Type]]="journalArticle",Table1938[[#This Row],[Document Type]]="conferencePaper",Table1938[[#This Row],[Document Type]]="review")</f>
        <v>1</v>
      </c>
      <c r="Z291" s="2" t="b" cm="1">
        <f t="array" ref="Z291">SUMPRODUCT(--ISNUMBER(SEARCH({"dimensional analysis","dimensionless coefficients","Π","Pi","theorem","software","design","tools","development","architecture","similar"}, LOWER(Table1938[[#This Row],[Title]]))))&gt;0</f>
        <v>1</v>
      </c>
      <c r="AA291" s="2" t="b" cm="1">
        <f t="array" ref="AA291">SUMPRODUCT(--ISNUMBER(SEARCH({"dimensional analysis","dimensionless coefficients","Π","Pi","theorem","software","design","tools","development","architecture","similar"}, LOWER(Table1938[[#This Row],[Abstract]]))))&gt;0</f>
        <v>1</v>
      </c>
      <c r="AB291" s="2" t="b">
        <f>AND(OR(Table1938[[#This Row],[IC-01 @2024]:[IC-01 @2020]])=TRUE,Table1938[[#This Row],[IC-02]]=TRUE,Table1938[[#This Row],[IC-03]]=TRUE,Table1938[[#This Row],[IC-04]]=TRUE,Table1938[[#This Row],[IC-05]]=TRUE)</f>
        <v>1</v>
      </c>
      <c r="AC291" s="2" t="b">
        <f>AND(Table1938[[#This Row],[Pass-IC]]=TRUE,Table1938[[#This Row],[Pass-EC]]=TRUE)</f>
        <v>1</v>
      </c>
      <c r="AD291" s="2" t="b">
        <f>COUNTIF($D$25:D291, Table1938[[#This Row],[Title]]) = 1</f>
        <v>1</v>
      </c>
      <c r="AE291" s="2" t="b">
        <f>AND(Table1938[[#This Row],[IC + EC]:[Unique]])</f>
        <v>1</v>
      </c>
      <c r="AF291" s="2" t="b">
        <v>1</v>
      </c>
      <c r="AG291" s="2" t="b">
        <v>0</v>
      </c>
      <c r="AH291" s="2" t="b">
        <v>0</v>
      </c>
      <c r="AI291" s="2" t="b">
        <f>IF(AND(Table1938[[#This Row],[Double Check]]=TRUE,Table1938[[#This Row],[Inspected]]=TRUE,Table1938[[#This Row],[Relevant]]=TRUE),TRUE,FALSE)</f>
        <v>0</v>
      </c>
    </row>
    <row r="292" spans="1:35" ht="71.7" x14ac:dyDescent="0.5">
      <c r="A292" s="2">
        <v>291</v>
      </c>
      <c r="B292" s="20" t="s">
        <v>3</v>
      </c>
      <c r="C292" s="20" t="s">
        <v>3191</v>
      </c>
      <c r="D292" s="20" t="s">
        <v>1804</v>
      </c>
      <c r="E292" s="20" t="s">
        <v>1803</v>
      </c>
      <c r="F292" s="2" t="s">
        <v>1806</v>
      </c>
      <c r="G292" s="20" t="s">
        <v>936</v>
      </c>
      <c r="H292" s="36">
        <v>45536</v>
      </c>
      <c r="I292" s="20">
        <v>2024</v>
      </c>
      <c r="J292" s="20" t="s">
        <v>61</v>
      </c>
      <c r="K292" s="20" t="s">
        <v>3192</v>
      </c>
      <c r="L292" s="20" t="s">
        <v>2515</v>
      </c>
      <c r="M292" s="20" t="s">
        <v>1805</v>
      </c>
      <c r="N292" s="20" t="b">
        <v>1</v>
      </c>
      <c r="O292" s="2" t="b">
        <f>IF(Table1938[[#This Row],[Title]]="",TRUE,FALSE)</f>
        <v>0</v>
      </c>
      <c r="P292" s="2" t="b">
        <f>IF(Table1938[[#This Row],[Author]]="",TRUE,FALSE)</f>
        <v>0</v>
      </c>
      <c r="Q292" s="2" t="b">
        <f>IF(Table1938[[#This Row],[DOI]]&lt;&gt;"", FALSE,TRUE)</f>
        <v>0</v>
      </c>
      <c r="R292" s="2" t="b">
        <f>IF(Table1938[[#This Row],[Abstract]]="",TRUE,FALSE)</f>
        <v>0</v>
      </c>
      <c r="S292" s="2" t="b">
        <f>IF(OR(Table1938[[#This Row],[Document Type]]="book",Table1938[[#This Row],[Document Type]]="bookSection"),TRUE,FALSE)</f>
        <v>0</v>
      </c>
      <c r="T292" s="2" t="b">
        <f>NOT(IF(OR(Table1938[[#This Row],[Language]]&lt;&gt;"en",Table1938[[#This Row],[Language]]&lt;&gt;"EN",Table1938[[#This Row],[Language]]&lt;&gt;"spa",Table1938[[#This Row],[Language]]&lt;&gt;"SPA"),TRUE,FALSE))</f>
        <v>0</v>
      </c>
      <c r="U292" s="2" t="b">
        <f>IF(AND(Table1938[[#This Row],[EC-01]]=FALSE,Table1938[[#This Row],[EC-02]]=FALSE,Table1938[[#This Row],[EC-03]]=FALSE,Table1938[[#This Row],[EC-04]]=FALSE,Table1938[[#This Row],[EC-05]]=FALSE,Table1938[[#This Row],[EC-06]]=FALSE),TRUE,FALSE)</f>
        <v>1</v>
      </c>
      <c r="V292" s="2" t="b">
        <f>IF(Table1938[[#This Row],[Date]]&lt;&gt;"",AND(YEAR(Table1938[[#This Row],[Date]])&gt;=2010, YEAR(Table1938[[#This Row],[Date]])&lt;=2024),FALSE)</f>
        <v>1</v>
      </c>
      <c r="W292" s="2" t="b">
        <f>IF(Table1938[[#This Row],[Date]]&lt;&gt;"",AND(YEAR(Table1938[[#This Row],[Date]])&gt;=2010, YEAR(Table1938[[#This Row],[Date]])&lt;=2020),FALSE)</f>
        <v>0</v>
      </c>
      <c r="X292" s="2" t="b">
        <f>IF(AND(Table1938[[#This Row],[Accesible]]=TRUE,Table1938[[#This Row],[DOI]]&lt;&gt;""),TRUE,FALSE)</f>
        <v>1</v>
      </c>
      <c r="Y292" s="2" t="b">
        <f>OR(Table1938[[#This Row],[Document Type]]="journalArticle",Table1938[[#This Row],[Document Type]]="conferencePaper",Table1938[[#This Row],[Document Type]]="review")</f>
        <v>1</v>
      </c>
      <c r="Z292" s="2" t="b" cm="1">
        <f t="array" ref="Z292">SUMPRODUCT(--ISNUMBER(SEARCH({"dimensional analysis","dimensionless coefficients","Π","Pi","theorem","software","design","tools","development","architecture","similar"}, LOWER(Table1938[[#This Row],[Title]]))))&gt;0</f>
        <v>0</v>
      </c>
      <c r="AA292" s="2" t="b" cm="1">
        <f t="array" ref="AA292">SUMPRODUCT(--ISNUMBER(SEARCH({"dimensional analysis","dimensionless coefficients","Π","Pi","theorem","software","design","tools","development","architecture","similar"}, LOWER(Table1938[[#This Row],[Abstract]]))))&gt;0</f>
        <v>1</v>
      </c>
      <c r="AB292" s="2" t="b">
        <f>AND(OR(Table1938[[#This Row],[IC-01 @2024]:[IC-01 @2020]])=TRUE,Table1938[[#This Row],[IC-02]]=TRUE,Table1938[[#This Row],[IC-03]]=TRUE,Table1938[[#This Row],[IC-04]]=TRUE,Table1938[[#This Row],[IC-05]]=TRUE)</f>
        <v>0</v>
      </c>
      <c r="AC292" s="2" t="b">
        <f>AND(Table1938[[#This Row],[Pass-IC]]=TRUE,Table1938[[#This Row],[Pass-EC]]=TRUE)</f>
        <v>0</v>
      </c>
      <c r="AD292" s="2" t="b">
        <f>COUNTIF($D$25:D292, Table1938[[#This Row],[Title]]) = 1</f>
        <v>1</v>
      </c>
      <c r="AE292" s="2" t="b">
        <f>AND(Table1938[[#This Row],[IC + EC]:[Unique]])</f>
        <v>0</v>
      </c>
      <c r="AF292" s="2" t="b">
        <v>0</v>
      </c>
      <c r="AG292" s="2" t="b">
        <v>0</v>
      </c>
      <c r="AH292" s="2" t="b">
        <v>0</v>
      </c>
      <c r="AI292" s="2" t="b">
        <f>IF(AND(Table1938[[#This Row],[Double Check]]=TRUE,Table1938[[#This Row],[Inspected]]=TRUE,Table1938[[#This Row],[Relevant]]=TRUE),TRUE,FALSE)</f>
        <v>0</v>
      </c>
    </row>
    <row r="293" spans="1:35" ht="57.35" x14ac:dyDescent="0.5">
      <c r="A293" s="2">
        <v>292</v>
      </c>
      <c r="B293" s="20" t="s">
        <v>3</v>
      </c>
      <c r="C293" s="20" t="s">
        <v>3193</v>
      </c>
      <c r="D293" s="20" t="s">
        <v>1792</v>
      </c>
      <c r="E293" s="20" t="s">
        <v>1791</v>
      </c>
      <c r="F293" s="2" t="s">
        <v>1794</v>
      </c>
      <c r="G293" s="20" t="s">
        <v>918</v>
      </c>
      <c r="H293" s="36">
        <v>45519</v>
      </c>
      <c r="I293" s="20">
        <v>2024</v>
      </c>
      <c r="J293" s="20" t="s">
        <v>61</v>
      </c>
      <c r="K293" s="20" t="s">
        <v>3194</v>
      </c>
      <c r="L293" s="20" t="s">
        <v>2515</v>
      </c>
      <c r="M293" s="20" t="s">
        <v>1793</v>
      </c>
      <c r="N293" s="20" t="b">
        <v>1</v>
      </c>
      <c r="O293" s="2" t="b">
        <f>IF(Table1938[[#This Row],[Title]]="",TRUE,FALSE)</f>
        <v>0</v>
      </c>
      <c r="P293" s="2" t="b">
        <f>IF(Table1938[[#This Row],[Author]]="",TRUE,FALSE)</f>
        <v>0</v>
      </c>
      <c r="Q293" s="2" t="b">
        <f>IF(Table1938[[#This Row],[DOI]]&lt;&gt;"", FALSE,TRUE)</f>
        <v>0</v>
      </c>
      <c r="R293" s="2" t="b">
        <f>IF(Table1938[[#This Row],[Abstract]]="",TRUE,FALSE)</f>
        <v>0</v>
      </c>
      <c r="S293" s="2" t="b">
        <f>IF(OR(Table1938[[#This Row],[Document Type]]="book",Table1938[[#This Row],[Document Type]]="bookSection"),TRUE,FALSE)</f>
        <v>0</v>
      </c>
      <c r="T293" s="2" t="b">
        <f>NOT(IF(OR(Table1938[[#This Row],[Language]]&lt;&gt;"en",Table1938[[#This Row],[Language]]&lt;&gt;"EN",Table1938[[#This Row],[Language]]&lt;&gt;"spa",Table1938[[#This Row],[Language]]&lt;&gt;"SPA"),TRUE,FALSE))</f>
        <v>0</v>
      </c>
      <c r="U293" s="2" t="b">
        <f>IF(AND(Table1938[[#This Row],[EC-01]]=FALSE,Table1938[[#This Row],[EC-02]]=FALSE,Table1938[[#This Row],[EC-03]]=FALSE,Table1938[[#This Row],[EC-04]]=FALSE,Table1938[[#This Row],[EC-05]]=FALSE,Table1938[[#This Row],[EC-06]]=FALSE),TRUE,FALSE)</f>
        <v>1</v>
      </c>
      <c r="V293" s="2" t="b">
        <f>IF(Table1938[[#This Row],[Date]]&lt;&gt;"",AND(YEAR(Table1938[[#This Row],[Date]])&gt;=2010, YEAR(Table1938[[#This Row],[Date]])&lt;=2024),FALSE)</f>
        <v>1</v>
      </c>
      <c r="W293" s="2" t="b">
        <f>IF(Table1938[[#This Row],[Date]]&lt;&gt;"",AND(YEAR(Table1938[[#This Row],[Date]])&gt;=2010, YEAR(Table1938[[#This Row],[Date]])&lt;=2020),FALSE)</f>
        <v>0</v>
      </c>
      <c r="X293" s="2" t="b">
        <f>IF(AND(Table1938[[#This Row],[Accesible]]=TRUE,Table1938[[#This Row],[DOI]]&lt;&gt;""),TRUE,FALSE)</f>
        <v>1</v>
      </c>
      <c r="Y293" s="2" t="b">
        <f>OR(Table1938[[#This Row],[Document Type]]="journalArticle",Table1938[[#This Row],[Document Type]]="conferencePaper",Table1938[[#This Row],[Document Type]]="review")</f>
        <v>1</v>
      </c>
      <c r="Z293" s="2" t="b" cm="1">
        <f t="array" ref="Z293">SUMPRODUCT(--ISNUMBER(SEARCH({"dimensional analysis","dimensionless coefficients","Π","Pi","theorem","software","design","tools","development","architecture","similar"}, LOWER(Table1938[[#This Row],[Title]]))))&gt;0</f>
        <v>0</v>
      </c>
      <c r="AA293" s="2" t="b" cm="1">
        <f t="array" ref="AA293">SUMPRODUCT(--ISNUMBER(SEARCH({"dimensional analysis","dimensionless coefficients","Π","Pi","theorem","software","design","tools","development","architecture","similar"}, LOWER(Table1938[[#This Row],[Abstract]]))))&gt;0</f>
        <v>1</v>
      </c>
      <c r="AB293" s="2" t="b">
        <f>AND(OR(Table1938[[#This Row],[IC-01 @2024]:[IC-01 @2020]])=TRUE,Table1938[[#This Row],[IC-02]]=TRUE,Table1938[[#This Row],[IC-03]]=TRUE,Table1938[[#This Row],[IC-04]]=TRUE,Table1938[[#This Row],[IC-05]]=TRUE)</f>
        <v>0</v>
      </c>
      <c r="AC293" s="2" t="b">
        <f>AND(Table1938[[#This Row],[Pass-IC]]=TRUE,Table1938[[#This Row],[Pass-EC]]=TRUE)</f>
        <v>0</v>
      </c>
      <c r="AD293" s="2" t="b">
        <f>COUNTIF($D$25:D293, Table1938[[#This Row],[Title]]) = 1</f>
        <v>1</v>
      </c>
      <c r="AE293" s="2" t="b">
        <f>AND(Table1938[[#This Row],[IC + EC]:[Unique]])</f>
        <v>0</v>
      </c>
      <c r="AF293" s="2" t="b">
        <v>0</v>
      </c>
      <c r="AG293" s="2" t="b">
        <v>0</v>
      </c>
      <c r="AH293" s="2" t="b">
        <v>0</v>
      </c>
      <c r="AI293" s="2" t="b">
        <f>IF(AND(Table1938[[#This Row],[Double Check]]=TRUE,Table1938[[#This Row],[Inspected]]=TRUE,Table1938[[#This Row],[Relevant]]=TRUE),TRUE,FALSE)</f>
        <v>0</v>
      </c>
    </row>
    <row r="294" spans="1:35" ht="71.7" x14ac:dyDescent="0.5">
      <c r="A294" s="2">
        <v>293</v>
      </c>
      <c r="B294" s="20" t="s">
        <v>3</v>
      </c>
      <c r="C294" s="20" t="s">
        <v>3195</v>
      </c>
      <c r="D294" s="20" t="s">
        <v>1231</v>
      </c>
      <c r="E294" s="20" t="s">
        <v>1230</v>
      </c>
      <c r="F294" s="2" t="s">
        <v>1233</v>
      </c>
      <c r="G294" s="20" t="s">
        <v>1113</v>
      </c>
      <c r="H294" s="36">
        <v>44788</v>
      </c>
      <c r="I294" s="20">
        <v>2022</v>
      </c>
      <c r="J294" s="20" t="s">
        <v>61</v>
      </c>
      <c r="K294" s="20" t="s">
        <v>3196</v>
      </c>
      <c r="L294" s="20" t="s">
        <v>2515</v>
      </c>
      <c r="M294" s="20" t="s">
        <v>1232</v>
      </c>
      <c r="N294" s="20" t="b">
        <v>1</v>
      </c>
      <c r="O294" s="2" t="b">
        <f>IF(Table1938[[#This Row],[Title]]="",TRUE,FALSE)</f>
        <v>0</v>
      </c>
      <c r="P294" s="2" t="b">
        <f>IF(Table1938[[#This Row],[Author]]="",TRUE,FALSE)</f>
        <v>0</v>
      </c>
      <c r="Q294" s="2" t="b">
        <f>IF(Table1938[[#This Row],[DOI]]&lt;&gt;"", FALSE,TRUE)</f>
        <v>0</v>
      </c>
      <c r="R294" s="2" t="b">
        <f>IF(Table1938[[#This Row],[Abstract]]="",TRUE,FALSE)</f>
        <v>0</v>
      </c>
      <c r="S294" s="2" t="b">
        <f>IF(OR(Table1938[[#This Row],[Document Type]]="book",Table1938[[#This Row],[Document Type]]="bookSection"),TRUE,FALSE)</f>
        <v>0</v>
      </c>
      <c r="T294" s="2" t="b">
        <f>NOT(IF(OR(Table1938[[#This Row],[Language]]&lt;&gt;"en",Table1938[[#This Row],[Language]]&lt;&gt;"EN",Table1938[[#This Row],[Language]]&lt;&gt;"spa",Table1938[[#This Row],[Language]]&lt;&gt;"SPA"),TRUE,FALSE))</f>
        <v>0</v>
      </c>
      <c r="U294" s="2" t="b">
        <f>IF(AND(Table1938[[#This Row],[EC-01]]=FALSE,Table1938[[#This Row],[EC-02]]=FALSE,Table1938[[#This Row],[EC-03]]=FALSE,Table1938[[#This Row],[EC-04]]=FALSE,Table1938[[#This Row],[EC-05]]=FALSE,Table1938[[#This Row],[EC-06]]=FALSE),TRUE,FALSE)</f>
        <v>1</v>
      </c>
      <c r="V294" s="2" t="b">
        <f>IF(Table1938[[#This Row],[Date]]&lt;&gt;"",AND(YEAR(Table1938[[#This Row],[Date]])&gt;=2010, YEAR(Table1938[[#This Row],[Date]])&lt;=2024),FALSE)</f>
        <v>1</v>
      </c>
      <c r="W294" s="2" t="b">
        <f>IF(Table1938[[#This Row],[Date]]&lt;&gt;"",AND(YEAR(Table1938[[#This Row],[Date]])&gt;=2010, YEAR(Table1938[[#This Row],[Date]])&lt;=2020),FALSE)</f>
        <v>0</v>
      </c>
      <c r="X294" s="2" t="b">
        <f>IF(AND(Table1938[[#This Row],[Accesible]]=TRUE,Table1938[[#This Row],[DOI]]&lt;&gt;""),TRUE,FALSE)</f>
        <v>1</v>
      </c>
      <c r="Y294" s="2" t="b">
        <f>OR(Table1938[[#This Row],[Document Type]]="journalArticle",Table1938[[#This Row],[Document Type]]="conferencePaper",Table1938[[#This Row],[Document Type]]="review")</f>
        <v>1</v>
      </c>
      <c r="Z294" s="2" t="b" cm="1">
        <f t="array" ref="Z294">SUMPRODUCT(--ISNUMBER(SEARCH({"dimensional analysis","dimensionless coefficients","Π","Pi","theorem","software","design","tools","development","architecture","similar"}, LOWER(Table1938[[#This Row],[Title]]))))&gt;0</f>
        <v>1</v>
      </c>
      <c r="AA294" s="2" t="b" cm="1">
        <f t="array" ref="AA294">SUMPRODUCT(--ISNUMBER(SEARCH({"dimensional analysis","dimensionless coefficients","Π","Pi","theorem","software","design","tools","development","architecture","similar"}, LOWER(Table1938[[#This Row],[Abstract]]))))&gt;0</f>
        <v>1</v>
      </c>
      <c r="AB294" s="2" t="b">
        <f>AND(OR(Table1938[[#This Row],[IC-01 @2024]:[IC-01 @2020]])=TRUE,Table1938[[#This Row],[IC-02]]=TRUE,Table1938[[#This Row],[IC-03]]=TRUE,Table1938[[#This Row],[IC-04]]=TRUE,Table1938[[#This Row],[IC-05]]=TRUE)</f>
        <v>1</v>
      </c>
      <c r="AC294" s="2" t="b">
        <f>AND(Table1938[[#This Row],[Pass-IC]]=TRUE,Table1938[[#This Row],[Pass-EC]]=TRUE)</f>
        <v>1</v>
      </c>
      <c r="AD294" s="2" t="b">
        <f>COUNTIF($D$25:D294, Table1938[[#This Row],[Title]]) = 1</f>
        <v>1</v>
      </c>
      <c r="AE294" s="2" t="b">
        <f>AND(Table1938[[#This Row],[IC + EC]:[Unique]])</f>
        <v>1</v>
      </c>
      <c r="AF294" s="2" t="b">
        <v>1</v>
      </c>
      <c r="AG294" s="2" t="b">
        <v>0</v>
      </c>
      <c r="AH294" s="2" t="b">
        <v>0</v>
      </c>
      <c r="AI294" s="2" t="b">
        <f>IF(AND(Table1938[[#This Row],[Double Check]]=TRUE,Table1938[[#This Row],[Inspected]]=TRUE,Table1938[[#This Row],[Relevant]]=TRUE),TRUE,FALSE)</f>
        <v>0</v>
      </c>
    </row>
    <row r="295" spans="1:35" ht="57.35" x14ac:dyDescent="0.5">
      <c r="A295" s="2">
        <v>294</v>
      </c>
      <c r="B295" s="20" t="s">
        <v>3</v>
      </c>
      <c r="C295" s="20" t="s">
        <v>3197</v>
      </c>
      <c r="D295" s="20" t="s">
        <v>2351</v>
      </c>
      <c r="E295" s="20" t="s">
        <v>2350</v>
      </c>
      <c r="F295" s="2" t="s">
        <v>2353</v>
      </c>
      <c r="G295" s="20" t="s">
        <v>950</v>
      </c>
      <c r="H295" s="36">
        <v>45611</v>
      </c>
      <c r="I295" s="20">
        <v>2024</v>
      </c>
      <c r="J295" s="20" t="s">
        <v>61</v>
      </c>
      <c r="K295" s="20" t="s">
        <v>3198</v>
      </c>
      <c r="L295" s="20" t="s">
        <v>2515</v>
      </c>
      <c r="M295" s="20" t="s">
        <v>2352</v>
      </c>
      <c r="N295" s="20" t="b">
        <v>1</v>
      </c>
      <c r="O295" s="2" t="b">
        <f>IF(Table1938[[#This Row],[Title]]="",TRUE,FALSE)</f>
        <v>0</v>
      </c>
      <c r="P295" s="2" t="b">
        <f>IF(Table1938[[#This Row],[Author]]="",TRUE,FALSE)</f>
        <v>0</v>
      </c>
      <c r="Q295" s="2" t="b">
        <f>IF(Table1938[[#This Row],[DOI]]&lt;&gt;"", FALSE,TRUE)</f>
        <v>0</v>
      </c>
      <c r="R295" s="2" t="b">
        <f>IF(Table1938[[#This Row],[Abstract]]="",TRUE,FALSE)</f>
        <v>0</v>
      </c>
      <c r="S295" s="2" t="b">
        <f>IF(OR(Table1938[[#This Row],[Document Type]]="book",Table1938[[#This Row],[Document Type]]="bookSection"),TRUE,FALSE)</f>
        <v>0</v>
      </c>
      <c r="T295" s="2" t="b">
        <f>NOT(IF(OR(Table1938[[#This Row],[Language]]&lt;&gt;"en",Table1938[[#This Row],[Language]]&lt;&gt;"EN",Table1938[[#This Row],[Language]]&lt;&gt;"spa",Table1938[[#This Row],[Language]]&lt;&gt;"SPA"),TRUE,FALSE))</f>
        <v>0</v>
      </c>
      <c r="U295" s="2" t="b">
        <f>IF(AND(Table1938[[#This Row],[EC-01]]=FALSE,Table1938[[#This Row],[EC-02]]=FALSE,Table1938[[#This Row],[EC-03]]=FALSE,Table1938[[#This Row],[EC-04]]=FALSE,Table1938[[#This Row],[EC-05]]=FALSE,Table1938[[#This Row],[EC-06]]=FALSE),TRUE,FALSE)</f>
        <v>1</v>
      </c>
      <c r="V295" s="2" t="b">
        <f>IF(Table1938[[#This Row],[Date]]&lt;&gt;"",AND(YEAR(Table1938[[#This Row],[Date]])&gt;=2010, YEAR(Table1938[[#This Row],[Date]])&lt;=2024),FALSE)</f>
        <v>1</v>
      </c>
      <c r="W295" s="2" t="b">
        <f>IF(Table1938[[#This Row],[Date]]&lt;&gt;"",AND(YEAR(Table1938[[#This Row],[Date]])&gt;=2010, YEAR(Table1938[[#This Row],[Date]])&lt;=2020),FALSE)</f>
        <v>0</v>
      </c>
      <c r="X295" s="2" t="b">
        <f>IF(AND(Table1938[[#This Row],[Accesible]]=TRUE,Table1938[[#This Row],[DOI]]&lt;&gt;""),TRUE,FALSE)</f>
        <v>1</v>
      </c>
      <c r="Y295" s="2" t="b">
        <f>OR(Table1938[[#This Row],[Document Type]]="journalArticle",Table1938[[#This Row],[Document Type]]="conferencePaper",Table1938[[#This Row],[Document Type]]="review")</f>
        <v>1</v>
      </c>
      <c r="Z295" s="2" t="b" cm="1">
        <f t="array" ref="Z295">SUMPRODUCT(--ISNUMBER(SEARCH({"dimensional analysis","dimensionless coefficients","Π","Pi","theorem","software","design","tools","development","architecture","similar"}, LOWER(Table1938[[#This Row],[Title]]))))&gt;0</f>
        <v>0</v>
      </c>
      <c r="AA295" s="2" t="b" cm="1">
        <f t="array" ref="AA295">SUMPRODUCT(--ISNUMBER(SEARCH({"dimensional analysis","dimensionless coefficients","Π","Pi","theorem","software","design","tools","development","architecture","similar"}, LOWER(Table1938[[#This Row],[Abstract]]))))&gt;0</f>
        <v>1</v>
      </c>
      <c r="AB295" s="2" t="b">
        <f>AND(OR(Table1938[[#This Row],[IC-01 @2024]:[IC-01 @2020]])=TRUE,Table1938[[#This Row],[IC-02]]=TRUE,Table1938[[#This Row],[IC-03]]=TRUE,Table1938[[#This Row],[IC-04]]=TRUE,Table1938[[#This Row],[IC-05]]=TRUE)</f>
        <v>0</v>
      </c>
      <c r="AC295" s="2" t="b">
        <f>AND(Table1938[[#This Row],[Pass-IC]]=TRUE,Table1938[[#This Row],[Pass-EC]]=TRUE)</f>
        <v>0</v>
      </c>
      <c r="AD295" s="2" t="b">
        <f>COUNTIF($D$25:D295, Table1938[[#This Row],[Title]]) = 1</f>
        <v>1</v>
      </c>
      <c r="AE295" s="2" t="b">
        <f>AND(Table1938[[#This Row],[IC + EC]:[Unique]])</f>
        <v>0</v>
      </c>
      <c r="AF295" s="2" t="b">
        <v>0</v>
      </c>
      <c r="AG295" s="2" t="b">
        <v>0</v>
      </c>
      <c r="AH295" s="2" t="b">
        <v>0</v>
      </c>
      <c r="AI295" s="2" t="b">
        <f>IF(AND(Table1938[[#This Row],[Double Check]]=TRUE,Table1938[[#This Row],[Inspected]]=TRUE,Table1938[[#This Row],[Relevant]]=TRUE),TRUE,FALSE)</f>
        <v>0</v>
      </c>
    </row>
    <row r="296" spans="1:35" ht="71.7" x14ac:dyDescent="0.5">
      <c r="A296" s="2">
        <v>295</v>
      </c>
      <c r="B296" s="20" t="s">
        <v>3</v>
      </c>
      <c r="C296" s="20" t="s">
        <v>3199</v>
      </c>
      <c r="D296" s="20" t="s">
        <v>1266</v>
      </c>
      <c r="E296" s="20" t="s">
        <v>1265</v>
      </c>
      <c r="F296" s="2" t="s">
        <v>1268</v>
      </c>
      <c r="G296" s="20" t="s">
        <v>956</v>
      </c>
      <c r="H296" s="36">
        <v>44743</v>
      </c>
      <c r="I296" s="20">
        <v>2022</v>
      </c>
      <c r="J296" s="20" t="s">
        <v>61</v>
      </c>
      <c r="K296" s="20" t="s">
        <v>3200</v>
      </c>
      <c r="L296" s="20" t="s">
        <v>2515</v>
      </c>
      <c r="M296" s="20" t="s">
        <v>1267</v>
      </c>
      <c r="N296" s="20" t="b">
        <v>1</v>
      </c>
      <c r="O296" s="2" t="b">
        <f>IF(Table1938[[#This Row],[Title]]="",TRUE,FALSE)</f>
        <v>0</v>
      </c>
      <c r="P296" s="2" t="b">
        <f>IF(Table1938[[#This Row],[Author]]="",TRUE,FALSE)</f>
        <v>0</v>
      </c>
      <c r="Q296" s="2" t="b">
        <f>IF(Table1938[[#This Row],[DOI]]&lt;&gt;"", FALSE,TRUE)</f>
        <v>0</v>
      </c>
      <c r="R296" s="2" t="b">
        <f>IF(Table1938[[#This Row],[Abstract]]="",TRUE,FALSE)</f>
        <v>0</v>
      </c>
      <c r="S296" s="2" t="b">
        <f>IF(OR(Table1938[[#This Row],[Document Type]]="book",Table1938[[#This Row],[Document Type]]="bookSection"),TRUE,FALSE)</f>
        <v>0</v>
      </c>
      <c r="T296" s="2" t="b">
        <f>NOT(IF(OR(Table1938[[#This Row],[Language]]&lt;&gt;"en",Table1938[[#This Row],[Language]]&lt;&gt;"EN",Table1938[[#This Row],[Language]]&lt;&gt;"spa",Table1938[[#This Row],[Language]]&lt;&gt;"SPA"),TRUE,FALSE))</f>
        <v>0</v>
      </c>
      <c r="U296" s="2" t="b">
        <f>IF(AND(Table1938[[#This Row],[EC-01]]=FALSE,Table1938[[#This Row],[EC-02]]=FALSE,Table1938[[#This Row],[EC-03]]=FALSE,Table1938[[#This Row],[EC-04]]=FALSE,Table1938[[#This Row],[EC-05]]=FALSE,Table1938[[#This Row],[EC-06]]=FALSE),TRUE,FALSE)</f>
        <v>1</v>
      </c>
      <c r="V296" s="2" t="b">
        <f>IF(Table1938[[#This Row],[Date]]&lt;&gt;"",AND(YEAR(Table1938[[#This Row],[Date]])&gt;=2010, YEAR(Table1938[[#This Row],[Date]])&lt;=2024),FALSE)</f>
        <v>1</v>
      </c>
      <c r="W296" s="2" t="b">
        <f>IF(Table1938[[#This Row],[Date]]&lt;&gt;"",AND(YEAR(Table1938[[#This Row],[Date]])&gt;=2010, YEAR(Table1938[[#This Row],[Date]])&lt;=2020),FALSE)</f>
        <v>0</v>
      </c>
      <c r="X296" s="2" t="b">
        <f>IF(AND(Table1938[[#This Row],[Accesible]]=TRUE,Table1938[[#This Row],[DOI]]&lt;&gt;""),TRUE,FALSE)</f>
        <v>1</v>
      </c>
      <c r="Y296" s="2" t="b">
        <f>OR(Table1938[[#This Row],[Document Type]]="journalArticle",Table1938[[#This Row],[Document Type]]="conferencePaper",Table1938[[#This Row],[Document Type]]="review")</f>
        <v>1</v>
      </c>
      <c r="Z296" s="2" t="b" cm="1">
        <f t="array" ref="Z296">SUMPRODUCT(--ISNUMBER(SEARCH({"dimensional analysis","dimensionless coefficients","Π","Pi","theorem","software","design","tools","development","architecture","similar"}, LOWER(Table1938[[#This Row],[Title]]))))&gt;0</f>
        <v>0</v>
      </c>
      <c r="AA296" s="2" t="b" cm="1">
        <f t="array" ref="AA296">SUMPRODUCT(--ISNUMBER(SEARCH({"dimensional analysis","dimensionless coefficients","Π","Pi","theorem","software","design","tools","development","architecture","similar"}, LOWER(Table1938[[#This Row],[Abstract]]))))&gt;0</f>
        <v>1</v>
      </c>
      <c r="AB296" s="2" t="b">
        <f>AND(OR(Table1938[[#This Row],[IC-01 @2024]:[IC-01 @2020]])=TRUE,Table1938[[#This Row],[IC-02]]=TRUE,Table1938[[#This Row],[IC-03]]=TRUE,Table1938[[#This Row],[IC-04]]=TRUE,Table1938[[#This Row],[IC-05]]=TRUE)</f>
        <v>0</v>
      </c>
      <c r="AC296" s="2" t="b">
        <f>AND(Table1938[[#This Row],[Pass-IC]]=TRUE,Table1938[[#This Row],[Pass-EC]]=TRUE)</f>
        <v>0</v>
      </c>
      <c r="AD296" s="2" t="b">
        <f>COUNTIF($D$25:D296, Table1938[[#This Row],[Title]]) = 1</f>
        <v>1</v>
      </c>
      <c r="AE296" s="2" t="b">
        <f>AND(Table1938[[#This Row],[IC + EC]:[Unique]])</f>
        <v>0</v>
      </c>
      <c r="AF296" s="2" t="b">
        <v>0</v>
      </c>
      <c r="AG296" s="2" t="b">
        <v>0</v>
      </c>
      <c r="AH296" s="2" t="b">
        <v>0</v>
      </c>
      <c r="AI296" s="2" t="b">
        <f>IF(AND(Table1938[[#This Row],[Double Check]]=TRUE,Table1938[[#This Row],[Inspected]]=TRUE,Table1938[[#This Row],[Relevant]]=TRUE),TRUE,FALSE)</f>
        <v>0</v>
      </c>
    </row>
    <row r="297" spans="1:35" ht="57.35" x14ac:dyDescent="0.5">
      <c r="A297" s="2">
        <v>296</v>
      </c>
      <c r="B297" s="20" t="s">
        <v>3</v>
      </c>
      <c r="C297" s="20" t="s">
        <v>3201</v>
      </c>
      <c r="D297" s="20" t="s">
        <v>2155</v>
      </c>
      <c r="E297" s="20" t="s">
        <v>2154</v>
      </c>
      <c r="F297" s="2" t="s">
        <v>2157</v>
      </c>
      <c r="G297" s="20" t="s">
        <v>1006</v>
      </c>
      <c r="H297" s="36">
        <v>43191</v>
      </c>
      <c r="I297" s="20">
        <v>2018</v>
      </c>
      <c r="J297" s="20" t="s">
        <v>61</v>
      </c>
      <c r="K297" s="20" t="s">
        <v>3202</v>
      </c>
      <c r="L297" s="20" t="s">
        <v>2515</v>
      </c>
      <c r="M297" s="20" t="s">
        <v>2156</v>
      </c>
      <c r="N297" s="20" t="b">
        <v>1</v>
      </c>
      <c r="O297" s="2" t="b">
        <f>IF(Table1938[[#This Row],[Title]]="",TRUE,FALSE)</f>
        <v>0</v>
      </c>
      <c r="P297" s="2" t="b">
        <f>IF(Table1938[[#This Row],[Author]]="",TRUE,FALSE)</f>
        <v>0</v>
      </c>
      <c r="Q297" s="2" t="b">
        <f>IF(Table1938[[#This Row],[DOI]]&lt;&gt;"", FALSE,TRUE)</f>
        <v>0</v>
      </c>
      <c r="R297" s="2" t="b">
        <f>IF(Table1938[[#This Row],[Abstract]]="",TRUE,FALSE)</f>
        <v>0</v>
      </c>
      <c r="S297" s="2" t="b">
        <f>IF(OR(Table1938[[#This Row],[Document Type]]="book",Table1938[[#This Row],[Document Type]]="bookSection"),TRUE,FALSE)</f>
        <v>0</v>
      </c>
      <c r="T297" s="2" t="b">
        <f>NOT(IF(OR(Table1938[[#This Row],[Language]]&lt;&gt;"en",Table1938[[#This Row],[Language]]&lt;&gt;"EN",Table1938[[#This Row],[Language]]&lt;&gt;"spa",Table1938[[#This Row],[Language]]&lt;&gt;"SPA"),TRUE,FALSE))</f>
        <v>0</v>
      </c>
      <c r="U297" s="2" t="b">
        <f>IF(AND(Table1938[[#This Row],[EC-01]]=FALSE,Table1938[[#This Row],[EC-02]]=FALSE,Table1938[[#This Row],[EC-03]]=FALSE,Table1938[[#This Row],[EC-04]]=FALSE,Table1938[[#This Row],[EC-05]]=FALSE,Table1938[[#This Row],[EC-06]]=FALSE),TRUE,FALSE)</f>
        <v>1</v>
      </c>
      <c r="V297" s="2" t="b">
        <f>IF(Table1938[[#This Row],[Date]]&lt;&gt;"",AND(YEAR(Table1938[[#This Row],[Date]])&gt;=2010, YEAR(Table1938[[#This Row],[Date]])&lt;=2024),FALSE)</f>
        <v>1</v>
      </c>
      <c r="W297" s="2" t="b">
        <f>IF(Table1938[[#This Row],[Date]]&lt;&gt;"",AND(YEAR(Table1938[[#This Row],[Date]])&gt;=2010, YEAR(Table1938[[#This Row],[Date]])&lt;=2020),FALSE)</f>
        <v>1</v>
      </c>
      <c r="X297" s="2" t="b">
        <f>IF(AND(Table1938[[#This Row],[Accesible]]=TRUE,Table1938[[#This Row],[DOI]]&lt;&gt;""),TRUE,FALSE)</f>
        <v>1</v>
      </c>
      <c r="Y297" s="2" t="b">
        <f>OR(Table1938[[#This Row],[Document Type]]="journalArticle",Table1938[[#This Row],[Document Type]]="conferencePaper",Table1938[[#This Row],[Document Type]]="review")</f>
        <v>1</v>
      </c>
      <c r="Z297" s="2" t="b" cm="1">
        <f t="array" ref="Z297">SUMPRODUCT(--ISNUMBER(SEARCH({"dimensional analysis","dimensionless coefficients","Π","Pi","theorem","software","design","tools","development","architecture","similar"}, LOWER(Table1938[[#This Row],[Title]]))))&gt;0</f>
        <v>0</v>
      </c>
      <c r="AA297" s="2" t="b" cm="1">
        <f t="array" ref="AA297">SUMPRODUCT(--ISNUMBER(SEARCH({"dimensional analysis","dimensionless coefficients","Π","Pi","theorem","software","design","tools","development","architecture","similar"}, LOWER(Table1938[[#This Row],[Abstract]]))))&gt;0</f>
        <v>0</v>
      </c>
      <c r="AB297" s="2" t="b">
        <f>AND(OR(Table1938[[#This Row],[IC-01 @2024]:[IC-01 @2020]])=TRUE,Table1938[[#This Row],[IC-02]]=TRUE,Table1938[[#This Row],[IC-03]]=TRUE,Table1938[[#This Row],[IC-04]]=TRUE,Table1938[[#This Row],[IC-05]]=TRUE)</f>
        <v>0</v>
      </c>
      <c r="AC297" s="2" t="b">
        <f>AND(Table1938[[#This Row],[Pass-IC]]=TRUE,Table1938[[#This Row],[Pass-EC]]=TRUE)</f>
        <v>0</v>
      </c>
      <c r="AD297" s="2" t="b">
        <f>COUNTIF($D$25:D297, Table1938[[#This Row],[Title]]) = 1</f>
        <v>1</v>
      </c>
      <c r="AE297" s="2" t="b">
        <f>AND(Table1938[[#This Row],[IC + EC]:[Unique]])</f>
        <v>0</v>
      </c>
      <c r="AF297" s="2" t="b">
        <v>0</v>
      </c>
      <c r="AG297" s="2" t="b">
        <v>0</v>
      </c>
      <c r="AH297" s="2" t="b">
        <v>0</v>
      </c>
      <c r="AI297" s="2" t="b">
        <f>IF(AND(Table1938[[#This Row],[Double Check]]=TRUE,Table1938[[#This Row],[Inspected]]=TRUE,Table1938[[#This Row],[Relevant]]=TRUE),TRUE,FALSE)</f>
        <v>0</v>
      </c>
    </row>
    <row r="298" spans="1:35" ht="71.7" x14ac:dyDescent="0.5">
      <c r="A298" s="2">
        <v>297</v>
      </c>
      <c r="B298" s="20" t="s">
        <v>3</v>
      </c>
      <c r="C298" s="20" t="s">
        <v>3203</v>
      </c>
      <c r="D298" s="20" t="s">
        <v>2130</v>
      </c>
      <c r="E298" s="20" t="s">
        <v>2129</v>
      </c>
      <c r="F298" s="2" t="s">
        <v>2132</v>
      </c>
      <c r="G298" s="20" t="s">
        <v>920</v>
      </c>
      <c r="H298" s="36">
        <v>44382</v>
      </c>
      <c r="I298" s="20">
        <v>2021</v>
      </c>
      <c r="J298" s="20" t="s">
        <v>61</v>
      </c>
      <c r="K298" s="20" t="s">
        <v>3204</v>
      </c>
      <c r="L298" s="20" t="s">
        <v>2515</v>
      </c>
      <c r="M298" s="20" t="s">
        <v>2131</v>
      </c>
      <c r="N298" s="20" t="b">
        <v>1</v>
      </c>
      <c r="O298" s="2" t="b">
        <f>IF(Table1938[[#This Row],[Title]]="",TRUE,FALSE)</f>
        <v>0</v>
      </c>
      <c r="P298" s="2" t="b">
        <f>IF(Table1938[[#This Row],[Author]]="",TRUE,FALSE)</f>
        <v>0</v>
      </c>
      <c r="Q298" s="2" t="b">
        <f>IF(Table1938[[#This Row],[DOI]]&lt;&gt;"", FALSE,TRUE)</f>
        <v>0</v>
      </c>
      <c r="R298" s="2" t="b">
        <f>IF(Table1938[[#This Row],[Abstract]]="",TRUE,FALSE)</f>
        <v>0</v>
      </c>
      <c r="S298" s="2" t="b">
        <f>IF(OR(Table1938[[#This Row],[Document Type]]="book",Table1938[[#This Row],[Document Type]]="bookSection"),TRUE,FALSE)</f>
        <v>0</v>
      </c>
      <c r="T298" s="2" t="b">
        <f>NOT(IF(OR(Table1938[[#This Row],[Language]]&lt;&gt;"en",Table1938[[#This Row],[Language]]&lt;&gt;"EN",Table1938[[#This Row],[Language]]&lt;&gt;"spa",Table1938[[#This Row],[Language]]&lt;&gt;"SPA"),TRUE,FALSE))</f>
        <v>0</v>
      </c>
      <c r="U298" s="2" t="b">
        <f>IF(AND(Table1938[[#This Row],[EC-01]]=FALSE,Table1938[[#This Row],[EC-02]]=FALSE,Table1938[[#This Row],[EC-03]]=FALSE,Table1938[[#This Row],[EC-04]]=FALSE,Table1938[[#This Row],[EC-05]]=FALSE,Table1938[[#This Row],[EC-06]]=FALSE),TRUE,FALSE)</f>
        <v>1</v>
      </c>
      <c r="V298" s="2" t="b">
        <f>IF(Table1938[[#This Row],[Date]]&lt;&gt;"",AND(YEAR(Table1938[[#This Row],[Date]])&gt;=2010, YEAR(Table1938[[#This Row],[Date]])&lt;=2024),FALSE)</f>
        <v>1</v>
      </c>
      <c r="W298" s="2" t="b">
        <f>IF(Table1938[[#This Row],[Date]]&lt;&gt;"",AND(YEAR(Table1938[[#This Row],[Date]])&gt;=2010, YEAR(Table1938[[#This Row],[Date]])&lt;=2020),FALSE)</f>
        <v>0</v>
      </c>
      <c r="X298" s="2" t="b">
        <f>IF(AND(Table1938[[#This Row],[Accesible]]=TRUE,Table1938[[#This Row],[DOI]]&lt;&gt;""),TRUE,FALSE)</f>
        <v>1</v>
      </c>
      <c r="Y298" s="2" t="b">
        <f>OR(Table1938[[#This Row],[Document Type]]="journalArticle",Table1938[[#This Row],[Document Type]]="conferencePaper",Table1938[[#This Row],[Document Type]]="review")</f>
        <v>1</v>
      </c>
      <c r="Z298" s="2" t="b" cm="1">
        <f t="array" ref="Z298">SUMPRODUCT(--ISNUMBER(SEARCH({"dimensional analysis","dimensionless coefficients","Π","Pi","theorem","software","design","tools","development","architecture","similar"}, LOWER(Table1938[[#This Row],[Title]]))))&gt;0</f>
        <v>0</v>
      </c>
      <c r="AA298" s="2" t="b" cm="1">
        <f t="array" ref="AA298">SUMPRODUCT(--ISNUMBER(SEARCH({"dimensional analysis","dimensionless coefficients","Π","Pi","theorem","software","design","tools","development","architecture","similar"}, LOWER(Table1938[[#This Row],[Abstract]]))))&gt;0</f>
        <v>1</v>
      </c>
      <c r="AB298" s="2" t="b">
        <f>AND(OR(Table1938[[#This Row],[IC-01 @2024]:[IC-01 @2020]])=TRUE,Table1938[[#This Row],[IC-02]]=TRUE,Table1938[[#This Row],[IC-03]]=TRUE,Table1938[[#This Row],[IC-04]]=TRUE,Table1938[[#This Row],[IC-05]]=TRUE)</f>
        <v>0</v>
      </c>
      <c r="AC298" s="2" t="b">
        <f>AND(Table1938[[#This Row],[Pass-IC]]=TRUE,Table1938[[#This Row],[Pass-EC]]=TRUE)</f>
        <v>0</v>
      </c>
      <c r="AD298" s="2" t="b">
        <f>COUNTIF($D$25:D298, Table1938[[#This Row],[Title]]) = 1</f>
        <v>1</v>
      </c>
      <c r="AE298" s="2" t="b">
        <f>AND(Table1938[[#This Row],[IC + EC]:[Unique]])</f>
        <v>0</v>
      </c>
      <c r="AF298" s="2" t="b">
        <v>0</v>
      </c>
      <c r="AG298" s="2" t="b">
        <v>0</v>
      </c>
      <c r="AH298" s="2" t="b">
        <v>0</v>
      </c>
      <c r="AI298" s="2" t="b">
        <f>IF(AND(Table1938[[#This Row],[Double Check]]=TRUE,Table1938[[#This Row],[Inspected]]=TRUE,Table1938[[#This Row],[Relevant]]=TRUE),TRUE,FALSE)</f>
        <v>0</v>
      </c>
    </row>
    <row r="299" spans="1:35" ht="71.7" x14ac:dyDescent="0.5">
      <c r="A299" s="2">
        <v>298</v>
      </c>
      <c r="B299" s="20" t="s">
        <v>3</v>
      </c>
      <c r="C299" s="20" t="s">
        <v>3205</v>
      </c>
      <c r="D299" s="20" t="s">
        <v>1689</v>
      </c>
      <c r="E299" s="20" t="s">
        <v>1688</v>
      </c>
      <c r="F299" s="2" t="s">
        <v>1691</v>
      </c>
      <c r="G299" s="20" t="s">
        <v>1122</v>
      </c>
      <c r="H299" s="36">
        <v>42064</v>
      </c>
      <c r="I299" s="20">
        <v>2015</v>
      </c>
      <c r="J299" s="20" t="s">
        <v>61</v>
      </c>
      <c r="K299" s="20" t="s">
        <v>3206</v>
      </c>
      <c r="L299" s="20" t="s">
        <v>2515</v>
      </c>
      <c r="M299" s="20" t="s">
        <v>1690</v>
      </c>
      <c r="N299" s="20" t="b">
        <v>1</v>
      </c>
      <c r="O299" s="2" t="b">
        <f>IF(Table1938[[#This Row],[Title]]="",TRUE,FALSE)</f>
        <v>0</v>
      </c>
      <c r="P299" s="2" t="b">
        <f>IF(Table1938[[#This Row],[Author]]="",TRUE,FALSE)</f>
        <v>0</v>
      </c>
      <c r="Q299" s="2" t="b">
        <f>IF(Table1938[[#This Row],[DOI]]&lt;&gt;"", FALSE,TRUE)</f>
        <v>0</v>
      </c>
      <c r="R299" s="2" t="b">
        <f>IF(Table1938[[#This Row],[Abstract]]="",TRUE,FALSE)</f>
        <v>0</v>
      </c>
      <c r="S299" s="2" t="b">
        <f>IF(OR(Table1938[[#This Row],[Document Type]]="book",Table1938[[#This Row],[Document Type]]="bookSection"),TRUE,FALSE)</f>
        <v>0</v>
      </c>
      <c r="T299" s="2" t="b">
        <f>NOT(IF(OR(Table1938[[#This Row],[Language]]&lt;&gt;"en",Table1938[[#This Row],[Language]]&lt;&gt;"EN",Table1938[[#This Row],[Language]]&lt;&gt;"spa",Table1938[[#This Row],[Language]]&lt;&gt;"SPA"),TRUE,FALSE))</f>
        <v>0</v>
      </c>
      <c r="U299" s="2" t="b">
        <f>IF(AND(Table1938[[#This Row],[EC-01]]=FALSE,Table1938[[#This Row],[EC-02]]=FALSE,Table1938[[#This Row],[EC-03]]=FALSE,Table1938[[#This Row],[EC-04]]=FALSE,Table1938[[#This Row],[EC-05]]=FALSE,Table1938[[#This Row],[EC-06]]=FALSE),TRUE,FALSE)</f>
        <v>1</v>
      </c>
      <c r="V299" s="2" t="b">
        <f>IF(Table1938[[#This Row],[Date]]&lt;&gt;"",AND(YEAR(Table1938[[#This Row],[Date]])&gt;=2010, YEAR(Table1938[[#This Row],[Date]])&lt;=2024),FALSE)</f>
        <v>1</v>
      </c>
      <c r="W299" s="2" t="b">
        <f>IF(Table1938[[#This Row],[Date]]&lt;&gt;"",AND(YEAR(Table1938[[#This Row],[Date]])&gt;=2010, YEAR(Table1938[[#This Row],[Date]])&lt;=2020),FALSE)</f>
        <v>1</v>
      </c>
      <c r="X299" s="2" t="b">
        <f>IF(AND(Table1938[[#This Row],[Accesible]]=TRUE,Table1938[[#This Row],[DOI]]&lt;&gt;""),TRUE,FALSE)</f>
        <v>1</v>
      </c>
      <c r="Y299" s="2" t="b">
        <f>OR(Table1938[[#This Row],[Document Type]]="journalArticle",Table1938[[#This Row],[Document Type]]="conferencePaper",Table1938[[#This Row],[Document Type]]="review")</f>
        <v>1</v>
      </c>
      <c r="Z299" s="2" t="b" cm="1">
        <f t="array" ref="Z299">SUMPRODUCT(--ISNUMBER(SEARCH({"dimensional analysis","dimensionless coefficients","Π","Pi","theorem","software","design","tools","development","architecture","similar"}, LOWER(Table1938[[#This Row],[Title]]))))&gt;0</f>
        <v>0</v>
      </c>
      <c r="AA299" s="2" t="b" cm="1">
        <f t="array" ref="AA299">SUMPRODUCT(--ISNUMBER(SEARCH({"dimensional analysis","dimensionless coefficients","Π","Pi","theorem","software","design","tools","development","architecture","similar"}, LOWER(Table1938[[#This Row],[Abstract]]))))&gt;0</f>
        <v>1</v>
      </c>
      <c r="AB299" s="2" t="b">
        <f>AND(OR(Table1938[[#This Row],[IC-01 @2024]:[IC-01 @2020]])=TRUE,Table1938[[#This Row],[IC-02]]=TRUE,Table1938[[#This Row],[IC-03]]=TRUE,Table1938[[#This Row],[IC-04]]=TRUE,Table1938[[#This Row],[IC-05]]=TRUE)</f>
        <v>0</v>
      </c>
      <c r="AC299" s="2" t="b">
        <f>AND(Table1938[[#This Row],[Pass-IC]]=TRUE,Table1938[[#This Row],[Pass-EC]]=TRUE)</f>
        <v>0</v>
      </c>
      <c r="AD299" s="2" t="b">
        <f>COUNTIF($D$25:D299, Table1938[[#This Row],[Title]]) = 1</f>
        <v>1</v>
      </c>
      <c r="AE299" s="2" t="b">
        <f>AND(Table1938[[#This Row],[IC + EC]:[Unique]])</f>
        <v>0</v>
      </c>
      <c r="AF299" s="2" t="b">
        <v>0</v>
      </c>
      <c r="AG299" s="2" t="b">
        <v>0</v>
      </c>
      <c r="AH299" s="2" t="b">
        <v>0</v>
      </c>
      <c r="AI299" s="2" t="b">
        <f>IF(AND(Table1938[[#This Row],[Double Check]]=TRUE,Table1938[[#This Row],[Inspected]]=TRUE,Table1938[[#This Row],[Relevant]]=TRUE),TRUE,FALSE)</f>
        <v>0</v>
      </c>
    </row>
    <row r="300" spans="1:35" ht="57.35" x14ac:dyDescent="0.5">
      <c r="A300" s="2">
        <v>299</v>
      </c>
      <c r="B300" s="20" t="s">
        <v>3</v>
      </c>
      <c r="C300" s="20" t="s">
        <v>3207</v>
      </c>
      <c r="D300" s="20" t="s">
        <v>1930</v>
      </c>
      <c r="E300" s="20" t="s">
        <v>1929</v>
      </c>
      <c r="F300" s="2" t="s">
        <v>1932</v>
      </c>
      <c r="G300" s="20" t="s">
        <v>935</v>
      </c>
      <c r="H300" s="36">
        <v>45306</v>
      </c>
      <c r="I300" s="20">
        <v>2024</v>
      </c>
      <c r="J300" s="20" t="s">
        <v>61</v>
      </c>
      <c r="K300" s="20" t="s">
        <v>3208</v>
      </c>
      <c r="L300" s="20" t="s">
        <v>2515</v>
      </c>
      <c r="M300" s="20" t="s">
        <v>1931</v>
      </c>
      <c r="N300" s="20" t="b">
        <v>1</v>
      </c>
      <c r="O300" s="2" t="b">
        <f>IF(Table1938[[#This Row],[Title]]="",TRUE,FALSE)</f>
        <v>0</v>
      </c>
      <c r="P300" s="2" t="b">
        <f>IF(Table1938[[#This Row],[Author]]="",TRUE,FALSE)</f>
        <v>0</v>
      </c>
      <c r="Q300" s="2" t="b">
        <f>IF(Table1938[[#This Row],[DOI]]&lt;&gt;"", FALSE,TRUE)</f>
        <v>0</v>
      </c>
      <c r="R300" s="2" t="b">
        <f>IF(Table1938[[#This Row],[Abstract]]="",TRUE,FALSE)</f>
        <v>0</v>
      </c>
      <c r="S300" s="2" t="b">
        <f>IF(OR(Table1938[[#This Row],[Document Type]]="book",Table1938[[#This Row],[Document Type]]="bookSection"),TRUE,FALSE)</f>
        <v>0</v>
      </c>
      <c r="T300" s="2" t="b">
        <f>NOT(IF(OR(Table1938[[#This Row],[Language]]&lt;&gt;"en",Table1938[[#This Row],[Language]]&lt;&gt;"EN",Table1938[[#This Row],[Language]]&lt;&gt;"spa",Table1938[[#This Row],[Language]]&lt;&gt;"SPA"),TRUE,FALSE))</f>
        <v>0</v>
      </c>
      <c r="U300" s="2" t="b">
        <f>IF(AND(Table1938[[#This Row],[EC-01]]=FALSE,Table1938[[#This Row],[EC-02]]=FALSE,Table1938[[#This Row],[EC-03]]=FALSE,Table1938[[#This Row],[EC-04]]=FALSE,Table1938[[#This Row],[EC-05]]=FALSE,Table1938[[#This Row],[EC-06]]=FALSE),TRUE,FALSE)</f>
        <v>1</v>
      </c>
      <c r="V300" s="2" t="b">
        <f>IF(Table1938[[#This Row],[Date]]&lt;&gt;"",AND(YEAR(Table1938[[#This Row],[Date]])&gt;=2010, YEAR(Table1938[[#This Row],[Date]])&lt;=2024),FALSE)</f>
        <v>1</v>
      </c>
      <c r="W300" s="2" t="b">
        <f>IF(Table1938[[#This Row],[Date]]&lt;&gt;"",AND(YEAR(Table1938[[#This Row],[Date]])&gt;=2010, YEAR(Table1938[[#This Row],[Date]])&lt;=2020),FALSE)</f>
        <v>0</v>
      </c>
      <c r="X300" s="2" t="b">
        <f>IF(AND(Table1938[[#This Row],[Accesible]]=TRUE,Table1938[[#This Row],[DOI]]&lt;&gt;""),TRUE,FALSE)</f>
        <v>1</v>
      </c>
      <c r="Y300" s="2" t="b">
        <f>OR(Table1938[[#This Row],[Document Type]]="journalArticle",Table1938[[#This Row],[Document Type]]="conferencePaper",Table1938[[#This Row],[Document Type]]="review")</f>
        <v>1</v>
      </c>
      <c r="Z300" s="2" t="b" cm="1">
        <f t="array" ref="Z300">SUMPRODUCT(--ISNUMBER(SEARCH({"dimensional analysis","dimensionless coefficients","Π","Pi","theorem","software","design","tools","development","architecture","similar"}, LOWER(Table1938[[#This Row],[Title]]))))&gt;0</f>
        <v>0</v>
      </c>
      <c r="AA300" s="2" t="b" cm="1">
        <f t="array" ref="AA300">SUMPRODUCT(--ISNUMBER(SEARCH({"dimensional analysis","dimensionless coefficients","Π","Pi","theorem","software","design","tools","development","architecture","similar"}, LOWER(Table1938[[#This Row],[Abstract]]))))&gt;0</f>
        <v>1</v>
      </c>
      <c r="AB300" s="2" t="b">
        <f>AND(OR(Table1938[[#This Row],[IC-01 @2024]:[IC-01 @2020]])=TRUE,Table1938[[#This Row],[IC-02]]=TRUE,Table1938[[#This Row],[IC-03]]=TRUE,Table1938[[#This Row],[IC-04]]=TRUE,Table1938[[#This Row],[IC-05]]=TRUE)</f>
        <v>0</v>
      </c>
      <c r="AC300" s="2" t="b">
        <f>AND(Table1938[[#This Row],[Pass-IC]]=TRUE,Table1938[[#This Row],[Pass-EC]]=TRUE)</f>
        <v>0</v>
      </c>
      <c r="AD300" s="2" t="b">
        <f>COUNTIF($D$25:D300, Table1938[[#This Row],[Title]]) = 1</f>
        <v>1</v>
      </c>
      <c r="AE300" s="2" t="b">
        <f>AND(Table1938[[#This Row],[IC + EC]:[Unique]])</f>
        <v>0</v>
      </c>
      <c r="AF300" s="2" t="b">
        <v>0</v>
      </c>
      <c r="AG300" s="2" t="b">
        <v>0</v>
      </c>
      <c r="AH300" s="2" t="b">
        <v>0</v>
      </c>
      <c r="AI300" s="2" t="b">
        <f>IF(AND(Table1938[[#This Row],[Double Check]]=TRUE,Table1938[[#This Row],[Inspected]]=TRUE,Table1938[[#This Row],[Relevant]]=TRUE),TRUE,FALSE)</f>
        <v>0</v>
      </c>
    </row>
    <row r="301" spans="1:35" ht="57.35" x14ac:dyDescent="0.5">
      <c r="A301" s="2">
        <v>300</v>
      </c>
      <c r="B301" s="20" t="s">
        <v>3</v>
      </c>
      <c r="C301" s="20" t="s">
        <v>3209</v>
      </c>
      <c r="D301" s="20" t="s">
        <v>1657</v>
      </c>
      <c r="E301" s="20" t="s">
        <v>1656</v>
      </c>
      <c r="F301" s="2" t="s">
        <v>1659</v>
      </c>
      <c r="G301" s="20" t="s">
        <v>1122</v>
      </c>
      <c r="H301" s="36">
        <v>44470</v>
      </c>
      <c r="I301" s="20">
        <v>2021</v>
      </c>
      <c r="J301" s="20" t="s">
        <v>61</v>
      </c>
      <c r="K301" s="20" t="s">
        <v>3210</v>
      </c>
      <c r="L301" s="20" t="s">
        <v>2515</v>
      </c>
      <c r="M301" s="20" t="s">
        <v>1658</v>
      </c>
      <c r="N301" s="20" t="b">
        <v>1</v>
      </c>
      <c r="O301" s="2" t="b">
        <f>IF(Table1938[[#This Row],[Title]]="",TRUE,FALSE)</f>
        <v>0</v>
      </c>
      <c r="P301" s="2" t="b">
        <f>IF(Table1938[[#This Row],[Author]]="",TRUE,FALSE)</f>
        <v>0</v>
      </c>
      <c r="Q301" s="2" t="b">
        <f>IF(Table1938[[#This Row],[DOI]]&lt;&gt;"", FALSE,TRUE)</f>
        <v>0</v>
      </c>
      <c r="R301" s="2" t="b">
        <f>IF(Table1938[[#This Row],[Abstract]]="",TRUE,FALSE)</f>
        <v>0</v>
      </c>
      <c r="S301" s="2" t="b">
        <f>IF(OR(Table1938[[#This Row],[Document Type]]="book",Table1938[[#This Row],[Document Type]]="bookSection"),TRUE,FALSE)</f>
        <v>0</v>
      </c>
      <c r="T301" s="2" t="b">
        <f>NOT(IF(OR(Table1938[[#This Row],[Language]]&lt;&gt;"en",Table1938[[#This Row],[Language]]&lt;&gt;"EN",Table1938[[#This Row],[Language]]&lt;&gt;"spa",Table1938[[#This Row],[Language]]&lt;&gt;"SPA"),TRUE,FALSE))</f>
        <v>0</v>
      </c>
      <c r="U301" s="2" t="b">
        <f>IF(AND(Table1938[[#This Row],[EC-01]]=FALSE,Table1938[[#This Row],[EC-02]]=FALSE,Table1938[[#This Row],[EC-03]]=FALSE,Table1938[[#This Row],[EC-04]]=FALSE,Table1938[[#This Row],[EC-05]]=FALSE,Table1938[[#This Row],[EC-06]]=FALSE),TRUE,FALSE)</f>
        <v>1</v>
      </c>
      <c r="V301" s="2" t="b">
        <f>IF(Table1938[[#This Row],[Date]]&lt;&gt;"",AND(YEAR(Table1938[[#This Row],[Date]])&gt;=2010, YEAR(Table1938[[#This Row],[Date]])&lt;=2024),FALSE)</f>
        <v>1</v>
      </c>
      <c r="W301" s="2" t="b">
        <f>IF(Table1938[[#This Row],[Date]]&lt;&gt;"",AND(YEAR(Table1938[[#This Row],[Date]])&gt;=2010, YEAR(Table1938[[#This Row],[Date]])&lt;=2020),FALSE)</f>
        <v>0</v>
      </c>
      <c r="X301" s="2" t="b">
        <f>IF(AND(Table1938[[#This Row],[Accesible]]=TRUE,Table1938[[#This Row],[DOI]]&lt;&gt;""),TRUE,FALSE)</f>
        <v>1</v>
      </c>
      <c r="Y301" s="2" t="b">
        <f>OR(Table1938[[#This Row],[Document Type]]="journalArticle",Table1938[[#This Row],[Document Type]]="conferencePaper",Table1938[[#This Row],[Document Type]]="review")</f>
        <v>1</v>
      </c>
      <c r="Z301" s="2" t="b" cm="1">
        <f t="array" ref="Z301">SUMPRODUCT(--ISNUMBER(SEARCH({"dimensional analysis","dimensionless coefficients","Π","Pi","theorem","software","design","tools","development","architecture","similar"}, LOWER(Table1938[[#This Row],[Title]]))))&gt;0</f>
        <v>0</v>
      </c>
      <c r="AA301" s="2" t="b" cm="1">
        <f t="array" ref="AA301">SUMPRODUCT(--ISNUMBER(SEARCH({"dimensional analysis","dimensionless coefficients","Π","Pi","theorem","software","design","tools","development","architecture","similar"}, LOWER(Table1938[[#This Row],[Abstract]]))))&gt;0</f>
        <v>1</v>
      </c>
      <c r="AB301" s="2" t="b">
        <f>AND(OR(Table1938[[#This Row],[IC-01 @2024]:[IC-01 @2020]])=TRUE,Table1938[[#This Row],[IC-02]]=TRUE,Table1938[[#This Row],[IC-03]]=TRUE,Table1938[[#This Row],[IC-04]]=TRUE,Table1938[[#This Row],[IC-05]]=TRUE)</f>
        <v>0</v>
      </c>
      <c r="AC301" s="2" t="b">
        <f>AND(Table1938[[#This Row],[Pass-IC]]=TRUE,Table1938[[#This Row],[Pass-EC]]=TRUE)</f>
        <v>0</v>
      </c>
      <c r="AD301" s="2" t="b">
        <f>COUNTIF($D$25:D301, Table1938[[#This Row],[Title]]) = 1</f>
        <v>1</v>
      </c>
      <c r="AE301" s="2" t="b">
        <f>AND(Table1938[[#This Row],[IC + EC]:[Unique]])</f>
        <v>0</v>
      </c>
      <c r="AF301" s="2" t="b">
        <v>0</v>
      </c>
      <c r="AG301" s="2" t="b">
        <v>0</v>
      </c>
      <c r="AH301" s="2" t="b">
        <v>0</v>
      </c>
      <c r="AI301" s="2" t="b">
        <f>IF(AND(Table1938[[#This Row],[Double Check]]=TRUE,Table1938[[#This Row],[Inspected]]=TRUE,Table1938[[#This Row],[Relevant]]=TRUE),TRUE,FALSE)</f>
        <v>0</v>
      </c>
    </row>
    <row r="302" spans="1:35" ht="57.35" x14ac:dyDescent="0.5">
      <c r="A302" s="2">
        <v>301</v>
      </c>
      <c r="B302" s="20" t="s">
        <v>3</v>
      </c>
      <c r="C302" s="20" t="s">
        <v>3211</v>
      </c>
      <c r="D302" s="20" t="s">
        <v>2192</v>
      </c>
      <c r="E302" s="20" t="s">
        <v>2191</v>
      </c>
      <c r="F302" s="2" t="s">
        <v>2194</v>
      </c>
      <c r="G302" s="20" t="s">
        <v>921</v>
      </c>
      <c r="H302" s="36">
        <v>44256</v>
      </c>
      <c r="I302" s="20">
        <v>2021</v>
      </c>
      <c r="J302" s="20" t="s">
        <v>61</v>
      </c>
      <c r="K302" s="20" t="s">
        <v>3212</v>
      </c>
      <c r="L302" s="20" t="s">
        <v>2515</v>
      </c>
      <c r="M302" s="20" t="s">
        <v>2193</v>
      </c>
      <c r="N302" s="20" t="b">
        <v>1</v>
      </c>
      <c r="O302" s="2" t="b">
        <f>IF(Table1938[[#This Row],[Title]]="",TRUE,FALSE)</f>
        <v>0</v>
      </c>
      <c r="P302" s="2" t="b">
        <f>IF(Table1938[[#This Row],[Author]]="",TRUE,FALSE)</f>
        <v>0</v>
      </c>
      <c r="Q302" s="2" t="b">
        <f>IF(Table1938[[#This Row],[DOI]]&lt;&gt;"", FALSE,TRUE)</f>
        <v>0</v>
      </c>
      <c r="R302" s="2" t="b">
        <f>IF(Table1938[[#This Row],[Abstract]]="",TRUE,FALSE)</f>
        <v>0</v>
      </c>
      <c r="S302" s="2" t="b">
        <f>IF(OR(Table1938[[#This Row],[Document Type]]="book",Table1938[[#This Row],[Document Type]]="bookSection"),TRUE,FALSE)</f>
        <v>0</v>
      </c>
      <c r="T302" s="2" t="b">
        <f>NOT(IF(OR(Table1938[[#This Row],[Language]]&lt;&gt;"en",Table1938[[#This Row],[Language]]&lt;&gt;"EN",Table1938[[#This Row],[Language]]&lt;&gt;"spa",Table1938[[#This Row],[Language]]&lt;&gt;"SPA"),TRUE,FALSE))</f>
        <v>0</v>
      </c>
      <c r="U302" s="2" t="b">
        <f>IF(AND(Table1938[[#This Row],[EC-01]]=FALSE,Table1938[[#This Row],[EC-02]]=FALSE,Table1938[[#This Row],[EC-03]]=FALSE,Table1938[[#This Row],[EC-04]]=FALSE,Table1938[[#This Row],[EC-05]]=FALSE,Table1938[[#This Row],[EC-06]]=FALSE),TRUE,FALSE)</f>
        <v>1</v>
      </c>
      <c r="V302" s="2" t="b">
        <f>IF(Table1938[[#This Row],[Date]]&lt;&gt;"",AND(YEAR(Table1938[[#This Row],[Date]])&gt;=2010, YEAR(Table1938[[#This Row],[Date]])&lt;=2024),FALSE)</f>
        <v>1</v>
      </c>
      <c r="W302" s="2" t="b">
        <f>IF(Table1938[[#This Row],[Date]]&lt;&gt;"",AND(YEAR(Table1938[[#This Row],[Date]])&gt;=2010, YEAR(Table1938[[#This Row],[Date]])&lt;=2020),FALSE)</f>
        <v>0</v>
      </c>
      <c r="X302" s="2" t="b">
        <f>IF(AND(Table1938[[#This Row],[Accesible]]=TRUE,Table1938[[#This Row],[DOI]]&lt;&gt;""),TRUE,FALSE)</f>
        <v>1</v>
      </c>
      <c r="Y302" s="2" t="b">
        <f>OR(Table1938[[#This Row],[Document Type]]="journalArticle",Table1938[[#This Row],[Document Type]]="conferencePaper",Table1938[[#This Row],[Document Type]]="review")</f>
        <v>1</v>
      </c>
      <c r="Z302" s="2" t="b" cm="1">
        <f t="array" ref="Z302">SUMPRODUCT(--ISNUMBER(SEARCH({"dimensional analysis","dimensionless coefficients","Π","Pi","theorem","software","design","tools","development","architecture","similar"}, LOWER(Table1938[[#This Row],[Title]]))))&gt;0</f>
        <v>0</v>
      </c>
      <c r="AA302" s="2" t="b" cm="1">
        <f t="array" ref="AA302">SUMPRODUCT(--ISNUMBER(SEARCH({"dimensional analysis","dimensionless coefficients","Π","Pi","theorem","software","design","tools","development","architecture","similar"}, LOWER(Table1938[[#This Row],[Abstract]]))))&gt;0</f>
        <v>1</v>
      </c>
      <c r="AB302" s="2" t="b">
        <f>AND(OR(Table1938[[#This Row],[IC-01 @2024]:[IC-01 @2020]])=TRUE,Table1938[[#This Row],[IC-02]]=TRUE,Table1938[[#This Row],[IC-03]]=TRUE,Table1938[[#This Row],[IC-04]]=TRUE,Table1938[[#This Row],[IC-05]]=TRUE)</f>
        <v>0</v>
      </c>
      <c r="AC302" s="2" t="b">
        <f>AND(Table1938[[#This Row],[Pass-IC]]=TRUE,Table1938[[#This Row],[Pass-EC]]=TRUE)</f>
        <v>0</v>
      </c>
      <c r="AD302" s="2" t="b">
        <f>COUNTIF($D$25:D302, Table1938[[#This Row],[Title]]) = 1</f>
        <v>1</v>
      </c>
      <c r="AE302" s="2" t="b">
        <f>AND(Table1938[[#This Row],[IC + EC]:[Unique]])</f>
        <v>0</v>
      </c>
      <c r="AF302" s="2" t="b">
        <v>0</v>
      </c>
      <c r="AG302" s="2" t="b">
        <v>0</v>
      </c>
      <c r="AH302" s="2" t="b">
        <v>0</v>
      </c>
      <c r="AI302" s="2" t="b">
        <f>IF(AND(Table1938[[#This Row],[Double Check]]=TRUE,Table1938[[#This Row],[Inspected]]=TRUE,Table1938[[#This Row],[Relevant]]=TRUE),TRUE,FALSE)</f>
        <v>0</v>
      </c>
    </row>
    <row r="303" spans="1:35" ht="71.7" x14ac:dyDescent="0.5">
      <c r="A303" s="2">
        <v>302</v>
      </c>
      <c r="B303" s="20" t="s">
        <v>3</v>
      </c>
      <c r="C303" s="20" t="s">
        <v>3213</v>
      </c>
      <c r="D303" s="20" t="s">
        <v>976</v>
      </c>
      <c r="E303" s="20" t="s">
        <v>977</v>
      </c>
      <c r="F303" s="2" t="s">
        <v>974</v>
      </c>
      <c r="G303" s="20" t="s">
        <v>954</v>
      </c>
      <c r="H303" s="36">
        <v>45631</v>
      </c>
      <c r="I303" s="20">
        <v>2024</v>
      </c>
      <c r="J303" s="20" t="s">
        <v>61</v>
      </c>
      <c r="K303" s="20" t="s">
        <v>3214</v>
      </c>
      <c r="L303" s="20" t="s">
        <v>2515</v>
      </c>
      <c r="M303" s="20" t="s">
        <v>975</v>
      </c>
      <c r="N303" s="20" t="b">
        <v>1</v>
      </c>
      <c r="O303" s="2" t="b">
        <f>IF(Table1938[[#This Row],[Title]]="",TRUE,FALSE)</f>
        <v>0</v>
      </c>
      <c r="P303" s="2" t="b">
        <f>IF(Table1938[[#This Row],[Author]]="",TRUE,FALSE)</f>
        <v>0</v>
      </c>
      <c r="Q303" s="2" t="b">
        <f>IF(Table1938[[#This Row],[DOI]]&lt;&gt;"", FALSE,TRUE)</f>
        <v>0</v>
      </c>
      <c r="R303" s="2" t="b">
        <f>IF(Table1938[[#This Row],[Abstract]]="",TRUE,FALSE)</f>
        <v>0</v>
      </c>
      <c r="S303" s="2" t="b">
        <f>IF(OR(Table1938[[#This Row],[Document Type]]="book",Table1938[[#This Row],[Document Type]]="bookSection"),TRUE,FALSE)</f>
        <v>0</v>
      </c>
      <c r="T303" s="2" t="b">
        <f>NOT(IF(OR(Table1938[[#This Row],[Language]]&lt;&gt;"en",Table1938[[#This Row],[Language]]&lt;&gt;"EN",Table1938[[#This Row],[Language]]&lt;&gt;"spa",Table1938[[#This Row],[Language]]&lt;&gt;"SPA"),TRUE,FALSE))</f>
        <v>0</v>
      </c>
      <c r="U303" s="2" t="b">
        <f>IF(AND(Table1938[[#This Row],[EC-01]]=FALSE,Table1938[[#This Row],[EC-02]]=FALSE,Table1938[[#This Row],[EC-03]]=FALSE,Table1938[[#This Row],[EC-04]]=FALSE,Table1938[[#This Row],[EC-05]]=FALSE,Table1938[[#This Row],[EC-06]]=FALSE),TRUE,FALSE)</f>
        <v>1</v>
      </c>
      <c r="V303" s="2" t="b">
        <f>IF(Table1938[[#This Row],[Date]]&lt;&gt;"",AND(YEAR(Table1938[[#This Row],[Date]])&gt;=2010, YEAR(Table1938[[#This Row],[Date]])&lt;=2024),FALSE)</f>
        <v>1</v>
      </c>
      <c r="W303" s="2" t="b">
        <f>IF(Table1938[[#This Row],[Date]]&lt;&gt;"",AND(YEAR(Table1938[[#This Row],[Date]])&gt;=2010, YEAR(Table1938[[#This Row],[Date]])&lt;=2020),FALSE)</f>
        <v>0</v>
      </c>
      <c r="X303" s="2" t="b">
        <f>IF(AND(Table1938[[#This Row],[Accesible]]=TRUE,Table1938[[#This Row],[DOI]]&lt;&gt;""),TRUE,FALSE)</f>
        <v>1</v>
      </c>
      <c r="Y303" s="2" t="b">
        <f>OR(Table1938[[#This Row],[Document Type]]="journalArticle",Table1938[[#This Row],[Document Type]]="conferencePaper",Table1938[[#This Row],[Document Type]]="review")</f>
        <v>1</v>
      </c>
      <c r="Z303" s="2" t="b" cm="1">
        <f t="array" ref="Z303">SUMPRODUCT(--ISNUMBER(SEARCH({"dimensional analysis","dimensionless coefficients","Π","Pi","theorem","software","design","tools","development","architecture","similar"}, LOWER(Table1938[[#This Row],[Title]]))))&gt;0</f>
        <v>0</v>
      </c>
      <c r="AA303" s="2" t="b" cm="1">
        <f t="array" ref="AA303">SUMPRODUCT(--ISNUMBER(SEARCH({"dimensional analysis","dimensionless coefficients","Π","Pi","theorem","software","design","tools","development","architecture","similar"}, LOWER(Table1938[[#This Row],[Abstract]]))))&gt;0</f>
        <v>1</v>
      </c>
      <c r="AB303" s="2" t="b">
        <f>AND(OR(Table1938[[#This Row],[IC-01 @2024]:[IC-01 @2020]])=TRUE,Table1938[[#This Row],[IC-02]]=TRUE,Table1938[[#This Row],[IC-03]]=TRUE,Table1938[[#This Row],[IC-04]]=TRUE,Table1938[[#This Row],[IC-05]]=TRUE)</f>
        <v>0</v>
      </c>
      <c r="AC303" s="2" t="b">
        <f>AND(Table1938[[#This Row],[Pass-IC]]=TRUE,Table1938[[#This Row],[Pass-EC]]=TRUE)</f>
        <v>0</v>
      </c>
      <c r="AD303" s="2" t="b">
        <f>COUNTIF($D$25:D303, Table1938[[#This Row],[Title]]) = 1</f>
        <v>1</v>
      </c>
      <c r="AE303" s="2" t="b">
        <f>AND(Table1938[[#This Row],[IC + EC]:[Unique]])</f>
        <v>0</v>
      </c>
      <c r="AF303" s="2" t="b">
        <v>0</v>
      </c>
      <c r="AG303" s="2" t="b">
        <v>0</v>
      </c>
      <c r="AH303" s="2" t="b">
        <v>0</v>
      </c>
      <c r="AI303" s="2" t="b">
        <f>IF(AND(Table1938[[#This Row],[Double Check]]=TRUE,Table1938[[#This Row],[Inspected]]=TRUE,Table1938[[#This Row],[Relevant]]=TRUE),TRUE,FALSE)</f>
        <v>0</v>
      </c>
    </row>
    <row r="304" spans="1:35" ht="86" x14ac:dyDescent="0.5">
      <c r="A304" s="2">
        <v>303</v>
      </c>
      <c r="B304" s="20" t="s">
        <v>3</v>
      </c>
      <c r="C304" s="20" t="s">
        <v>3215</v>
      </c>
      <c r="D304" s="20" t="s">
        <v>1064</v>
      </c>
      <c r="E304" s="20" t="s">
        <v>1063</v>
      </c>
      <c r="F304" s="2" t="s">
        <v>1066</v>
      </c>
      <c r="G304" s="20" t="s">
        <v>922</v>
      </c>
      <c r="H304" s="36">
        <v>44515</v>
      </c>
      <c r="I304" s="20">
        <v>2021</v>
      </c>
      <c r="J304" s="20" t="s">
        <v>61</v>
      </c>
      <c r="K304" s="20" t="s">
        <v>3216</v>
      </c>
      <c r="L304" s="20" t="s">
        <v>2515</v>
      </c>
      <c r="M304" s="20" t="s">
        <v>1065</v>
      </c>
      <c r="N304" s="20" t="b">
        <v>1</v>
      </c>
      <c r="O304" s="2" t="b">
        <f>IF(Table1938[[#This Row],[Title]]="",TRUE,FALSE)</f>
        <v>0</v>
      </c>
      <c r="P304" s="2" t="b">
        <f>IF(Table1938[[#This Row],[Author]]="",TRUE,FALSE)</f>
        <v>0</v>
      </c>
      <c r="Q304" s="2" t="b">
        <f>IF(Table1938[[#This Row],[DOI]]&lt;&gt;"", FALSE,TRUE)</f>
        <v>0</v>
      </c>
      <c r="R304" s="2" t="b">
        <f>IF(Table1938[[#This Row],[Abstract]]="",TRUE,FALSE)</f>
        <v>0</v>
      </c>
      <c r="S304" s="2" t="b">
        <f>IF(OR(Table1938[[#This Row],[Document Type]]="book",Table1938[[#This Row],[Document Type]]="bookSection"),TRUE,FALSE)</f>
        <v>0</v>
      </c>
      <c r="T304" s="2" t="b">
        <f>NOT(IF(OR(Table1938[[#This Row],[Language]]&lt;&gt;"en",Table1938[[#This Row],[Language]]&lt;&gt;"EN",Table1938[[#This Row],[Language]]&lt;&gt;"spa",Table1938[[#This Row],[Language]]&lt;&gt;"SPA"),TRUE,FALSE))</f>
        <v>0</v>
      </c>
      <c r="U304" s="2" t="b">
        <f>IF(AND(Table1938[[#This Row],[EC-01]]=FALSE,Table1938[[#This Row],[EC-02]]=FALSE,Table1938[[#This Row],[EC-03]]=FALSE,Table1938[[#This Row],[EC-04]]=FALSE,Table1938[[#This Row],[EC-05]]=FALSE,Table1938[[#This Row],[EC-06]]=FALSE),TRUE,FALSE)</f>
        <v>1</v>
      </c>
      <c r="V304" s="2" t="b">
        <f>IF(Table1938[[#This Row],[Date]]&lt;&gt;"",AND(YEAR(Table1938[[#This Row],[Date]])&gt;=2010, YEAR(Table1938[[#This Row],[Date]])&lt;=2024),FALSE)</f>
        <v>1</v>
      </c>
      <c r="W304" s="2" t="b">
        <f>IF(Table1938[[#This Row],[Date]]&lt;&gt;"",AND(YEAR(Table1938[[#This Row],[Date]])&gt;=2010, YEAR(Table1938[[#This Row],[Date]])&lt;=2020),FALSE)</f>
        <v>0</v>
      </c>
      <c r="X304" s="2" t="b">
        <f>IF(AND(Table1938[[#This Row],[Accesible]]=TRUE,Table1938[[#This Row],[DOI]]&lt;&gt;""),TRUE,FALSE)</f>
        <v>1</v>
      </c>
      <c r="Y304" s="2" t="b">
        <f>OR(Table1938[[#This Row],[Document Type]]="journalArticle",Table1938[[#This Row],[Document Type]]="conferencePaper",Table1938[[#This Row],[Document Type]]="review")</f>
        <v>1</v>
      </c>
      <c r="Z304" s="2" t="b" cm="1">
        <f t="array" ref="Z304">SUMPRODUCT(--ISNUMBER(SEARCH({"dimensional analysis","dimensionless coefficients","Π","Pi","theorem","software","design","tools","development","architecture","similar"}, LOWER(Table1938[[#This Row],[Title]]))))&gt;0</f>
        <v>0</v>
      </c>
      <c r="AA304" s="2" t="b" cm="1">
        <f t="array" ref="AA304">SUMPRODUCT(--ISNUMBER(SEARCH({"dimensional analysis","dimensionless coefficients","Π","Pi","theorem","software","design","tools","development","architecture","similar"}, LOWER(Table1938[[#This Row],[Abstract]]))))&gt;0</f>
        <v>1</v>
      </c>
      <c r="AB304" s="2" t="b">
        <f>AND(OR(Table1938[[#This Row],[IC-01 @2024]:[IC-01 @2020]])=TRUE,Table1938[[#This Row],[IC-02]]=TRUE,Table1938[[#This Row],[IC-03]]=TRUE,Table1938[[#This Row],[IC-04]]=TRUE,Table1938[[#This Row],[IC-05]]=TRUE)</f>
        <v>0</v>
      </c>
      <c r="AC304" s="2" t="b">
        <f>AND(Table1938[[#This Row],[Pass-IC]]=TRUE,Table1938[[#This Row],[Pass-EC]]=TRUE)</f>
        <v>0</v>
      </c>
      <c r="AD304" s="2" t="b">
        <f>COUNTIF($D$25:D304, Table1938[[#This Row],[Title]]) = 1</f>
        <v>1</v>
      </c>
      <c r="AE304" s="2" t="b">
        <f>AND(Table1938[[#This Row],[IC + EC]:[Unique]])</f>
        <v>0</v>
      </c>
      <c r="AF304" s="2" t="b">
        <v>0</v>
      </c>
      <c r="AG304" s="2" t="b">
        <v>0</v>
      </c>
      <c r="AH304" s="2" t="b">
        <v>0</v>
      </c>
      <c r="AI304" s="2" t="b">
        <f>IF(AND(Table1938[[#This Row],[Double Check]]=TRUE,Table1938[[#This Row],[Inspected]]=TRUE,Table1938[[#This Row],[Relevant]]=TRUE),TRUE,FALSE)</f>
        <v>0</v>
      </c>
    </row>
    <row r="305" spans="1:35" ht="43" x14ac:dyDescent="0.5">
      <c r="A305" s="2">
        <v>304</v>
      </c>
      <c r="B305" s="20" t="s">
        <v>3</v>
      </c>
      <c r="C305" s="20" t="s">
        <v>3217</v>
      </c>
      <c r="D305" s="20" t="s">
        <v>1148</v>
      </c>
      <c r="E305" s="20" t="s">
        <v>1147</v>
      </c>
      <c r="F305" s="2" t="s">
        <v>1151</v>
      </c>
      <c r="G305" s="20" t="s">
        <v>1149</v>
      </c>
      <c r="H305" s="36">
        <v>43983</v>
      </c>
      <c r="I305" s="20">
        <v>2020</v>
      </c>
      <c r="J305" s="20" t="s">
        <v>61</v>
      </c>
      <c r="K305" s="20" t="s">
        <v>3218</v>
      </c>
      <c r="L305" s="20" t="s">
        <v>2515</v>
      </c>
      <c r="M305" s="20" t="s">
        <v>1150</v>
      </c>
      <c r="N305" s="20" t="b">
        <v>1</v>
      </c>
      <c r="O305" s="2" t="b">
        <f>IF(Table1938[[#This Row],[Title]]="",TRUE,FALSE)</f>
        <v>0</v>
      </c>
      <c r="P305" s="2" t="b">
        <f>IF(Table1938[[#This Row],[Author]]="",TRUE,FALSE)</f>
        <v>0</v>
      </c>
      <c r="Q305" s="2" t="b">
        <f>IF(Table1938[[#This Row],[DOI]]&lt;&gt;"", FALSE,TRUE)</f>
        <v>0</v>
      </c>
      <c r="R305" s="2" t="b">
        <f>IF(Table1938[[#This Row],[Abstract]]="",TRUE,FALSE)</f>
        <v>0</v>
      </c>
      <c r="S305" s="2" t="b">
        <f>IF(OR(Table1938[[#This Row],[Document Type]]="book",Table1938[[#This Row],[Document Type]]="bookSection"),TRUE,FALSE)</f>
        <v>0</v>
      </c>
      <c r="T305" s="2" t="b">
        <f>NOT(IF(OR(Table1938[[#This Row],[Language]]&lt;&gt;"en",Table1938[[#This Row],[Language]]&lt;&gt;"EN",Table1938[[#This Row],[Language]]&lt;&gt;"spa",Table1938[[#This Row],[Language]]&lt;&gt;"SPA"),TRUE,FALSE))</f>
        <v>0</v>
      </c>
      <c r="U305" s="2" t="b">
        <f>IF(AND(Table1938[[#This Row],[EC-01]]=FALSE,Table1938[[#This Row],[EC-02]]=FALSE,Table1938[[#This Row],[EC-03]]=FALSE,Table1938[[#This Row],[EC-04]]=FALSE,Table1938[[#This Row],[EC-05]]=FALSE,Table1938[[#This Row],[EC-06]]=FALSE),TRUE,FALSE)</f>
        <v>1</v>
      </c>
      <c r="V305" s="2" t="b">
        <f>IF(Table1938[[#This Row],[Date]]&lt;&gt;"",AND(YEAR(Table1938[[#This Row],[Date]])&gt;=2010, YEAR(Table1938[[#This Row],[Date]])&lt;=2024),FALSE)</f>
        <v>1</v>
      </c>
      <c r="W305" s="2" t="b">
        <f>IF(Table1938[[#This Row],[Date]]&lt;&gt;"",AND(YEAR(Table1938[[#This Row],[Date]])&gt;=2010, YEAR(Table1938[[#This Row],[Date]])&lt;=2020),FALSE)</f>
        <v>1</v>
      </c>
      <c r="X305" s="2" t="b">
        <f>IF(AND(Table1938[[#This Row],[Accesible]]=TRUE,Table1938[[#This Row],[DOI]]&lt;&gt;""),TRUE,FALSE)</f>
        <v>1</v>
      </c>
      <c r="Y305" s="2" t="b">
        <f>OR(Table1938[[#This Row],[Document Type]]="journalArticle",Table1938[[#This Row],[Document Type]]="conferencePaper",Table1938[[#This Row],[Document Type]]="review")</f>
        <v>1</v>
      </c>
      <c r="Z305" s="2" t="b" cm="1">
        <f t="array" ref="Z305">SUMPRODUCT(--ISNUMBER(SEARCH({"dimensional analysis","dimensionless coefficients","Π","Pi","theorem","software","design","tools","development","architecture","similar"}, LOWER(Table1938[[#This Row],[Title]]))))&gt;0</f>
        <v>1</v>
      </c>
      <c r="AA305" s="2" t="b" cm="1">
        <f t="array" ref="AA305">SUMPRODUCT(--ISNUMBER(SEARCH({"dimensional analysis","dimensionless coefficients","Π","Pi","theorem","software","design","tools","development","architecture","similar"}, LOWER(Table1938[[#This Row],[Abstract]]))))&gt;0</f>
        <v>1</v>
      </c>
      <c r="AB305" s="2" t="b">
        <f>AND(OR(Table1938[[#This Row],[IC-01 @2024]:[IC-01 @2020]])=TRUE,Table1938[[#This Row],[IC-02]]=TRUE,Table1938[[#This Row],[IC-03]]=TRUE,Table1938[[#This Row],[IC-04]]=TRUE,Table1938[[#This Row],[IC-05]]=TRUE)</f>
        <v>1</v>
      </c>
      <c r="AC305" s="2" t="b">
        <f>AND(Table1938[[#This Row],[Pass-IC]]=TRUE,Table1938[[#This Row],[Pass-EC]]=TRUE)</f>
        <v>1</v>
      </c>
      <c r="AD305" s="2" t="b">
        <f>COUNTIF($D$25:D305, Table1938[[#This Row],[Title]]) = 1</f>
        <v>1</v>
      </c>
      <c r="AE305" s="2" t="b">
        <f>AND(Table1938[[#This Row],[IC + EC]:[Unique]])</f>
        <v>1</v>
      </c>
      <c r="AF305" s="2" t="b">
        <v>1</v>
      </c>
      <c r="AG305" s="2" t="b">
        <v>0</v>
      </c>
      <c r="AH305" s="2" t="b">
        <v>0</v>
      </c>
      <c r="AI305" s="2" t="b">
        <f>IF(AND(Table1938[[#This Row],[Double Check]]=TRUE,Table1938[[#This Row],[Inspected]]=TRUE,Table1938[[#This Row],[Relevant]]=TRUE),TRUE,FALSE)</f>
        <v>0</v>
      </c>
    </row>
    <row r="306" spans="1:35" ht="57.35" x14ac:dyDescent="0.5">
      <c r="A306" s="2">
        <v>305</v>
      </c>
      <c r="B306" s="20" t="s">
        <v>3</v>
      </c>
      <c r="C306" s="20" t="s">
        <v>3219</v>
      </c>
      <c r="D306" s="20" t="s">
        <v>1784</v>
      </c>
      <c r="E306" s="20" t="s">
        <v>1783</v>
      </c>
      <c r="F306" s="2" t="s">
        <v>1786</v>
      </c>
      <c r="G306" s="20" t="s">
        <v>960</v>
      </c>
      <c r="H306" s="36">
        <v>44515</v>
      </c>
      <c r="I306" s="20">
        <v>2021</v>
      </c>
      <c r="J306" s="20" t="s">
        <v>61</v>
      </c>
      <c r="K306" s="20" t="s">
        <v>3220</v>
      </c>
      <c r="L306" s="20" t="s">
        <v>2515</v>
      </c>
      <c r="M306" s="20" t="s">
        <v>1785</v>
      </c>
      <c r="N306" s="20" t="b">
        <v>1</v>
      </c>
      <c r="O306" s="2" t="b">
        <f>IF(Table1938[[#This Row],[Title]]="",TRUE,FALSE)</f>
        <v>0</v>
      </c>
      <c r="P306" s="2" t="b">
        <f>IF(Table1938[[#This Row],[Author]]="",TRUE,FALSE)</f>
        <v>0</v>
      </c>
      <c r="Q306" s="2" t="b">
        <f>IF(Table1938[[#This Row],[DOI]]&lt;&gt;"", FALSE,TRUE)</f>
        <v>0</v>
      </c>
      <c r="R306" s="2" t="b">
        <f>IF(Table1938[[#This Row],[Abstract]]="",TRUE,FALSE)</f>
        <v>0</v>
      </c>
      <c r="S306" s="2" t="b">
        <f>IF(OR(Table1938[[#This Row],[Document Type]]="book",Table1938[[#This Row],[Document Type]]="bookSection"),TRUE,FALSE)</f>
        <v>0</v>
      </c>
      <c r="T306" s="2" t="b">
        <f>NOT(IF(OR(Table1938[[#This Row],[Language]]&lt;&gt;"en",Table1938[[#This Row],[Language]]&lt;&gt;"EN",Table1938[[#This Row],[Language]]&lt;&gt;"spa",Table1938[[#This Row],[Language]]&lt;&gt;"SPA"),TRUE,FALSE))</f>
        <v>0</v>
      </c>
      <c r="U306" s="2" t="b">
        <f>IF(AND(Table1938[[#This Row],[EC-01]]=FALSE,Table1938[[#This Row],[EC-02]]=FALSE,Table1938[[#This Row],[EC-03]]=FALSE,Table1938[[#This Row],[EC-04]]=FALSE,Table1938[[#This Row],[EC-05]]=FALSE,Table1938[[#This Row],[EC-06]]=FALSE),TRUE,FALSE)</f>
        <v>1</v>
      </c>
      <c r="V306" s="2" t="b">
        <f>IF(Table1938[[#This Row],[Date]]&lt;&gt;"",AND(YEAR(Table1938[[#This Row],[Date]])&gt;=2010, YEAR(Table1938[[#This Row],[Date]])&lt;=2024),FALSE)</f>
        <v>1</v>
      </c>
      <c r="W306" s="2" t="b">
        <f>IF(Table1938[[#This Row],[Date]]&lt;&gt;"",AND(YEAR(Table1938[[#This Row],[Date]])&gt;=2010, YEAR(Table1938[[#This Row],[Date]])&lt;=2020),FALSE)</f>
        <v>0</v>
      </c>
      <c r="X306" s="2" t="b">
        <f>IF(AND(Table1938[[#This Row],[Accesible]]=TRUE,Table1938[[#This Row],[DOI]]&lt;&gt;""),TRUE,FALSE)</f>
        <v>1</v>
      </c>
      <c r="Y306" s="2" t="b">
        <f>OR(Table1938[[#This Row],[Document Type]]="journalArticle",Table1938[[#This Row],[Document Type]]="conferencePaper",Table1938[[#This Row],[Document Type]]="review")</f>
        <v>1</v>
      </c>
      <c r="Z306" s="2" t="b" cm="1">
        <f t="array" ref="Z306">SUMPRODUCT(--ISNUMBER(SEARCH({"dimensional analysis","dimensionless coefficients","Π","Pi","theorem","software","design","tools","development","architecture","similar"}, LOWER(Table1938[[#This Row],[Title]]))))&gt;0</f>
        <v>0</v>
      </c>
      <c r="AA306" s="2" t="b" cm="1">
        <f t="array" ref="AA306">SUMPRODUCT(--ISNUMBER(SEARCH({"dimensional analysis","dimensionless coefficients","Π","Pi","theorem","software","design","tools","development","architecture","similar"}, LOWER(Table1938[[#This Row],[Abstract]]))))&gt;0</f>
        <v>0</v>
      </c>
      <c r="AB306" s="2" t="b">
        <f>AND(OR(Table1938[[#This Row],[IC-01 @2024]:[IC-01 @2020]])=TRUE,Table1938[[#This Row],[IC-02]]=TRUE,Table1938[[#This Row],[IC-03]]=TRUE,Table1938[[#This Row],[IC-04]]=TRUE,Table1938[[#This Row],[IC-05]]=TRUE)</f>
        <v>0</v>
      </c>
      <c r="AC306" s="2" t="b">
        <f>AND(Table1938[[#This Row],[Pass-IC]]=TRUE,Table1938[[#This Row],[Pass-EC]]=TRUE)</f>
        <v>0</v>
      </c>
      <c r="AD306" s="2" t="b">
        <f>COUNTIF($D$25:D306, Table1938[[#This Row],[Title]]) = 1</f>
        <v>1</v>
      </c>
      <c r="AE306" s="2" t="b">
        <f>AND(Table1938[[#This Row],[IC + EC]:[Unique]])</f>
        <v>0</v>
      </c>
      <c r="AF306" s="2" t="b">
        <v>0</v>
      </c>
      <c r="AG306" s="2" t="b">
        <v>0</v>
      </c>
      <c r="AH306" s="2" t="b">
        <v>0</v>
      </c>
      <c r="AI306" s="2" t="b">
        <f>IF(AND(Table1938[[#This Row],[Double Check]]=TRUE,Table1938[[#This Row],[Inspected]]=TRUE,Table1938[[#This Row],[Relevant]]=TRUE),TRUE,FALSE)</f>
        <v>0</v>
      </c>
    </row>
    <row r="307" spans="1:35" ht="57.35" x14ac:dyDescent="0.5">
      <c r="A307" s="2">
        <v>306</v>
      </c>
      <c r="B307" s="20" t="s">
        <v>3</v>
      </c>
      <c r="C307" s="20" t="s">
        <v>3221</v>
      </c>
      <c r="D307" s="20" t="s">
        <v>1056</v>
      </c>
      <c r="E307" s="20" t="s">
        <v>1055</v>
      </c>
      <c r="F307" s="2" t="s">
        <v>1058</v>
      </c>
      <c r="G307" s="20" t="s">
        <v>973</v>
      </c>
      <c r="H307" s="36">
        <v>44531</v>
      </c>
      <c r="I307" s="20">
        <v>2021</v>
      </c>
      <c r="J307" s="20" t="s">
        <v>61</v>
      </c>
      <c r="K307" s="20" t="s">
        <v>3222</v>
      </c>
      <c r="L307" s="20" t="s">
        <v>2515</v>
      </c>
      <c r="M307" s="20" t="s">
        <v>1057</v>
      </c>
      <c r="N307" s="20" t="b">
        <v>1</v>
      </c>
      <c r="O307" s="2" t="b">
        <f>IF(Table1938[[#This Row],[Title]]="",TRUE,FALSE)</f>
        <v>0</v>
      </c>
      <c r="P307" s="2" t="b">
        <f>IF(Table1938[[#This Row],[Author]]="",TRUE,FALSE)</f>
        <v>0</v>
      </c>
      <c r="Q307" s="2" t="b">
        <f>IF(Table1938[[#This Row],[DOI]]&lt;&gt;"", FALSE,TRUE)</f>
        <v>0</v>
      </c>
      <c r="R307" s="2" t="b">
        <f>IF(Table1938[[#This Row],[Abstract]]="",TRUE,FALSE)</f>
        <v>0</v>
      </c>
      <c r="S307" s="2" t="b">
        <f>IF(OR(Table1938[[#This Row],[Document Type]]="book",Table1938[[#This Row],[Document Type]]="bookSection"),TRUE,FALSE)</f>
        <v>0</v>
      </c>
      <c r="T307" s="2" t="b">
        <f>NOT(IF(OR(Table1938[[#This Row],[Language]]&lt;&gt;"en",Table1938[[#This Row],[Language]]&lt;&gt;"EN",Table1938[[#This Row],[Language]]&lt;&gt;"spa",Table1938[[#This Row],[Language]]&lt;&gt;"SPA"),TRUE,FALSE))</f>
        <v>0</v>
      </c>
      <c r="U307" s="2" t="b">
        <f>IF(AND(Table1938[[#This Row],[EC-01]]=FALSE,Table1938[[#This Row],[EC-02]]=FALSE,Table1938[[#This Row],[EC-03]]=FALSE,Table1938[[#This Row],[EC-04]]=FALSE,Table1938[[#This Row],[EC-05]]=FALSE,Table1938[[#This Row],[EC-06]]=FALSE),TRUE,FALSE)</f>
        <v>1</v>
      </c>
      <c r="V307" s="2" t="b">
        <f>IF(Table1938[[#This Row],[Date]]&lt;&gt;"",AND(YEAR(Table1938[[#This Row],[Date]])&gt;=2010, YEAR(Table1938[[#This Row],[Date]])&lt;=2024),FALSE)</f>
        <v>1</v>
      </c>
      <c r="W307" s="2" t="b">
        <f>IF(Table1938[[#This Row],[Date]]&lt;&gt;"",AND(YEAR(Table1938[[#This Row],[Date]])&gt;=2010, YEAR(Table1938[[#This Row],[Date]])&lt;=2020),FALSE)</f>
        <v>0</v>
      </c>
      <c r="X307" s="2" t="b">
        <f>IF(AND(Table1938[[#This Row],[Accesible]]=TRUE,Table1938[[#This Row],[DOI]]&lt;&gt;""),TRUE,FALSE)</f>
        <v>1</v>
      </c>
      <c r="Y307" s="2" t="b">
        <f>OR(Table1938[[#This Row],[Document Type]]="journalArticle",Table1938[[#This Row],[Document Type]]="conferencePaper",Table1938[[#This Row],[Document Type]]="review")</f>
        <v>1</v>
      </c>
      <c r="Z307" s="2" t="b" cm="1">
        <f t="array" ref="Z307">SUMPRODUCT(--ISNUMBER(SEARCH({"dimensional analysis","dimensionless coefficients","Π","Pi","theorem","software","design","tools","development","architecture","similar"}, LOWER(Table1938[[#This Row],[Title]]))))&gt;0</f>
        <v>1</v>
      </c>
      <c r="AA307" s="2" t="b" cm="1">
        <f t="array" ref="AA307">SUMPRODUCT(--ISNUMBER(SEARCH({"dimensional analysis","dimensionless coefficients","Π","Pi","theorem","software","design","tools","development","architecture","similar"}, LOWER(Table1938[[#This Row],[Abstract]]))))&gt;0</f>
        <v>1</v>
      </c>
      <c r="AB307" s="2" t="b">
        <f>AND(OR(Table1938[[#This Row],[IC-01 @2024]:[IC-01 @2020]])=TRUE,Table1938[[#This Row],[IC-02]]=TRUE,Table1938[[#This Row],[IC-03]]=TRUE,Table1938[[#This Row],[IC-04]]=TRUE,Table1938[[#This Row],[IC-05]]=TRUE)</f>
        <v>1</v>
      </c>
      <c r="AC307" s="2" t="b">
        <f>AND(Table1938[[#This Row],[Pass-IC]]=TRUE,Table1938[[#This Row],[Pass-EC]]=TRUE)</f>
        <v>1</v>
      </c>
      <c r="AD307" s="2" t="b">
        <f>COUNTIF($D$25:D307, Table1938[[#This Row],[Title]]) = 1</f>
        <v>1</v>
      </c>
      <c r="AE307" s="2" t="b">
        <f>AND(Table1938[[#This Row],[IC + EC]:[Unique]])</f>
        <v>1</v>
      </c>
      <c r="AF307" s="2" t="b">
        <v>1</v>
      </c>
      <c r="AG307" s="2" t="b">
        <v>0</v>
      </c>
      <c r="AH307" s="2" t="b">
        <v>0</v>
      </c>
      <c r="AI307" s="2" t="b">
        <f>IF(AND(Table1938[[#This Row],[Double Check]]=TRUE,Table1938[[#This Row],[Inspected]]=TRUE,Table1938[[#This Row],[Relevant]]=TRUE),TRUE,FALSE)</f>
        <v>0</v>
      </c>
    </row>
    <row r="308" spans="1:35" ht="43" x14ac:dyDescent="0.5">
      <c r="A308" s="2">
        <v>307</v>
      </c>
      <c r="B308" s="20" t="s">
        <v>3</v>
      </c>
      <c r="C308" s="20" t="s">
        <v>3223</v>
      </c>
      <c r="D308" s="20" t="s">
        <v>1652</v>
      </c>
      <c r="E308" s="20" t="s">
        <v>1651</v>
      </c>
      <c r="F308" s="2" t="s">
        <v>1655</v>
      </c>
      <c r="G308" s="20" t="s">
        <v>1653</v>
      </c>
      <c r="H308" s="36">
        <v>44713</v>
      </c>
      <c r="I308" s="20">
        <v>2022</v>
      </c>
      <c r="J308" s="20" t="s">
        <v>61</v>
      </c>
      <c r="K308" s="20" t="s">
        <v>3224</v>
      </c>
      <c r="L308" s="20" t="s">
        <v>2515</v>
      </c>
      <c r="M308" s="20" t="s">
        <v>1654</v>
      </c>
      <c r="N308" s="20" t="b">
        <v>1</v>
      </c>
      <c r="O308" s="2" t="b">
        <f>IF(Table1938[[#This Row],[Title]]="",TRUE,FALSE)</f>
        <v>0</v>
      </c>
      <c r="P308" s="2" t="b">
        <f>IF(Table1938[[#This Row],[Author]]="",TRUE,FALSE)</f>
        <v>0</v>
      </c>
      <c r="Q308" s="2" t="b">
        <f>IF(Table1938[[#This Row],[DOI]]&lt;&gt;"", FALSE,TRUE)</f>
        <v>0</v>
      </c>
      <c r="R308" s="2" t="b">
        <f>IF(Table1938[[#This Row],[Abstract]]="",TRUE,FALSE)</f>
        <v>0</v>
      </c>
      <c r="S308" s="2" t="b">
        <f>IF(OR(Table1938[[#This Row],[Document Type]]="book",Table1938[[#This Row],[Document Type]]="bookSection"),TRUE,FALSE)</f>
        <v>0</v>
      </c>
      <c r="T308" s="2" t="b">
        <f>NOT(IF(OR(Table1938[[#This Row],[Language]]&lt;&gt;"en",Table1938[[#This Row],[Language]]&lt;&gt;"EN",Table1938[[#This Row],[Language]]&lt;&gt;"spa",Table1938[[#This Row],[Language]]&lt;&gt;"SPA"),TRUE,FALSE))</f>
        <v>0</v>
      </c>
      <c r="U308" s="2" t="b">
        <f>IF(AND(Table1938[[#This Row],[EC-01]]=FALSE,Table1938[[#This Row],[EC-02]]=FALSE,Table1938[[#This Row],[EC-03]]=FALSE,Table1938[[#This Row],[EC-04]]=FALSE,Table1938[[#This Row],[EC-05]]=FALSE,Table1938[[#This Row],[EC-06]]=FALSE),TRUE,FALSE)</f>
        <v>1</v>
      </c>
      <c r="V308" s="2" t="b">
        <f>IF(Table1938[[#This Row],[Date]]&lt;&gt;"",AND(YEAR(Table1938[[#This Row],[Date]])&gt;=2010, YEAR(Table1938[[#This Row],[Date]])&lt;=2024),FALSE)</f>
        <v>1</v>
      </c>
      <c r="W308" s="2" t="b">
        <f>IF(Table1938[[#This Row],[Date]]&lt;&gt;"",AND(YEAR(Table1938[[#This Row],[Date]])&gt;=2010, YEAR(Table1938[[#This Row],[Date]])&lt;=2020),FALSE)</f>
        <v>0</v>
      </c>
      <c r="X308" s="2" t="b">
        <f>IF(AND(Table1938[[#This Row],[Accesible]]=TRUE,Table1938[[#This Row],[DOI]]&lt;&gt;""),TRUE,FALSE)</f>
        <v>1</v>
      </c>
      <c r="Y308" s="2" t="b">
        <f>OR(Table1938[[#This Row],[Document Type]]="journalArticle",Table1938[[#This Row],[Document Type]]="conferencePaper",Table1938[[#This Row],[Document Type]]="review")</f>
        <v>1</v>
      </c>
      <c r="Z308" s="2" t="b" cm="1">
        <f t="array" ref="Z308">SUMPRODUCT(--ISNUMBER(SEARCH({"dimensional analysis","dimensionless coefficients","Π","Pi","theorem","software","design","tools","development","architecture","similar"}, LOWER(Table1938[[#This Row],[Title]]))))&gt;0</f>
        <v>0</v>
      </c>
      <c r="AA308" s="2" t="b" cm="1">
        <f t="array" ref="AA308">SUMPRODUCT(--ISNUMBER(SEARCH({"dimensional analysis","dimensionless coefficients","Π","Pi","theorem","software","design","tools","development","architecture","similar"}, LOWER(Table1938[[#This Row],[Abstract]]))))&gt;0</f>
        <v>1</v>
      </c>
      <c r="AB308" s="2" t="b">
        <f>AND(OR(Table1938[[#This Row],[IC-01 @2024]:[IC-01 @2020]])=TRUE,Table1938[[#This Row],[IC-02]]=TRUE,Table1938[[#This Row],[IC-03]]=TRUE,Table1938[[#This Row],[IC-04]]=TRUE,Table1938[[#This Row],[IC-05]]=TRUE)</f>
        <v>0</v>
      </c>
      <c r="AC308" s="2" t="b">
        <f>AND(Table1938[[#This Row],[Pass-IC]]=TRUE,Table1938[[#This Row],[Pass-EC]]=TRUE)</f>
        <v>0</v>
      </c>
      <c r="AD308" s="2" t="b">
        <f>COUNTIF($D$25:D308, Table1938[[#This Row],[Title]]) = 1</f>
        <v>1</v>
      </c>
      <c r="AE308" s="2" t="b">
        <f>AND(Table1938[[#This Row],[IC + EC]:[Unique]])</f>
        <v>0</v>
      </c>
      <c r="AF308" s="2" t="b">
        <v>0</v>
      </c>
      <c r="AG308" s="2" t="b">
        <v>0</v>
      </c>
      <c r="AH308" s="2" t="b">
        <v>0</v>
      </c>
      <c r="AI308" s="2" t="b">
        <f>IF(AND(Table1938[[#This Row],[Double Check]]=TRUE,Table1938[[#This Row],[Inspected]]=TRUE,Table1938[[#This Row],[Relevant]]=TRUE),TRUE,FALSE)</f>
        <v>0</v>
      </c>
    </row>
    <row r="309" spans="1:35" ht="57.35" x14ac:dyDescent="0.5">
      <c r="A309" s="2">
        <v>308</v>
      </c>
      <c r="B309" s="20" t="s">
        <v>3</v>
      </c>
      <c r="C309" s="20" t="s">
        <v>3225</v>
      </c>
      <c r="D309" s="20" t="s">
        <v>2235</v>
      </c>
      <c r="E309" s="20" t="s">
        <v>2234</v>
      </c>
      <c r="F309" s="2" t="s">
        <v>2238</v>
      </c>
      <c r="G309" s="20" t="s">
        <v>2236</v>
      </c>
      <c r="H309" s="36">
        <v>40695</v>
      </c>
      <c r="I309" s="20">
        <v>2011</v>
      </c>
      <c r="J309" s="20" t="s">
        <v>61</v>
      </c>
      <c r="K309" s="20" t="s">
        <v>3226</v>
      </c>
      <c r="L309" s="20" t="s">
        <v>2515</v>
      </c>
      <c r="M309" s="20" t="s">
        <v>2237</v>
      </c>
      <c r="N309" s="20" t="b">
        <v>1</v>
      </c>
      <c r="O309" s="2" t="b">
        <f>IF(Table1938[[#This Row],[Title]]="",TRUE,FALSE)</f>
        <v>0</v>
      </c>
      <c r="P309" s="2" t="b">
        <f>IF(Table1938[[#This Row],[Author]]="",TRUE,FALSE)</f>
        <v>0</v>
      </c>
      <c r="Q309" s="2" t="b">
        <f>IF(Table1938[[#This Row],[DOI]]&lt;&gt;"", FALSE,TRUE)</f>
        <v>0</v>
      </c>
      <c r="R309" s="2" t="b">
        <f>IF(Table1938[[#This Row],[Abstract]]="",TRUE,FALSE)</f>
        <v>0</v>
      </c>
      <c r="S309" s="2" t="b">
        <f>IF(OR(Table1938[[#This Row],[Document Type]]="book",Table1938[[#This Row],[Document Type]]="bookSection"),TRUE,FALSE)</f>
        <v>0</v>
      </c>
      <c r="T309" s="2" t="b">
        <f>NOT(IF(OR(Table1938[[#This Row],[Language]]&lt;&gt;"en",Table1938[[#This Row],[Language]]&lt;&gt;"EN",Table1938[[#This Row],[Language]]&lt;&gt;"spa",Table1938[[#This Row],[Language]]&lt;&gt;"SPA"),TRUE,FALSE))</f>
        <v>0</v>
      </c>
      <c r="U309" s="2" t="b">
        <f>IF(AND(Table1938[[#This Row],[EC-01]]=FALSE,Table1938[[#This Row],[EC-02]]=FALSE,Table1938[[#This Row],[EC-03]]=FALSE,Table1938[[#This Row],[EC-04]]=FALSE,Table1938[[#This Row],[EC-05]]=FALSE,Table1938[[#This Row],[EC-06]]=FALSE),TRUE,FALSE)</f>
        <v>1</v>
      </c>
      <c r="V309" s="2" t="b">
        <f>IF(Table1938[[#This Row],[Date]]&lt;&gt;"",AND(YEAR(Table1938[[#This Row],[Date]])&gt;=2010, YEAR(Table1938[[#This Row],[Date]])&lt;=2024),FALSE)</f>
        <v>1</v>
      </c>
      <c r="W309" s="2" t="b">
        <f>IF(Table1938[[#This Row],[Date]]&lt;&gt;"",AND(YEAR(Table1938[[#This Row],[Date]])&gt;=2010, YEAR(Table1938[[#This Row],[Date]])&lt;=2020),FALSE)</f>
        <v>1</v>
      </c>
      <c r="X309" s="2" t="b">
        <f>IF(AND(Table1938[[#This Row],[Accesible]]=TRUE,Table1938[[#This Row],[DOI]]&lt;&gt;""),TRUE,FALSE)</f>
        <v>1</v>
      </c>
      <c r="Y309" s="2" t="b">
        <f>OR(Table1938[[#This Row],[Document Type]]="journalArticle",Table1938[[#This Row],[Document Type]]="conferencePaper",Table1938[[#This Row],[Document Type]]="review")</f>
        <v>1</v>
      </c>
      <c r="Z309" s="2" t="b" cm="1">
        <f t="array" ref="Z309">SUMPRODUCT(--ISNUMBER(SEARCH({"dimensional analysis","dimensionless coefficients","Π","Pi","theorem","software","design","tools","development","architecture","similar"}, LOWER(Table1938[[#This Row],[Title]]))))&gt;0</f>
        <v>0</v>
      </c>
      <c r="AA309" s="2" t="b" cm="1">
        <f t="array" ref="AA309">SUMPRODUCT(--ISNUMBER(SEARCH({"dimensional analysis","dimensionless coefficients","Π","Pi","theorem","software","design","tools","development","architecture","similar"}, LOWER(Table1938[[#This Row],[Abstract]]))))&gt;0</f>
        <v>1</v>
      </c>
      <c r="AB309" s="2" t="b">
        <f>AND(OR(Table1938[[#This Row],[IC-01 @2024]:[IC-01 @2020]])=TRUE,Table1938[[#This Row],[IC-02]]=TRUE,Table1938[[#This Row],[IC-03]]=TRUE,Table1938[[#This Row],[IC-04]]=TRUE,Table1938[[#This Row],[IC-05]]=TRUE)</f>
        <v>0</v>
      </c>
      <c r="AC309" s="2" t="b">
        <f>AND(Table1938[[#This Row],[Pass-IC]]=TRUE,Table1938[[#This Row],[Pass-EC]]=TRUE)</f>
        <v>0</v>
      </c>
      <c r="AD309" s="2" t="b">
        <f>COUNTIF($D$25:D309, Table1938[[#This Row],[Title]]) = 1</f>
        <v>1</v>
      </c>
      <c r="AE309" s="2" t="b">
        <f>AND(Table1938[[#This Row],[IC + EC]:[Unique]])</f>
        <v>0</v>
      </c>
      <c r="AF309" s="2" t="b">
        <v>0</v>
      </c>
      <c r="AG309" s="2" t="b">
        <v>0</v>
      </c>
      <c r="AH309" s="2" t="b">
        <v>0</v>
      </c>
      <c r="AI309" s="2" t="b">
        <f>IF(AND(Table1938[[#This Row],[Double Check]]=TRUE,Table1938[[#This Row],[Inspected]]=TRUE,Table1938[[#This Row],[Relevant]]=TRUE),TRUE,FALSE)</f>
        <v>0</v>
      </c>
    </row>
    <row r="310" spans="1:35" ht="57.35" x14ac:dyDescent="0.5">
      <c r="A310" s="2">
        <v>309</v>
      </c>
      <c r="B310" s="20" t="s">
        <v>3</v>
      </c>
      <c r="C310" s="20" t="s">
        <v>3227</v>
      </c>
      <c r="D310" s="20" t="s">
        <v>2134</v>
      </c>
      <c r="E310" s="20" t="s">
        <v>2133</v>
      </c>
      <c r="F310" s="2" t="s">
        <v>2137</v>
      </c>
      <c r="G310" s="20" t="s">
        <v>2135</v>
      </c>
      <c r="H310" s="36">
        <v>40210</v>
      </c>
      <c r="I310" s="20">
        <v>2010</v>
      </c>
      <c r="J310" s="20" t="s">
        <v>61</v>
      </c>
      <c r="K310" s="20" t="s">
        <v>3228</v>
      </c>
      <c r="L310" s="20" t="s">
        <v>2515</v>
      </c>
      <c r="M310" s="20" t="s">
        <v>2136</v>
      </c>
      <c r="N310" s="20" t="b">
        <v>1</v>
      </c>
      <c r="O310" s="2" t="b">
        <f>IF(Table1938[[#This Row],[Title]]="",TRUE,FALSE)</f>
        <v>0</v>
      </c>
      <c r="P310" s="2" t="b">
        <f>IF(Table1938[[#This Row],[Author]]="",TRUE,FALSE)</f>
        <v>0</v>
      </c>
      <c r="Q310" s="2" t="b">
        <f>IF(Table1938[[#This Row],[DOI]]&lt;&gt;"", FALSE,TRUE)</f>
        <v>0</v>
      </c>
      <c r="R310" s="2" t="b">
        <f>IF(Table1938[[#This Row],[Abstract]]="",TRUE,FALSE)</f>
        <v>0</v>
      </c>
      <c r="S310" s="2" t="b">
        <f>IF(OR(Table1938[[#This Row],[Document Type]]="book",Table1938[[#This Row],[Document Type]]="bookSection"),TRUE,FALSE)</f>
        <v>0</v>
      </c>
      <c r="T310" s="2" t="b">
        <f>NOT(IF(OR(Table1938[[#This Row],[Language]]&lt;&gt;"en",Table1938[[#This Row],[Language]]&lt;&gt;"EN",Table1938[[#This Row],[Language]]&lt;&gt;"spa",Table1938[[#This Row],[Language]]&lt;&gt;"SPA"),TRUE,FALSE))</f>
        <v>0</v>
      </c>
      <c r="U310" s="2" t="b">
        <f>IF(AND(Table1938[[#This Row],[EC-01]]=FALSE,Table1938[[#This Row],[EC-02]]=FALSE,Table1938[[#This Row],[EC-03]]=FALSE,Table1938[[#This Row],[EC-04]]=FALSE,Table1938[[#This Row],[EC-05]]=FALSE,Table1938[[#This Row],[EC-06]]=FALSE),TRUE,FALSE)</f>
        <v>1</v>
      </c>
      <c r="V310" s="2" t="b">
        <f>IF(Table1938[[#This Row],[Date]]&lt;&gt;"",AND(YEAR(Table1938[[#This Row],[Date]])&gt;=2010, YEAR(Table1938[[#This Row],[Date]])&lt;=2024),FALSE)</f>
        <v>1</v>
      </c>
      <c r="W310" s="2" t="b">
        <f>IF(Table1938[[#This Row],[Date]]&lt;&gt;"",AND(YEAR(Table1938[[#This Row],[Date]])&gt;=2010, YEAR(Table1938[[#This Row],[Date]])&lt;=2020),FALSE)</f>
        <v>1</v>
      </c>
      <c r="X310" s="2" t="b">
        <f>IF(AND(Table1938[[#This Row],[Accesible]]=TRUE,Table1938[[#This Row],[DOI]]&lt;&gt;""),TRUE,FALSE)</f>
        <v>1</v>
      </c>
      <c r="Y310" s="2" t="b">
        <f>OR(Table1938[[#This Row],[Document Type]]="journalArticle",Table1938[[#This Row],[Document Type]]="conferencePaper",Table1938[[#This Row],[Document Type]]="review")</f>
        <v>1</v>
      </c>
      <c r="Z310" s="2" t="b" cm="1">
        <f t="array" ref="Z310">SUMPRODUCT(--ISNUMBER(SEARCH({"dimensional analysis","dimensionless coefficients","Π","Pi","theorem","software","design","tools","development","architecture","similar"}, LOWER(Table1938[[#This Row],[Title]]))))&gt;0</f>
        <v>0</v>
      </c>
      <c r="AA310" s="2" t="b" cm="1">
        <f t="array" ref="AA310">SUMPRODUCT(--ISNUMBER(SEARCH({"dimensional analysis","dimensionless coefficients","Π","Pi","theorem","software","design","tools","development","architecture","similar"}, LOWER(Table1938[[#This Row],[Abstract]]))))&gt;0</f>
        <v>1</v>
      </c>
      <c r="AB310" s="2" t="b">
        <f>AND(OR(Table1938[[#This Row],[IC-01 @2024]:[IC-01 @2020]])=TRUE,Table1938[[#This Row],[IC-02]]=TRUE,Table1938[[#This Row],[IC-03]]=TRUE,Table1938[[#This Row],[IC-04]]=TRUE,Table1938[[#This Row],[IC-05]]=TRUE)</f>
        <v>0</v>
      </c>
      <c r="AC310" s="2" t="b">
        <f>AND(Table1938[[#This Row],[Pass-IC]]=TRUE,Table1938[[#This Row],[Pass-EC]]=TRUE)</f>
        <v>0</v>
      </c>
      <c r="AD310" s="2" t="b">
        <f>COUNTIF($D$25:D310, Table1938[[#This Row],[Title]]) = 1</f>
        <v>1</v>
      </c>
      <c r="AE310" s="2" t="b">
        <f>AND(Table1938[[#This Row],[IC + EC]:[Unique]])</f>
        <v>0</v>
      </c>
      <c r="AF310" s="2" t="b">
        <v>0</v>
      </c>
      <c r="AG310" s="2" t="b">
        <v>0</v>
      </c>
      <c r="AH310" s="2" t="b">
        <v>0</v>
      </c>
      <c r="AI310" s="2" t="b">
        <f>IF(AND(Table1938[[#This Row],[Double Check]]=TRUE,Table1938[[#This Row],[Inspected]]=TRUE,Table1938[[#This Row],[Relevant]]=TRUE),TRUE,FALSE)</f>
        <v>0</v>
      </c>
    </row>
    <row r="311" spans="1:35" ht="43" x14ac:dyDescent="0.5">
      <c r="A311" s="2">
        <v>310</v>
      </c>
      <c r="B311" s="20" t="s">
        <v>3</v>
      </c>
      <c r="C311" s="20" t="s">
        <v>3229</v>
      </c>
      <c r="D311" s="20" t="s">
        <v>1377</v>
      </c>
      <c r="E311" s="20" t="s">
        <v>1376</v>
      </c>
      <c r="F311" s="2" t="s">
        <v>1379</v>
      </c>
      <c r="G311" s="20" t="s">
        <v>938</v>
      </c>
      <c r="H311" s="36">
        <v>45627</v>
      </c>
      <c r="I311" s="20">
        <v>2024</v>
      </c>
      <c r="J311" s="20" t="s">
        <v>61</v>
      </c>
      <c r="K311" s="20" t="s">
        <v>3230</v>
      </c>
      <c r="L311" s="20" t="s">
        <v>2515</v>
      </c>
      <c r="M311" s="20" t="s">
        <v>1378</v>
      </c>
      <c r="N311" s="20" t="b">
        <v>1</v>
      </c>
      <c r="O311" s="2" t="b">
        <f>IF(Table1938[[#This Row],[Title]]="",TRUE,FALSE)</f>
        <v>0</v>
      </c>
      <c r="P311" s="2" t="b">
        <f>IF(Table1938[[#This Row],[Author]]="",TRUE,FALSE)</f>
        <v>0</v>
      </c>
      <c r="Q311" s="2" t="b">
        <f>IF(Table1938[[#This Row],[DOI]]&lt;&gt;"", FALSE,TRUE)</f>
        <v>0</v>
      </c>
      <c r="R311" s="2" t="b">
        <f>IF(Table1938[[#This Row],[Abstract]]="",TRUE,FALSE)</f>
        <v>0</v>
      </c>
      <c r="S311" s="2" t="b">
        <f>IF(OR(Table1938[[#This Row],[Document Type]]="book",Table1938[[#This Row],[Document Type]]="bookSection"),TRUE,FALSE)</f>
        <v>0</v>
      </c>
      <c r="T311" s="2" t="b">
        <f>NOT(IF(OR(Table1938[[#This Row],[Language]]&lt;&gt;"en",Table1938[[#This Row],[Language]]&lt;&gt;"EN",Table1938[[#This Row],[Language]]&lt;&gt;"spa",Table1938[[#This Row],[Language]]&lt;&gt;"SPA"),TRUE,FALSE))</f>
        <v>0</v>
      </c>
      <c r="U311" s="2" t="b">
        <f>IF(AND(Table1938[[#This Row],[EC-01]]=FALSE,Table1938[[#This Row],[EC-02]]=FALSE,Table1938[[#This Row],[EC-03]]=FALSE,Table1938[[#This Row],[EC-04]]=FALSE,Table1938[[#This Row],[EC-05]]=FALSE,Table1938[[#This Row],[EC-06]]=FALSE),TRUE,FALSE)</f>
        <v>1</v>
      </c>
      <c r="V311" s="2" t="b">
        <f>IF(Table1938[[#This Row],[Date]]&lt;&gt;"",AND(YEAR(Table1938[[#This Row],[Date]])&gt;=2010, YEAR(Table1938[[#This Row],[Date]])&lt;=2024),FALSE)</f>
        <v>1</v>
      </c>
      <c r="W311" s="2" t="b">
        <f>IF(Table1938[[#This Row],[Date]]&lt;&gt;"",AND(YEAR(Table1938[[#This Row],[Date]])&gt;=2010, YEAR(Table1938[[#This Row],[Date]])&lt;=2020),FALSE)</f>
        <v>0</v>
      </c>
      <c r="X311" s="2" t="b">
        <f>IF(AND(Table1938[[#This Row],[Accesible]]=TRUE,Table1938[[#This Row],[DOI]]&lt;&gt;""),TRUE,FALSE)</f>
        <v>1</v>
      </c>
      <c r="Y311" s="2" t="b">
        <f>OR(Table1938[[#This Row],[Document Type]]="journalArticle",Table1938[[#This Row],[Document Type]]="conferencePaper",Table1938[[#This Row],[Document Type]]="review")</f>
        <v>1</v>
      </c>
      <c r="Z311" s="2" t="b" cm="1">
        <f t="array" ref="Z311">SUMPRODUCT(--ISNUMBER(SEARCH({"dimensional analysis","dimensionless coefficients","Π","Pi","theorem","software","design","tools","development","architecture","similar"}, LOWER(Table1938[[#This Row],[Title]]))))&gt;0</f>
        <v>0</v>
      </c>
      <c r="AA311" s="2" t="b" cm="1">
        <f t="array" ref="AA311">SUMPRODUCT(--ISNUMBER(SEARCH({"dimensional analysis","dimensionless coefficients","Π","Pi","theorem","software","design","tools","development","architecture","similar"}, LOWER(Table1938[[#This Row],[Abstract]]))))&gt;0</f>
        <v>1</v>
      </c>
      <c r="AB311" s="2" t="b">
        <f>AND(OR(Table1938[[#This Row],[IC-01 @2024]:[IC-01 @2020]])=TRUE,Table1938[[#This Row],[IC-02]]=TRUE,Table1938[[#This Row],[IC-03]]=TRUE,Table1938[[#This Row],[IC-04]]=TRUE,Table1938[[#This Row],[IC-05]]=TRUE)</f>
        <v>0</v>
      </c>
      <c r="AC311" s="2" t="b">
        <f>AND(Table1938[[#This Row],[Pass-IC]]=TRUE,Table1938[[#This Row],[Pass-EC]]=TRUE)</f>
        <v>0</v>
      </c>
      <c r="AD311" s="2" t="b">
        <f>COUNTIF($D$25:D311, Table1938[[#This Row],[Title]]) = 1</f>
        <v>1</v>
      </c>
      <c r="AE311" s="2" t="b">
        <f>AND(Table1938[[#This Row],[IC + EC]:[Unique]])</f>
        <v>0</v>
      </c>
      <c r="AF311" s="2" t="b">
        <v>0</v>
      </c>
      <c r="AG311" s="2" t="b">
        <v>0</v>
      </c>
      <c r="AH311" s="2" t="b">
        <v>0</v>
      </c>
      <c r="AI311" s="2" t="b">
        <f>IF(AND(Table1938[[#This Row],[Double Check]]=TRUE,Table1938[[#This Row],[Inspected]]=TRUE,Table1938[[#This Row],[Relevant]]=TRUE),TRUE,FALSE)</f>
        <v>0</v>
      </c>
    </row>
    <row r="312" spans="1:35" ht="57.35" x14ac:dyDescent="0.5">
      <c r="A312" s="2">
        <v>311</v>
      </c>
      <c r="B312" s="20" t="s">
        <v>3</v>
      </c>
      <c r="C312" s="20" t="s">
        <v>3231</v>
      </c>
      <c r="D312" s="20" t="s">
        <v>1068</v>
      </c>
      <c r="E312" s="20" t="s">
        <v>1067</v>
      </c>
      <c r="F312" s="2" t="s">
        <v>1071</v>
      </c>
      <c r="G312" s="20" t="s">
        <v>1069</v>
      </c>
      <c r="H312" s="36">
        <v>44927</v>
      </c>
      <c r="I312" s="20">
        <v>2023</v>
      </c>
      <c r="J312" s="20" t="s">
        <v>61</v>
      </c>
      <c r="K312" s="20" t="s">
        <v>3232</v>
      </c>
      <c r="L312" s="20" t="s">
        <v>2515</v>
      </c>
      <c r="M312" s="20" t="s">
        <v>1070</v>
      </c>
      <c r="N312" s="20" t="b">
        <v>1</v>
      </c>
      <c r="O312" s="2" t="b">
        <f>IF(Table1938[[#This Row],[Title]]="",TRUE,FALSE)</f>
        <v>0</v>
      </c>
      <c r="P312" s="2" t="b">
        <f>IF(Table1938[[#This Row],[Author]]="",TRUE,FALSE)</f>
        <v>0</v>
      </c>
      <c r="Q312" s="2" t="b">
        <f>IF(Table1938[[#This Row],[DOI]]&lt;&gt;"", FALSE,TRUE)</f>
        <v>0</v>
      </c>
      <c r="R312" s="2" t="b">
        <f>IF(Table1938[[#This Row],[Abstract]]="",TRUE,FALSE)</f>
        <v>0</v>
      </c>
      <c r="S312" s="2" t="b">
        <f>IF(OR(Table1938[[#This Row],[Document Type]]="book",Table1938[[#This Row],[Document Type]]="bookSection"),TRUE,FALSE)</f>
        <v>0</v>
      </c>
      <c r="T312" s="2" t="b">
        <f>NOT(IF(OR(Table1938[[#This Row],[Language]]&lt;&gt;"en",Table1938[[#This Row],[Language]]&lt;&gt;"EN",Table1938[[#This Row],[Language]]&lt;&gt;"spa",Table1938[[#This Row],[Language]]&lt;&gt;"SPA"),TRUE,FALSE))</f>
        <v>0</v>
      </c>
      <c r="U312" s="2" t="b">
        <f>IF(AND(Table1938[[#This Row],[EC-01]]=FALSE,Table1938[[#This Row],[EC-02]]=FALSE,Table1938[[#This Row],[EC-03]]=FALSE,Table1938[[#This Row],[EC-04]]=FALSE,Table1938[[#This Row],[EC-05]]=FALSE,Table1938[[#This Row],[EC-06]]=FALSE),TRUE,FALSE)</f>
        <v>1</v>
      </c>
      <c r="V312" s="2" t="b">
        <f>IF(Table1938[[#This Row],[Date]]&lt;&gt;"",AND(YEAR(Table1938[[#This Row],[Date]])&gt;=2010, YEAR(Table1938[[#This Row],[Date]])&lt;=2024),FALSE)</f>
        <v>1</v>
      </c>
      <c r="W312" s="2" t="b">
        <f>IF(Table1938[[#This Row],[Date]]&lt;&gt;"",AND(YEAR(Table1938[[#This Row],[Date]])&gt;=2010, YEAR(Table1938[[#This Row],[Date]])&lt;=2020),FALSE)</f>
        <v>0</v>
      </c>
      <c r="X312" s="2" t="b">
        <f>IF(AND(Table1938[[#This Row],[Accesible]]=TRUE,Table1938[[#This Row],[DOI]]&lt;&gt;""),TRUE,FALSE)</f>
        <v>1</v>
      </c>
      <c r="Y312" s="2" t="b">
        <f>OR(Table1938[[#This Row],[Document Type]]="journalArticle",Table1938[[#This Row],[Document Type]]="conferencePaper",Table1938[[#This Row],[Document Type]]="review")</f>
        <v>1</v>
      </c>
      <c r="Z312" s="2" t="b" cm="1">
        <f t="array" ref="Z312">SUMPRODUCT(--ISNUMBER(SEARCH({"dimensional analysis","dimensionless coefficients","Π","Pi","theorem","software","design","tools","development","architecture","similar"}, LOWER(Table1938[[#This Row],[Title]]))))&gt;0</f>
        <v>0</v>
      </c>
      <c r="AA312" s="2" t="b" cm="1">
        <f t="array" ref="AA312">SUMPRODUCT(--ISNUMBER(SEARCH({"dimensional analysis","dimensionless coefficients","Π","Pi","theorem","software","design","tools","development","architecture","similar"}, LOWER(Table1938[[#This Row],[Abstract]]))))&gt;0</f>
        <v>1</v>
      </c>
      <c r="AB312" s="2" t="b">
        <f>AND(OR(Table1938[[#This Row],[IC-01 @2024]:[IC-01 @2020]])=TRUE,Table1938[[#This Row],[IC-02]]=TRUE,Table1938[[#This Row],[IC-03]]=TRUE,Table1938[[#This Row],[IC-04]]=TRUE,Table1938[[#This Row],[IC-05]]=TRUE)</f>
        <v>0</v>
      </c>
      <c r="AC312" s="2" t="b">
        <f>AND(Table1938[[#This Row],[Pass-IC]]=TRUE,Table1938[[#This Row],[Pass-EC]]=TRUE)</f>
        <v>0</v>
      </c>
      <c r="AD312" s="2" t="b">
        <f>COUNTIF($D$25:D312, Table1938[[#This Row],[Title]]) = 1</f>
        <v>1</v>
      </c>
      <c r="AE312" s="2" t="b">
        <f>AND(Table1938[[#This Row],[IC + EC]:[Unique]])</f>
        <v>0</v>
      </c>
      <c r="AF312" s="2" t="b">
        <v>0</v>
      </c>
      <c r="AG312" s="2" t="b">
        <v>0</v>
      </c>
      <c r="AH312" s="2" t="b">
        <v>0</v>
      </c>
      <c r="AI312" s="2" t="b">
        <f>IF(AND(Table1938[[#This Row],[Double Check]]=TRUE,Table1938[[#This Row],[Inspected]]=TRUE,Table1938[[#This Row],[Relevant]]=TRUE),TRUE,FALSE)</f>
        <v>0</v>
      </c>
    </row>
    <row r="313" spans="1:35" ht="43" x14ac:dyDescent="0.5">
      <c r="A313" s="2">
        <v>312</v>
      </c>
      <c r="B313" s="20" t="s">
        <v>3</v>
      </c>
      <c r="C313" s="20" t="s">
        <v>3233</v>
      </c>
      <c r="D313" s="20" t="s">
        <v>1095</v>
      </c>
      <c r="E313" s="20" t="s">
        <v>1094</v>
      </c>
      <c r="F313" s="2" t="s">
        <v>1097</v>
      </c>
      <c r="G313" s="20" t="s">
        <v>942</v>
      </c>
      <c r="H313" s="36">
        <v>44995</v>
      </c>
      <c r="I313" s="20">
        <v>2023</v>
      </c>
      <c r="J313" s="20" t="s">
        <v>61</v>
      </c>
      <c r="K313" s="20" t="s">
        <v>3234</v>
      </c>
      <c r="L313" s="20" t="s">
        <v>2515</v>
      </c>
      <c r="M313" s="20" t="s">
        <v>1096</v>
      </c>
      <c r="N313" s="20" t="b">
        <v>1</v>
      </c>
      <c r="O313" s="2" t="b">
        <f>IF(Table1938[[#This Row],[Title]]="",TRUE,FALSE)</f>
        <v>0</v>
      </c>
      <c r="P313" s="2" t="b">
        <f>IF(Table1938[[#This Row],[Author]]="",TRUE,FALSE)</f>
        <v>0</v>
      </c>
      <c r="Q313" s="2" t="b">
        <f>IF(Table1938[[#This Row],[DOI]]&lt;&gt;"", FALSE,TRUE)</f>
        <v>0</v>
      </c>
      <c r="R313" s="2" t="b">
        <f>IF(Table1938[[#This Row],[Abstract]]="",TRUE,FALSE)</f>
        <v>0</v>
      </c>
      <c r="S313" s="2" t="b">
        <f>IF(OR(Table1938[[#This Row],[Document Type]]="book",Table1938[[#This Row],[Document Type]]="bookSection"),TRUE,FALSE)</f>
        <v>0</v>
      </c>
      <c r="T313" s="2" t="b">
        <f>NOT(IF(OR(Table1938[[#This Row],[Language]]&lt;&gt;"en",Table1938[[#This Row],[Language]]&lt;&gt;"EN",Table1938[[#This Row],[Language]]&lt;&gt;"spa",Table1938[[#This Row],[Language]]&lt;&gt;"SPA"),TRUE,FALSE))</f>
        <v>0</v>
      </c>
      <c r="U313" s="2" t="b">
        <f>IF(AND(Table1938[[#This Row],[EC-01]]=FALSE,Table1938[[#This Row],[EC-02]]=FALSE,Table1938[[#This Row],[EC-03]]=FALSE,Table1938[[#This Row],[EC-04]]=FALSE,Table1938[[#This Row],[EC-05]]=FALSE,Table1938[[#This Row],[EC-06]]=FALSE),TRUE,FALSE)</f>
        <v>1</v>
      </c>
      <c r="V313" s="2" t="b">
        <f>IF(Table1938[[#This Row],[Date]]&lt;&gt;"",AND(YEAR(Table1938[[#This Row],[Date]])&gt;=2010, YEAR(Table1938[[#This Row],[Date]])&lt;=2024),FALSE)</f>
        <v>1</v>
      </c>
      <c r="W313" s="2" t="b">
        <f>IF(Table1938[[#This Row],[Date]]&lt;&gt;"",AND(YEAR(Table1938[[#This Row],[Date]])&gt;=2010, YEAR(Table1938[[#This Row],[Date]])&lt;=2020),FALSE)</f>
        <v>0</v>
      </c>
      <c r="X313" s="2" t="b">
        <f>IF(AND(Table1938[[#This Row],[Accesible]]=TRUE,Table1938[[#This Row],[DOI]]&lt;&gt;""),TRUE,FALSE)</f>
        <v>1</v>
      </c>
      <c r="Y313" s="2" t="b">
        <f>OR(Table1938[[#This Row],[Document Type]]="journalArticle",Table1938[[#This Row],[Document Type]]="conferencePaper",Table1938[[#This Row],[Document Type]]="review")</f>
        <v>1</v>
      </c>
      <c r="Z313" s="2" t="b" cm="1">
        <f t="array" ref="Z313">SUMPRODUCT(--ISNUMBER(SEARCH({"dimensional analysis","dimensionless coefficients","Π","Pi","theorem","software","design","tools","development","architecture","similar"}, LOWER(Table1938[[#This Row],[Title]]))))&gt;0</f>
        <v>1</v>
      </c>
      <c r="AA313" s="2" t="b" cm="1">
        <f t="array" ref="AA313">SUMPRODUCT(--ISNUMBER(SEARCH({"dimensional analysis","dimensionless coefficients","Π","Pi","theorem","software","design","tools","development","architecture","similar"}, LOWER(Table1938[[#This Row],[Abstract]]))))&gt;0</f>
        <v>1</v>
      </c>
      <c r="AB313" s="2" t="b">
        <f>AND(OR(Table1938[[#This Row],[IC-01 @2024]:[IC-01 @2020]])=TRUE,Table1938[[#This Row],[IC-02]]=TRUE,Table1938[[#This Row],[IC-03]]=TRUE,Table1938[[#This Row],[IC-04]]=TRUE,Table1938[[#This Row],[IC-05]]=TRUE)</f>
        <v>1</v>
      </c>
      <c r="AC313" s="2" t="b">
        <f>AND(Table1938[[#This Row],[Pass-IC]]=TRUE,Table1938[[#This Row],[Pass-EC]]=TRUE)</f>
        <v>1</v>
      </c>
      <c r="AD313" s="2" t="b">
        <f>COUNTIF($D$25:D313, Table1938[[#This Row],[Title]]) = 1</f>
        <v>1</v>
      </c>
      <c r="AE313" s="2" t="b">
        <f>AND(Table1938[[#This Row],[IC + EC]:[Unique]])</f>
        <v>1</v>
      </c>
      <c r="AF313" s="2" t="b">
        <v>1</v>
      </c>
      <c r="AG313" s="2" t="b">
        <v>0</v>
      </c>
      <c r="AH313" s="2" t="b">
        <v>0</v>
      </c>
      <c r="AI313" s="2" t="b">
        <f>IF(AND(Table1938[[#This Row],[Double Check]]=TRUE,Table1938[[#This Row],[Inspected]]=TRUE,Table1938[[#This Row],[Relevant]]=TRUE),TRUE,FALSE)</f>
        <v>0</v>
      </c>
    </row>
    <row r="314" spans="1:35" ht="57.35" x14ac:dyDescent="0.5">
      <c r="A314" s="2">
        <v>313</v>
      </c>
      <c r="B314" s="20" t="s">
        <v>3</v>
      </c>
      <c r="C314" s="20" t="s">
        <v>3235</v>
      </c>
      <c r="D314" s="20" t="s">
        <v>1138</v>
      </c>
      <c r="E314" s="20" t="s">
        <v>1137</v>
      </c>
      <c r="F314" s="2" t="s">
        <v>1141</v>
      </c>
      <c r="G314" s="20" t="s">
        <v>1139</v>
      </c>
      <c r="H314" s="36">
        <v>43922</v>
      </c>
      <c r="I314" s="20">
        <v>2020</v>
      </c>
      <c r="J314" s="20" t="s">
        <v>61</v>
      </c>
      <c r="K314" s="20" t="s">
        <v>3236</v>
      </c>
      <c r="L314" s="20" t="s">
        <v>2515</v>
      </c>
      <c r="M314" s="20" t="s">
        <v>1140</v>
      </c>
      <c r="N314" s="20" t="b">
        <v>1</v>
      </c>
      <c r="O314" s="2" t="b">
        <f>IF(Table1938[[#This Row],[Title]]="",TRUE,FALSE)</f>
        <v>0</v>
      </c>
      <c r="P314" s="2" t="b">
        <f>IF(Table1938[[#This Row],[Author]]="",TRUE,FALSE)</f>
        <v>0</v>
      </c>
      <c r="Q314" s="2" t="b">
        <f>IF(Table1938[[#This Row],[DOI]]&lt;&gt;"", FALSE,TRUE)</f>
        <v>0</v>
      </c>
      <c r="R314" s="2" t="b">
        <f>IF(Table1938[[#This Row],[Abstract]]="",TRUE,FALSE)</f>
        <v>0</v>
      </c>
      <c r="S314" s="2" t="b">
        <f>IF(OR(Table1938[[#This Row],[Document Type]]="book",Table1938[[#This Row],[Document Type]]="bookSection"),TRUE,FALSE)</f>
        <v>0</v>
      </c>
      <c r="T314" s="2" t="b">
        <f>NOT(IF(OR(Table1938[[#This Row],[Language]]&lt;&gt;"en",Table1938[[#This Row],[Language]]&lt;&gt;"EN",Table1938[[#This Row],[Language]]&lt;&gt;"spa",Table1938[[#This Row],[Language]]&lt;&gt;"SPA"),TRUE,FALSE))</f>
        <v>0</v>
      </c>
      <c r="U314" s="2" t="b">
        <f>IF(AND(Table1938[[#This Row],[EC-01]]=FALSE,Table1938[[#This Row],[EC-02]]=FALSE,Table1938[[#This Row],[EC-03]]=FALSE,Table1938[[#This Row],[EC-04]]=FALSE,Table1938[[#This Row],[EC-05]]=FALSE,Table1938[[#This Row],[EC-06]]=FALSE),TRUE,FALSE)</f>
        <v>1</v>
      </c>
      <c r="V314" s="2" t="b">
        <f>IF(Table1938[[#This Row],[Date]]&lt;&gt;"",AND(YEAR(Table1938[[#This Row],[Date]])&gt;=2010, YEAR(Table1938[[#This Row],[Date]])&lt;=2024),FALSE)</f>
        <v>1</v>
      </c>
      <c r="W314" s="2" t="b">
        <f>IF(Table1938[[#This Row],[Date]]&lt;&gt;"",AND(YEAR(Table1938[[#This Row],[Date]])&gt;=2010, YEAR(Table1938[[#This Row],[Date]])&lt;=2020),FALSE)</f>
        <v>1</v>
      </c>
      <c r="X314" s="2" t="b">
        <f>IF(AND(Table1938[[#This Row],[Accesible]]=TRUE,Table1938[[#This Row],[DOI]]&lt;&gt;""),TRUE,FALSE)</f>
        <v>1</v>
      </c>
      <c r="Y314" s="2" t="b">
        <f>OR(Table1938[[#This Row],[Document Type]]="journalArticle",Table1938[[#This Row],[Document Type]]="conferencePaper",Table1938[[#This Row],[Document Type]]="review")</f>
        <v>1</v>
      </c>
      <c r="Z314" s="2" t="b" cm="1">
        <f t="array" ref="Z314">SUMPRODUCT(--ISNUMBER(SEARCH({"dimensional analysis","dimensionless coefficients","Π","Pi","theorem","software","design","tools","development","architecture","similar"}, LOWER(Table1938[[#This Row],[Title]]))))&gt;0</f>
        <v>1</v>
      </c>
      <c r="AA314" s="2" t="b" cm="1">
        <f t="array" ref="AA314">SUMPRODUCT(--ISNUMBER(SEARCH({"dimensional analysis","dimensionless coefficients","Π","Pi","theorem","software","design","tools","development","architecture","similar"}, LOWER(Table1938[[#This Row],[Abstract]]))))&gt;0</f>
        <v>1</v>
      </c>
      <c r="AB314" s="2" t="b">
        <f>AND(OR(Table1938[[#This Row],[IC-01 @2024]:[IC-01 @2020]])=TRUE,Table1938[[#This Row],[IC-02]]=TRUE,Table1938[[#This Row],[IC-03]]=TRUE,Table1938[[#This Row],[IC-04]]=TRUE,Table1938[[#This Row],[IC-05]]=TRUE)</f>
        <v>1</v>
      </c>
      <c r="AC314" s="2" t="b">
        <f>AND(Table1938[[#This Row],[Pass-IC]]=TRUE,Table1938[[#This Row],[Pass-EC]]=TRUE)</f>
        <v>1</v>
      </c>
      <c r="AD314" s="2" t="b">
        <f>COUNTIF($D$25:D314, Table1938[[#This Row],[Title]]) = 1</f>
        <v>1</v>
      </c>
      <c r="AE314" s="2" t="b">
        <f>AND(Table1938[[#This Row],[IC + EC]:[Unique]])</f>
        <v>1</v>
      </c>
      <c r="AF314" s="2" t="b">
        <v>1</v>
      </c>
      <c r="AG314" s="2" t="b">
        <v>0</v>
      </c>
      <c r="AH314" s="2" t="b">
        <v>0</v>
      </c>
      <c r="AI314" s="2" t="b">
        <f>IF(AND(Table1938[[#This Row],[Double Check]]=TRUE,Table1938[[#This Row],[Inspected]]=TRUE,Table1938[[#This Row],[Relevant]]=TRUE),TRUE,FALSE)</f>
        <v>0</v>
      </c>
    </row>
    <row r="315" spans="1:35" ht="71.7" x14ac:dyDescent="0.5">
      <c r="A315" s="2">
        <v>314</v>
      </c>
      <c r="B315" s="20" t="s">
        <v>3</v>
      </c>
      <c r="C315" s="20" t="s">
        <v>3237</v>
      </c>
      <c r="D315" s="20" t="s">
        <v>1865</v>
      </c>
      <c r="E315" s="20" t="s">
        <v>1864</v>
      </c>
      <c r="F315" s="2" t="s">
        <v>1867</v>
      </c>
      <c r="G315" s="20" t="s">
        <v>957</v>
      </c>
      <c r="H315" s="36">
        <v>44805</v>
      </c>
      <c r="I315" s="20">
        <v>2022</v>
      </c>
      <c r="J315" s="20" t="s">
        <v>61</v>
      </c>
      <c r="K315" s="20" t="s">
        <v>3238</v>
      </c>
      <c r="L315" s="20" t="s">
        <v>2515</v>
      </c>
      <c r="M315" s="20" t="s">
        <v>1866</v>
      </c>
      <c r="N315" s="20" t="b">
        <v>1</v>
      </c>
      <c r="O315" s="2" t="b">
        <f>IF(Table1938[[#This Row],[Title]]="",TRUE,FALSE)</f>
        <v>0</v>
      </c>
      <c r="P315" s="2" t="b">
        <f>IF(Table1938[[#This Row],[Author]]="",TRUE,FALSE)</f>
        <v>0</v>
      </c>
      <c r="Q315" s="2" t="b">
        <f>IF(Table1938[[#This Row],[DOI]]&lt;&gt;"", FALSE,TRUE)</f>
        <v>0</v>
      </c>
      <c r="R315" s="2" t="b">
        <f>IF(Table1938[[#This Row],[Abstract]]="",TRUE,FALSE)</f>
        <v>0</v>
      </c>
      <c r="S315" s="2" t="b">
        <f>IF(OR(Table1938[[#This Row],[Document Type]]="book",Table1938[[#This Row],[Document Type]]="bookSection"),TRUE,FALSE)</f>
        <v>0</v>
      </c>
      <c r="T315" s="2" t="b">
        <f>NOT(IF(OR(Table1938[[#This Row],[Language]]&lt;&gt;"en",Table1938[[#This Row],[Language]]&lt;&gt;"EN",Table1938[[#This Row],[Language]]&lt;&gt;"spa",Table1938[[#This Row],[Language]]&lt;&gt;"SPA"),TRUE,FALSE))</f>
        <v>0</v>
      </c>
      <c r="U315" s="2" t="b">
        <f>IF(AND(Table1938[[#This Row],[EC-01]]=FALSE,Table1938[[#This Row],[EC-02]]=FALSE,Table1938[[#This Row],[EC-03]]=FALSE,Table1938[[#This Row],[EC-04]]=FALSE,Table1938[[#This Row],[EC-05]]=FALSE,Table1938[[#This Row],[EC-06]]=FALSE),TRUE,FALSE)</f>
        <v>1</v>
      </c>
      <c r="V315" s="2" t="b">
        <f>IF(Table1938[[#This Row],[Date]]&lt;&gt;"",AND(YEAR(Table1938[[#This Row],[Date]])&gt;=2010, YEAR(Table1938[[#This Row],[Date]])&lt;=2024),FALSE)</f>
        <v>1</v>
      </c>
      <c r="W315" s="2" t="b">
        <f>IF(Table1938[[#This Row],[Date]]&lt;&gt;"",AND(YEAR(Table1938[[#This Row],[Date]])&gt;=2010, YEAR(Table1938[[#This Row],[Date]])&lt;=2020),FALSE)</f>
        <v>0</v>
      </c>
      <c r="X315" s="2" t="b">
        <f>IF(AND(Table1938[[#This Row],[Accesible]]=TRUE,Table1938[[#This Row],[DOI]]&lt;&gt;""),TRUE,FALSE)</f>
        <v>1</v>
      </c>
      <c r="Y315" s="2" t="b">
        <f>OR(Table1938[[#This Row],[Document Type]]="journalArticle",Table1938[[#This Row],[Document Type]]="conferencePaper",Table1938[[#This Row],[Document Type]]="review")</f>
        <v>1</v>
      </c>
      <c r="Z315" s="2" t="b" cm="1">
        <f t="array" ref="Z315">SUMPRODUCT(--ISNUMBER(SEARCH({"dimensional analysis","dimensionless coefficients","Π","Pi","theorem","software","design","tools","development","architecture","similar"}, LOWER(Table1938[[#This Row],[Title]]))))&gt;0</f>
        <v>0</v>
      </c>
      <c r="AA315" s="2" t="b" cm="1">
        <f t="array" ref="AA315">SUMPRODUCT(--ISNUMBER(SEARCH({"dimensional analysis","dimensionless coefficients","Π","Pi","theorem","software","design","tools","development","architecture","similar"}, LOWER(Table1938[[#This Row],[Abstract]]))))&gt;0</f>
        <v>0</v>
      </c>
      <c r="AB315" s="2" t="b">
        <f>AND(OR(Table1938[[#This Row],[IC-01 @2024]:[IC-01 @2020]])=TRUE,Table1938[[#This Row],[IC-02]]=TRUE,Table1938[[#This Row],[IC-03]]=TRUE,Table1938[[#This Row],[IC-04]]=TRUE,Table1938[[#This Row],[IC-05]]=TRUE)</f>
        <v>0</v>
      </c>
      <c r="AC315" s="2" t="b">
        <f>AND(Table1938[[#This Row],[Pass-IC]]=TRUE,Table1938[[#This Row],[Pass-EC]]=TRUE)</f>
        <v>0</v>
      </c>
      <c r="AD315" s="2" t="b">
        <f>COUNTIF($D$25:D315, Table1938[[#This Row],[Title]]) = 1</f>
        <v>1</v>
      </c>
      <c r="AE315" s="2" t="b">
        <f>AND(Table1938[[#This Row],[IC + EC]:[Unique]])</f>
        <v>0</v>
      </c>
      <c r="AF315" s="2" t="b">
        <v>0</v>
      </c>
      <c r="AG315" s="2" t="b">
        <v>0</v>
      </c>
      <c r="AH315" s="2" t="b">
        <v>0</v>
      </c>
      <c r="AI315" s="2" t="b">
        <f>IF(AND(Table1938[[#This Row],[Double Check]]=TRUE,Table1938[[#This Row],[Inspected]]=TRUE,Table1938[[#This Row],[Relevant]]=TRUE),TRUE,FALSE)</f>
        <v>0</v>
      </c>
    </row>
    <row r="316" spans="1:35" ht="57.35" x14ac:dyDescent="0.5">
      <c r="A316" s="2">
        <v>315</v>
      </c>
      <c r="B316" s="20" t="s">
        <v>3</v>
      </c>
      <c r="C316" s="20" t="s">
        <v>3239</v>
      </c>
      <c r="D316" s="20" t="s">
        <v>980</v>
      </c>
      <c r="E316" s="20" t="s">
        <v>981</v>
      </c>
      <c r="F316" s="2" t="s">
        <v>978</v>
      </c>
      <c r="G316" s="20" t="s">
        <v>918</v>
      </c>
      <c r="H316" s="36">
        <v>45413</v>
      </c>
      <c r="I316" s="20">
        <v>2024</v>
      </c>
      <c r="J316" s="20" t="s">
        <v>61</v>
      </c>
      <c r="K316" s="20" t="s">
        <v>3240</v>
      </c>
      <c r="L316" s="20" t="s">
        <v>2515</v>
      </c>
      <c r="M316" s="20" t="s">
        <v>979</v>
      </c>
      <c r="N316" s="20" t="b">
        <v>1</v>
      </c>
      <c r="O316" s="2" t="b">
        <f>IF(Table1938[[#This Row],[Title]]="",TRUE,FALSE)</f>
        <v>0</v>
      </c>
      <c r="P316" s="2" t="b">
        <f>IF(Table1938[[#This Row],[Author]]="",TRUE,FALSE)</f>
        <v>0</v>
      </c>
      <c r="Q316" s="2" t="b">
        <f>IF(Table1938[[#This Row],[DOI]]&lt;&gt;"", FALSE,TRUE)</f>
        <v>0</v>
      </c>
      <c r="R316" s="2" t="b">
        <f>IF(Table1938[[#This Row],[Abstract]]="",TRUE,FALSE)</f>
        <v>0</v>
      </c>
      <c r="S316" s="2" t="b">
        <f>IF(OR(Table1938[[#This Row],[Document Type]]="book",Table1938[[#This Row],[Document Type]]="bookSection"),TRUE,FALSE)</f>
        <v>0</v>
      </c>
      <c r="T316" s="2" t="b">
        <f>NOT(IF(OR(Table1938[[#This Row],[Language]]&lt;&gt;"en",Table1938[[#This Row],[Language]]&lt;&gt;"EN",Table1938[[#This Row],[Language]]&lt;&gt;"spa",Table1938[[#This Row],[Language]]&lt;&gt;"SPA"),TRUE,FALSE))</f>
        <v>0</v>
      </c>
      <c r="U316" s="2" t="b">
        <f>IF(AND(Table1938[[#This Row],[EC-01]]=FALSE,Table1938[[#This Row],[EC-02]]=FALSE,Table1938[[#This Row],[EC-03]]=FALSE,Table1938[[#This Row],[EC-04]]=FALSE,Table1938[[#This Row],[EC-05]]=FALSE,Table1938[[#This Row],[EC-06]]=FALSE),TRUE,FALSE)</f>
        <v>1</v>
      </c>
      <c r="V316" s="2" t="b">
        <f>IF(Table1938[[#This Row],[Date]]&lt;&gt;"",AND(YEAR(Table1938[[#This Row],[Date]])&gt;=2010, YEAR(Table1938[[#This Row],[Date]])&lt;=2024),FALSE)</f>
        <v>1</v>
      </c>
      <c r="W316" s="2" t="b">
        <f>IF(Table1938[[#This Row],[Date]]&lt;&gt;"",AND(YEAR(Table1938[[#This Row],[Date]])&gt;=2010, YEAR(Table1938[[#This Row],[Date]])&lt;=2020),FALSE)</f>
        <v>0</v>
      </c>
      <c r="X316" s="2" t="b">
        <f>IF(AND(Table1938[[#This Row],[Accesible]]=TRUE,Table1938[[#This Row],[DOI]]&lt;&gt;""),TRUE,FALSE)</f>
        <v>1</v>
      </c>
      <c r="Y316" s="2" t="b">
        <f>OR(Table1938[[#This Row],[Document Type]]="journalArticle",Table1938[[#This Row],[Document Type]]="conferencePaper",Table1938[[#This Row],[Document Type]]="review")</f>
        <v>1</v>
      </c>
      <c r="Z316" s="2" t="b" cm="1">
        <f t="array" ref="Z316">SUMPRODUCT(--ISNUMBER(SEARCH({"dimensional analysis","dimensionless coefficients","Π","Pi","theorem","software","design","tools","development","architecture","similar"}, LOWER(Table1938[[#This Row],[Title]]))))&gt;0</f>
        <v>0</v>
      </c>
      <c r="AA316" s="2" t="b" cm="1">
        <f t="array" ref="AA316">SUMPRODUCT(--ISNUMBER(SEARCH({"dimensional analysis","dimensionless coefficients","Π","Pi","theorem","software","design","tools","development","architecture","similar"}, LOWER(Table1938[[#This Row],[Abstract]]))))&gt;0</f>
        <v>1</v>
      </c>
      <c r="AB316" s="2" t="b">
        <f>AND(OR(Table1938[[#This Row],[IC-01 @2024]:[IC-01 @2020]])=TRUE,Table1938[[#This Row],[IC-02]]=TRUE,Table1938[[#This Row],[IC-03]]=TRUE,Table1938[[#This Row],[IC-04]]=TRUE,Table1938[[#This Row],[IC-05]]=TRUE)</f>
        <v>0</v>
      </c>
      <c r="AC316" s="2" t="b">
        <f>AND(Table1938[[#This Row],[Pass-IC]]=TRUE,Table1938[[#This Row],[Pass-EC]]=TRUE)</f>
        <v>0</v>
      </c>
      <c r="AD316" s="2" t="b">
        <f>COUNTIF($D$25:D316, Table1938[[#This Row],[Title]]) = 1</f>
        <v>1</v>
      </c>
      <c r="AE316" s="2" t="b">
        <f>AND(Table1938[[#This Row],[IC + EC]:[Unique]])</f>
        <v>0</v>
      </c>
      <c r="AF316" s="2" t="b">
        <v>0</v>
      </c>
      <c r="AG316" s="2" t="b">
        <v>0</v>
      </c>
      <c r="AH316" s="2" t="b">
        <v>0</v>
      </c>
      <c r="AI316" s="2" t="b">
        <f>IF(AND(Table1938[[#This Row],[Double Check]]=TRUE,Table1938[[#This Row],[Inspected]]=TRUE,Table1938[[#This Row],[Relevant]]=TRUE),TRUE,FALSE)</f>
        <v>0</v>
      </c>
    </row>
    <row r="317" spans="1:35" ht="43" x14ac:dyDescent="0.5">
      <c r="A317" s="2">
        <v>316</v>
      </c>
      <c r="B317" s="20" t="s">
        <v>3</v>
      </c>
      <c r="C317" s="20" t="s">
        <v>3241</v>
      </c>
      <c r="D317" s="20" t="s">
        <v>1042</v>
      </c>
      <c r="E317" s="20" t="s">
        <v>1041</v>
      </c>
      <c r="F317" s="2" t="s">
        <v>1044</v>
      </c>
      <c r="G317" s="20" t="s">
        <v>948</v>
      </c>
      <c r="H317" s="36">
        <v>45017</v>
      </c>
      <c r="I317" s="20">
        <v>2023</v>
      </c>
      <c r="J317" s="20" t="s">
        <v>61</v>
      </c>
      <c r="K317" s="20" t="s">
        <v>3242</v>
      </c>
      <c r="L317" s="20" t="s">
        <v>2515</v>
      </c>
      <c r="M317" s="20" t="s">
        <v>1043</v>
      </c>
      <c r="N317" s="20" t="b">
        <v>1</v>
      </c>
      <c r="O317" s="2" t="b">
        <f>IF(Table1938[[#This Row],[Title]]="",TRUE,FALSE)</f>
        <v>0</v>
      </c>
      <c r="P317" s="2" t="b">
        <f>IF(Table1938[[#This Row],[Author]]="",TRUE,FALSE)</f>
        <v>0</v>
      </c>
      <c r="Q317" s="2" t="b">
        <f>IF(Table1938[[#This Row],[DOI]]&lt;&gt;"", FALSE,TRUE)</f>
        <v>0</v>
      </c>
      <c r="R317" s="2" t="b">
        <f>IF(Table1938[[#This Row],[Abstract]]="",TRUE,FALSE)</f>
        <v>0</v>
      </c>
      <c r="S317" s="2" t="b">
        <f>IF(OR(Table1938[[#This Row],[Document Type]]="book",Table1938[[#This Row],[Document Type]]="bookSection"),TRUE,FALSE)</f>
        <v>0</v>
      </c>
      <c r="T317" s="2" t="b">
        <f>NOT(IF(OR(Table1938[[#This Row],[Language]]&lt;&gt;"en",Table1938[[#This Row],[Language]]&lt;&gt;"EN",Table1938[[#This Row],[Language]]&lt;&gt;"spa",Table1938[[#This Row],[Language]]&lt;&gt;"SPA"),TRUE,FALSE))</f>
        <v>0</v>
      </c>
      <c r="U317" s="2" t="b">
        <f>IF(AND(Table1938[[#This Row],[EC-01]]=FALSE,Table1938[[#This Row],[EC-02]]=FALSE,Table1938[[#This Row],[EC-03]]=FALSE,Table1938[[#This Row],[EC-04]]=FALSE,Table1938[[#This Row],[EC-05]]=FALSE,Table1938[[#This Row],[EC-06]]=FALSE),TRUE,FALSE)</f>
        <v>1</v>
      </c>
      <c r="V317" s="2" t="b">
        <f>IF(Table1938[[#This Row],[Date]]&lt;&gt;"",AND(YEAR(Table1938[[#This Row],[Date]])&gt;=2010, YEAR(Table1938[[#This Row],[Date]])&lt;=2024),FALSE)</f>
        <v>1</v>
      </c>
      <c r="W317" s="2" t="b">
        <f>IF(Table1938[[#This Row],[Date]]&lt;&gt;"",AND(YEAR(Table1938[[#This Row],[Date]])&gt;=2010, YEAR(Table1938[[#This Row],[Date]])&lt;=2020),FALSE)</f>
        <v>0</v>
      </c>
      <c r="X317" s="2" t="b">
        <f>IF(AND(Table1938[[#This Row],[Accesible]]=TRUE,Table1938[[#This Row],[DOI]]&lt;&gt;""),TRUE,FALSE)</f>
        <v>1</v>
      </c>
      <c r="Y317" s="2" t="b">
        <f>OR(Table1938[[#This Row],[Document Type]]="journalArticle",Table1938[[#This Row],[Document Type]]="conferencePaper",Table1938[[#This Row],[Document Type]]="review")</f>
        <v>1</v>
      </c>
      <c r="Z317" s="2" t="b" cm="1">
        <f t="array" ref="Z317">SUMPRODUCT(--ISNUMBER(SEARCH({"dimensional analysis","dimensionless coefficients","Π","Pi","theorem","software","design","tools","development","architecture","similar"}, LOWER(Table1938[[#This Row],[Title]]))))&gt;0</f>
        <v>1</v>
      </c>
      <c r="AA317" s="2" t="b" cm="1">
        <f t="array" ref="AA317">SUMPRODUCT(--ISNUMBER(SEARCH({"dimensional analysis","dimensionless coefficients","Π","Pi","theorem","software","design","tools","development","architecture","similar"}, LOWER(Table1938[[#This Row],[Abstract]]))))&gt;0</f>
        <v>1</v>
      </c>
      <c r="AB317" s="2" t="b">
        <f>AND(OR(Table1938[[#This Row],[IC-01 @2024]:[IC-01 @2020]])=TRUE,Table1938[[#This Row],[IC-02]]=TRUE,Table1938[[#This Row],[IC-03]]=TRUE,Table1938[[#This Row],[IC-04]]=TRUE,Table1938[[#This Row],[IC-05]]=TRUE)</f>
        <v>1</v>
      </c>
      <c r="AC317" s="2" t="b">
        <f>AND(Table1938[[#This Row],[Pass-IC]]=TRUE,Table1938[[#This Row],[Pass-EC]]=TRUE)</f>
        <v>1</v>
      </c>
      <c r="AD317" s="2" t="b">
        <f>COUNTIF($D$25:D317, Table1938[[#This Row],[Title]]) = 1</f>
        <v>1</v>
      </c>
      <c r="AE317" s="2" t="b">
        <f>AND(Table1938[[#This Row],[IC + EC]:[Unique]])</f>
        <v>1</v>
      </c>
      <c r="AF317" s="2" t="b">
        <v>1</v>
      </c>
      <c r="AG317" s="2" t="b">
        <v>0</v>
      </c>
      <c r="AH317" s="2" t="b">
        <v>0</v>
      </c>
      <c r="AI317" s="2" t="b">
        <f>IF(AND(Table1938[[#This Row],[Double Check]]=TRUE,Table1938[[#This Row],[Inspected]]=TRUE,Table1938[[#This Row],[Relevant]]=TRUE),TRUE,FALSE)</f>
        <v>0</v>
      </c>
    </row>
    <row r="318" spans="1:35" ht="28.7" x14ac:dyDescent="0.5">
      <c r="A318" s="2">
        <v>317</v>
      </c>
      <c r="B318" s="20" t="s">
        <v>3</v>
      </c>
      <c r="C318" s="20" t="s">
        <v>3243</v>
      </c>
      <c r="D318" s="20" t="s">
        <v>2110</v>
      </c>
      <c r="E318" s="20" t="s">
        <v>2109</v>
      </c>
      <c r="F318" s="2" t="s">
        <v>2112</v>
      </c>
      <c r="G318" s="20" t="s">
        <v>938</v>
      </c>
      <c r="H318" s="36">
        <v>42705</v>
      </c>
      <c r="I318" s="20">
        <v>2016</v>
      </c>
      <c r="J318" s="20" t="s">
        <v>61</v>
      </c>
      <c r="K318" s="20" t="s">
        <v>3244</v>
      </c>
      <c r="L318" s="20" t="s">
        <v>2515</v>
      </c>
      <c r="M318" s="20" t="s">
        <v>2111</v>
      </c>
      <c r="N318" s="20" t="b">
        <v>1</v>
      </c>
      <c r="O318" s="2" t="b">
        <f>IF(Table1938[[#This Row],[Title]]="",TRUE,FALSE)</f>
        <v>0</v>
      </c>
      <c r="P318" s="2" t="b">
        <f>IF(Table1938[[#This Row],[Author]]="",TRUE,FALSE)</f>
        <v>0</v>
      </c>
      <c r="Q318" s="2" t="b">
        <f>IF(Table1938[[#This Row],[DOI]]&lt;&gt;"", FALSE,TRUE)</f>
        <v>0</v>
      </c>
      <c r="R318" s="2" t="b">
        <f>IF(Table1938[[#This Row],[Abstract]]="",TRUE,FALSE)</f>
        <v>0</v>
      </c>
      <c r="S318" s="2" t="b">
        <f>IF(OR(Table1938[[#This Row],[Document Type]]="book",Table1938[[#This Row],[Document Type]]="bookSection"),TRUE,FALSE)</f>
        <v>0</v>
      </c>
      <c r="T318" s="2" t="b">
        <f>NOT(IF(OR(Table1938[[#This Row],[Language]]&lt;&gt;"en",Table1938[[#This Row],[Language]]&lt;&gt;"EN",Table1938[[#This Row],[Language]]&lt;&gt;"spa",Table1938[[#This Row],[Language]]&lt;&gt;"SPA"),TRUE,FALSE))</f>
        <v>0</v>
      </c>
      <c r="U318" s="2" t="b">
        <f>IF(AND(Table1938[[#This Row],[EC-01]]=FALSE,Table1938[[#This Row],[EC-02]]=FALSE,Table1938[[#This Row],[EC-03]]=FALSE,Table1938[[#This Row],[EC-04]]=FALSE,Table1938[[#This Row],[EC-05]]=FALSE,Table1938[[#This Row],[EC-06]]=FALSE),TRUE,FALSE)</f>
        <v>1</v>
      </c>
      <c r="V318" s="2" t="b">
        <f>IF(Table1938[[#This Row],[Date]]&lt;&gt;"",AND(YEAR(Table1938[[#This Row],[Date]])&gt;=2010, YEAR(Table1938[[#This Row],[Date]])&lt;=2024),FALSE)</f>
        <v>1</v>
      </c>
      <c r="W318" s="2" t="b">
        <f>IF(Table1938[[#This Row],[Date]]&lt;&gt;"",AND(YEAR(Table1938[[#This Row],[Date]])&gt;=2010, YEAR(Table1938[[#This Row],[Date]])&lt;=2020),FALSE)</f>
        <v>1</v>
      </c>
      <c r="X318" s="2" t="b">
        <f>IF(AND(Table1938[[#This Row],[Accesible]]=TRUE,Table1938[[#This Row],[DOI]]&lt;&gt;""),TRUE,FALSE)</f>
        <v>1</v>
      </c>
      <c r="Y318" s="2" t="b">
        <f>OR(Table1938[[#This Row],[Document Type]]="journalArticle",Table1938[[#This Row],[Document Type]]="conferencePaper",Table1938[[#This Row],[Document Type]]="review")</f>
        <v>1</v>
      </c>
      <c r="Z318" s="2" t="b" cm="1">
        <f t="array" ref="Z318">SUMPRODUCT(--ISNUMBER(SEARCH({"dimensional analysis","dimensionless coefficients","Π","Pi","theorem","software","design","tools","development","architecture","similar"}, LOWER(Table1938[[#This Row],[Title]]))))&gt;0</f>
        <v>1</v>
      </c>
      <c r="AA318" s="2" t="b" cm="1">
        <f t="array" ref="AA318">SUMPRODUCT(--ISNUMBER(SEARCH({"dimensional analysis","dimensionless coefficients","Π","Pi","theorem","software","design","tools","development","architecture","similar"}, LOWER(Table1938[[#This Row],[Abstract]]))))&gt;0</f>
        <v>1</v>
      </c>
      <c r="AB318" s="2" t="b">
        <f>AND(OR(Table1938[[#This Row],[IC-01 @2024]:[IC-01 @2020]])=TRUE,Table1938[[#This Row],[IC-02]]=TRUE,Table1938[[#This Row],[IC-03]]=TRUE,Table1938[[#This Row],[IC-04]]=TRUE,Table1938[[#This Row],[IC-05]]=TRUE)</f>
        <v>1</v>
      </c>
      <c r="AC318" s="2" t="b">
        <f>AND(Table1938[[#This Row],[Pass-IC]]=TRUE,Table1938[[#This Row],[Pass-EC]]=TRUE)</f>
        <v>1</v>
      </c>
      <c r="AD318" s="2" t="b">
        <f>COUNTIF($D$25:D318, Table1938[[#This Row],[Title]]) = 1</f>
        <v>1</v>
      </c>
      <c r="AE318" s="2" t="b">
        <f>AND(Table1938[[#This Row],[IC + EC]:[Unique]])</f>
        <v>1</v>
      </c>
      <c r="AF318" s="2" t="b">
        <v>1</v>
      </c>
      <c r="AG318" s="2" t="b">
        <v>0</v>
      </c>
      <c r="AH318" s="2" t="b">
        <v>0</v>
      </c>
      <c r="AI318" s="2" t="b">
        <f>IF(AND(Table1938[[#This Row],[Double Check]]=TRUE,Table1938[[#This Row],[Inspected]]=TRUE,Table1938[[#This Row],[Relevant]]=TRUE),TRUE,FALSE)</f>
        <v>0</v>
      </c>
    </row>
    <row r="319" spans="1:35" ht="86" x14ac:dyDescent="0.5">
      <c r="A319" s="2">
        <v>318</v>
      </c>
      <c r="B319" s="20" t="s">
        <v>3</v>
      </c>
      <c r="C319" s="20" t="s">
        <v>3245</v>
      </c>
      <c r="D319" s="20" t="s">
        <v>1037</v>
      </c>
      <c r="E319" s="20" t="s">
        <v>1036</v>
      </c>
      <c r="F319" s="2" t="s">
        <v>1040</v>
      </c>
      <c r="G319" s="20" t="s">
        <v>1038</v>
      </c>
      <c r="H319" s="36">
        <v>43876</v>
      </c>
      <c r="I319" s="20">
        <v>2020</v>
      </c>
      <c r="J319" s="20" t="s">
        <v>61</v>
      </c>
      <c r="K319" s="20" t="s">
        <v>3246</v>
      </c>
      <c r="L319" s="20" t="s">
        <v>2515</v>
      </c>
      <c r="M319" s="20" t="s">
        <v>1039</v>
      </c>
      <c r="N319" s="20" t="b">
        <v>1</v>
      </c>
      <c r="O319" s="2" t="b">
        <f>IF(Table1938[[#This Row],[Title]]="",TRUE,FALSE)</f>
        <v>0</v>
      </c>
      <c r="P319" s="2" t="b">
        <f>IF(Table1938[[#This Row],[Author]]="",TRUE,FALSE)</f>
        <v>0</v>
      </c>
      <c r="Q319" s="2" t="b">
        <f>IF(Table1938[[#This Row],[DOI]]&lt;&gt;"", FALSE,TRUE)</f>
        <v>0</v>
      </c>
      <c r="R319" s="2" t="b">
        <f>IF(Table1938[[#This Row],[Abstract]]="",TRUE,FALSE)</f>
        <v>0</v>
      </c>
      <c r="S319" s="2" t="b">
        <f>IF(OR(Table1938[[#This Row],[Document Type]]="book",Table1938[[#This Row],[Document Type]]="bookSection"),TRUE,FALSE)</f>
        <v>0</v>
      </c>
      <c r="T319" s="2" t="b">
        <f>NOT(IF(OR(Table1938[[#This Row],[Language]]&lt;&gt;"en",Table1938[[#This Row],[Language]]&lt;&gt;"EN",Table1938[[#This Row],[Language]]&lt;&gt;"spa",Table1938[[#This Row],[Language]]&lt;&gt;"SPA"),TRUE,FALSE))</f>
        <v>0</v>
      </c>
      <c r="U319" s="2" t="b">
        <f>IF(AND(Table1938[[#This Row],[EC-01]]=FALSE,Table1938[[#This Row],[EC-02]]=FALSE,Table1938[[#This Row],[EC-03]]=FALSE,Table1938[[#This Row],[EC-04]]=FALSE,Table1938[[#This Row],[EC-05]]=FALSE,Table1938[[#This Row],[EC-06]]=FALSE),TRUE,FALSE)</f>
        <v>1</v>
      </c>
      <c r="V319" s="2" t="b">
        <f>IF(Table1938[[#This Row],[Date]]&lt;&gt;"",AND(YEAR(Table1938[[#This Row],[Date]])&gt;=2010, YEAR(Table1938[[#This Row],[Date]])&lt;=2024),FALSE)</f>
        <v>1</v>
      </c>
      <c r="W319" s="2" t="b">
        <f>IF(Table1938[[#This Row],[Date]]&lt;&gt;"",AND(YEAR(Table1938[[#This Row],[Date]])&gt;=2010, YEAR(Table1938[[#This Row],[Date]])&lt;=2020),FALSE)</f>
        <v>1</v>
      </c>
      <c r="X319" s="2" t="b">
        <f>IF(AND(Table1938[[#This Row],[Accesible]]=TRUE,Table1938[[#This Row],[DOI]]&lt;&gt;""),TRUE,FALSE)</f>
        <v>1</v>
      </c>
      <c r="Y319" s="2" t="b">
        <f>OR(Table1938[[#This Row],[Document Type]]="journalArticle",Table1938[[#This Row],[Document Type]]="conferencePaper",Table1938[[#This Row],[Document Type]]="review")</f>
        <v>1</v>
      </c>
      <c r="Z319" s="2" t="b" cm="1">
        <f t="array" ref="Z319">SUMPRODUCT(--ISNUMBER(SEARCH({"dimensional analysis","dimensionless coefficients","Π","Pi","theorem","software","design","tools","development","architecture","similar"}, LOWER(Table1938[[#This Row],[Title]]))))&gt;0</f>
        <v>1</v>
      </c>
      <c r="AA319" s="2" t="b" cm="1">
        <f t="array" ref="AA319">SUMPRODUCT(--ISNUMBER(SEARCH({"dimensional analysis","dimensionless coefficients","Π","Pi","theorem","software","design","tools","development","architecture","similar"}, LOWER(Table1938[[#This Row],[Abstract]]))))&gt;0</f>
        <v>1</v>
      </c>
      <c r="AB319" s="2" t="b">
        <f>AND(OR(Table1938[[#This Row],[IC-01 @2024]:[IC-01 @2020]])=TRUE,Table1938[[#This Row],[IC-02]]=TRUE,Table1938[[#This Row],[IC-03]]=TRUE,Table1938[[#This Row],[IC-04]]=TRUE,Table1938[[#This Row],[IC-05]]=TRUE)</f>
        <v>1</v>
      </c>
      <c r="AC319" s="2" t="b">
        <f>AND(Table1938[[#This Row],[Pass-IC]]=TRUE,Table1938[[#This Row],[Pass-EC]]=TRUE)</f>
        <v>1</v>
      </c>
      <c r="AD319" s="2" t="b">
        <f>COUNTIF($D$25:D319, Table1938[[#This Row],[Title]]) = 1</f>
        <v>1</v>
      </c>
      <c r="AE319" s="2" t="b">
        <f>AND(Table1938[[#This Row],[IC + EC]:[Unique]])</f>
        <v>1</v>
      </c>
      <c r="AF319" s="2" t="b">
        <v>1</v>
      </c>
      <c r="AG319" s="2" t="b">
        <v>0</v>
      </c>
      <c r="AH319" s="2" t="b">
        <v>0</v>
      </c>
      <c r="AI319" s="2" t="b">
        <f>IF(AND(Table1938[[#This Row],[Double Check]]=TRUE,Table1938[[#This Row],[Inspected]]=TRUE,Table1938[[#This Row],[Relevant]]=TRUE),TRUE,FALSE)</f>
        <v>0</v>
      </c>
    </row>
    <row r="320" spans="1:35" ht="57.35" x14ac:dyDescent="0.5">
      <c r="A320" s="2">
        <v>319</v>
      </c>
      <c r="B320" s="20" t="s">
        <v>3</v>
      </c>
      <c r="C320" s="20" t="s">
        <v>3247</v>
      </c>
      <c r="D320" s="20" t="s">
        <v>1416</v>
      </c>
      <c r="E320" s="20" t="s">
        <v>1415</v>
      </c>
      <c r="F320" s="2" t="s">
        <v>1419</v>
      </c>
      <c r="G320" s="20" t="s">
        <v>1417</v>
      </c>
      <c r="H320" s="36">
        <v>44713</v>
      </c>
      <c r="I320" s="20">
        <v>2022</v>
      </c>
      <c r="J320" s="20" t="s">
        <v>61</v>
      </c>
      <c r="K320" s="20" t="s">
        <v>3248</v>
      </c>
      <c r="L320" s="20" t="s">
        <v>2515</v>
      </c>
      <c r="M320" s="20" t="s">
        <v>1418</v>
      </c>
      <c r="N320" s="20" t="b">
        <v>1</v>
      </c>
      <c r="O320" s="2" t="b">
        <f>IF(Table1938[[#This Row],[Title]]="",TRUE,FALSE)</f>
        <v>0</v>
      </c>
      <c r="P320" s="2" t="b">
        <f>IF(Table1938[[#This Row],[Author]]="",TRUE,FALSE)</f>
        <v>0</v>
      </c>
      <c r="Q320" s="2" t="b">
        <f>IF(Table1938[[#This Row],[DOI]]&lt;&gt;"", FALSE,TRUE)</f>
        <v>0</v>
      </c>
      <c r="R320" s="2" t="b">
        <f>IF(Table1938[[#This Row],[Abstract]]="",TRUE,FALSE)</f>
        <v>0</v>
      </c>
      <c r="S320" s="2" t="b">
        <f>IF(OR(Table1938[[#This Row],[Document Type]]="book",Table1938[[#This Row],[Document Type]]="bookSection"),TRUE,FALSE)</f>
        <v>0</v>
      </c>
      <c r="T320" s="2" t="b">
        <f>NOT(IF(OR(Table1938[[#This Row],[Language]]&lt;&gt;"en",Table1938[[#This Row],[Language]]&lt;&gt;"EN",Table1938[[#This Row],[Language]]&lt;&gt;"spa",Table1938[[#This Row],[Language]]&lt;&gt;"SPA"),TRUE,FALSE))</f>
        <v>0</v>
      </c>
      <c r="U320" s="2" t="b">
        <f>IF(AND(Table1938[[#This Row],[EC-01]]=FALSE,Table1938[[#This Row],[EC-02]]=FALSE,Table1938[[#This Row],[EC-03]]=FALSE,Table1938[[#This Row],[EC-04]]=FALSE,Table1938[[#This Row],[EC-05]]=FALSE,Table1938[[#This Row],[EC-06]]=FALSE),TRUE,FALSE)</f>
        <v>1</v>
      </c>
      <c r="V320" s="2" t="b">
        <f>IF(Table1938[[#This Row],[Date]]&lt;&gt;"",AND(YEAR(Table1938[[#This Row],[Date]])&gt;=2010, YEAR(Table1938[[#This Row],[Date]])&lt;=2024),FALSE)</f>
        <v>1</v>
      </c>
      <c r="W320" s="2" t="b">
        <f>IF(Table1938[[#This Row],[Date]]&lt;&gt;"",AND(YEAR(Table1938[[#This Row],[Date]])&gt;=2010, YEAR(Table1938[[#This Row],[Date]])&lt;=2020),FALSE)</f>
        <v>0</v>
      </c>
      <c r="X320" s="2" t="b">
        <f>IF(AND(Table1938[[#This Row],[Accesible]]=TRUE,Table1938[[#This Row],[DOI]]&lt;&gt;""),TRUE,FALSE)</f>
        <v>1</v>
      </c>
      <c r="Y320" s="2" t="b">
        <f>OR(Table1938[[#This Row],[Document Type]]="journalArticle",Table1938[[#This Row],[Document Type]]="conferencePaper",Table1938[[#This Row],[Document Type]]="review")</f>
        <v>1</v>
      </c>
      <c r="Z320" s="2" t="b" cm="1">
        <f t="array" ref="Z320">SUMPRODUCT(--ISNUMBER(SEARCH({"dimensional analysis","dimensionless coefficients","Π","Pi","theorem","software","design","tools","development","architecture","similar"}, LOWER(Table1938[[#This Row],[Title]]))))&gt;0</f>
        <v>0</v>
      </c>
      <c r="AA320" s="2" t="b" cm="1">
        <f t="array" ref="AA320">SUMPRODUCT(--ISNUMBER(SEARCH({"dimensional analysis","dimensionless coefficients","Π","Pi","theorem","software","design","tools","development","architecture","similar"}, LOWER(Table1938[[#This Row],[Abstract]]))))&gt;0</f>
        <v>1</v>
      </c>
      <c r="AB320" s="2" t="b">
        <f>AND(OR(Table1938[[#This Row],[IC-01 @2024]:[IC-01 @2020]])=TRUE,Table1938[[#This Row],[IC-02]]=TRUE,Table1938[[#This Row],[IC-03]]=TRUE,Table1938[[#This Row],[IC-04]]=TRUE,Table1938[[#This Row],[IC-05]]=TRUE)</f>
        <v>0</v>
      </c>
      <c r="AC320" s="2" t="b">
        <f>AND(Table1938[[#This Row],[Pass-IC]]=TRUE,Table1938[[#This Row],[Pass-EC]]=TRUE)</f>
        <v>0</v>
      </c>
      <c r="AD320" s="2" t="b">
        <f>COUNTIF($D$25:D320, Table1938[[#This Row],[Title]]) = 1</f>
        <v>1</v>
      </c>
      <c r="AE320" s="2" t="b">
        <f>AND(Table1938[[#This Row],[IC + EC]:[Unique]])</f>
        <v>0</v>
      </c>
      <c r="AF320" s="2" t="b">
        <v>0</v>
      </c>
      <c r="AG320" s="2" t="b">
        <v>0</v>
      </c>
      <c r="AH320" s="2" t="b">
        <v>0</v>
      </c>
      <c r="AI320" s="2" t="b">
        <f>IF(AND(Table1938[[#This Row],[Double Check]]=TRUE,Table1938[[#This Row],[Inspected]]=TRUE,Table1938[[#This Row],[Relevant]]=TRUE),TRUE,FALSE)</f>
        <v>0</v>
      </c>
    </row>
    <row r="321" spans="1:35" ht="71.7" x14ac:dyDescent="0.5">
      <c r="A321" s="2">
        <v>320</v>
      </c>
      <c r="B321" s="20" t="s">
        <v>3</v>
      </c>
      <c r="C321" s="20" t="s">
        <v>3249</v>
      </c>
      <c r="D321" s="20" t="s">
        <v>2084</v>
      </c>
      <c r="E321" s="20" t="s">
        <v>2083</v>
      </c>
      <c r="F321" s="2" t="s">
        <v>2086</v>
      </c>
      <c r="G321" s="20" t="s">
        <v>1014</v>
      </c>
      <c r="H321" s="36">
        <v>43252</v>
      </c>
      <c r="I321" s="20">
        <v>2018</v>
      </c>
      <c r="J321" s="20" t="s">
        <v>61</v>
      </c>
      <c r="K321" s="20" t="s">
        <v>3250</v>
      </c>
      <c r="L321" s="20" t="s">
        <v>2515</v>
      </c>
      <c r="M321" s="20" t="s">
        <v>2085</v>
      </c>
      <c r="N321" s="20" t="b">
        <v>1</v>
      </c>
      <c r="O321" s="2" t="b">
        <f>IF(Table1938[[#This Row],[Title]]="",TRUE,FALSE)</f>
        <v>0</v>
      </c>
      <c r="P321" s="2" t="b">
        <f>IF(Table1938[[#This Row],[Author]]="",TRUE,FALSE)</f>
        <v>0</v>
      </c>
      <c r="Q321" s="2" t="b">
        <f>IF(Table1938[[#This Row],[DOI]]&lt;&gt;"", FALSE,TRUE)</f>
        <v>0</v>
      </c>
      <c r="R321" s="2" t="b">
        <f>IF(Table1938[[#This Row],[Abstract]]="",TRUE,FALSE)</f>
        <v>0</v>
      </c>
      <c r="S321" s="2" t="b">
        <f>IF(OR(Table1938[[#This Row],[Document Type]]="book",Table1938[[#This Row],[Document Type]]="bookSection"),TRUE,FALSE)</f>
        <v>0</v>
      </c>
      <c r="T321" s="2" t="b">
        <f>NOT(IF(OR(Table1938[[#This Row],[Language]]&lt;&gt;"en",Table1938[[#This Row],[Language]]&lt;&gt;"EN",Table1938[[#This Row],[Language]]&lt;&gt;"spa",Table1938[[#This Row],[Language]]&lt;&gt;"SPA"),TRUE,FALSE))</f>
        <v>0</v>
      </c>
      <c r="U321" s="2" t="b">
        <f>IF(AND(Table1938[[#This Row],[EC-01]]=FALSE,Table1938[[#This Row],[EC-02]]=FALSE,Table1938[[#This Row],[EC-03]]=FALSE,Table1938[[#This Row],[EC-04]]=FALSE,Table1938[[#This Row],[EC-05]]=FALSE,Table1938[[#This Row],[EC-06]]=FALSE),TRUE,FALSE)</f>
        <v>1</v>
      </c>
      <c r="V321" s="2" t="b">
        <f>IF(Table1938[[#This Row],[Date]]&lt;&gt;"",AND(YEAR(Table1938[[#This Row],[Date]])&gt;=2010, YEAR(Table1938[[#This Row],[Date]])&lt;=2024),FALSE)</f>
        <v>1</v>
      </c>
      <c r="W321" s="2" t="b">
        <f>IF(Table1938[[#This Row],[Date]]&lt;&gt;"",AND(YEAR(Table1938[[#This Row],[Date]])&gt;=2010, YEAR(Table1938[[#This Row],[Date]])&lt;=2020),FALSE)</f>
        <v>1</v>
      </c>
      <c r="X321" s="2" t="b">
        <f>IF(AND(Table1938[[#This Row],[Accesible]]=TRUE,Table1938[[#This Row],[DOI]]&lt;&gt;""),TRUE,FALSE)</f>
        <v>1</v>
      </c>
      <c r="Y321" s="2" t="b">
        <f>OR(Table1938[[#This Row],[Document Type]]="journalArticle",Table1938[[#This Row],[Document Type]]="conferencePaper",Table1938[[#This Row],[Document Type]]="review")</f>
        <v>1</v>
      </c>
      <c r="Z321" s="2" t="b" cm="1">
        <f t="array" ref="Z321">SUMPRODUCT(--ISNUMBER(SEARCH({"dimensional analysis","dimensionless coefficients","Π","Pi","theorem","software","design","tools","development","architecture","similar"}, LOWER(Table1938[[#This Row],[Title]]))))&gt;0</f>
        <v>0</v>
      </c>
      <c r="AA321" s="2" t="b" cm="1">
        <f t="array" ref="AA321">SUMPRODUCT(--ISNUMBER(SEARCH({"dimensional analysis","dimensionless coefficients","Π","Pi","theorem","software","design","tools","development","architecture","similar"}, LOWER(Table1938[[#This Row],[Abstract]]))))&gt;0</f>
        <v>1</v>
      </c>
      <c r="AB321" s="2" t="b">
        <f>AND(OR(Table1938[[#This Row],[IC-01 @2024]:[IC-01 @2020]])=TRUE,Table1938[[#This Row],[IC-02]]=TRUE,Table1938[[#This Row],[IC-03]]=TRUE,Table1938[[#This Row],[IC-04]]=TRUE,Table1938[[#This Row],[IC-05]]=TRUE)</f>
        <v>0</v>
      </c>
      <c r="AC321" s="2" t="b">
        <f>AND(Table1938[[#This Row],[Pass-IC]]=TRUE,Table1938[[#This Row],[Pass-EC]]=TRUE)</f>
        <v>0</v>
      </c>
      <c r="AD321" s="2" t="b">
        <f>COUNTIF($D$25:D321, Table1938[[#This Row],[Title]]) = 1</f>
        <v>1</v>
      </c>
      <c r="AE321" s="2" t="b">
        <f>AND(Table1938[[#This Row],[IC + EC]:[Unique]])</f>
        <v>0</v>
      </c>
      <c r="AF321" s="2" t="b">
        <v>0</v>
      </c>
      <c r="AG321" s="2" t="b">
        <v>0</v>
      </c>
      <c r="AH321" s="2" t="b">
        <v>0</v>
      </c>
      <c r="AI321" s="2" t="b">
        <f>IF(AND(Table1938[[#This Row],[Double Check]]=TRUE,Table1938[[#This Row],[Inspected]]=TRUE,Table1938[[#This Row],[Relevant]]=TRUE),TRUE,FALSE)</f>
        <v>0</v>
      </c>
    </row>
    <row r="322" spans="1:35" ht="57.35" x14ac:dyDescent="0.5">
      <c r="A322" s="2">
        <v>321</v>
      </c>
      <c r="B322" s="20" t="s">
        <v>3</v>
      </c>
      <c r="C322" s="20" t="s">
        <v>3251</v>
      </c>
      <c r="D322" s="20" t="s">
        <v>1849</v>
      </c>
      <c r="E322" s="20" t="s">
        <v>1848</v>
      </c>
      <c r="F322" s="2" t="s">
        <v>1851</v>
      </c>
      <c r="G322" s="20" t="s">
        <v>996</v>
      </c>
      <c r="H322" s="36">
        <v>44348</v>
      </c>
      <c r="I322" s="20">
        <v>2021</v>
      </c>
      <c r="J322" s="20" t="s">
        <v>61</v>
      </c>
      <c r="K322" s="20" t="s">
        <v>3252</v>
      </c>
      <c r="L322" s="20" t="s">
        <v>2515</v>
      </c>
      <c r="M322" s="20" t="s">
        <v>1850</v>
      </c>
      <c r="N322" s="20" t="b">
        <v>1</v>
      </c>
      <c r="O322" s="2" t="b">
        <f>IF(Table1938[[#This Row],[Title]]="",TRUE,FALSE)</f>
        <v>0</v>
      </c>
      <c r="P322" s="2" t="b">
        <f>IF(Table1938[[#This Row],[Author]]="",TRUE,FALSE)</f>
        <v>0</v>
      </c>
      <c r="Q322" s="2" t="b">
        <f>IF(Table1938[[#This Row],[DOI]]&lt;&gt;"", FALSE,TRUE)</f>
        <v>0</v>
      </c>
      <c r="R322" s="2" t="b">
        <f>IF(Table1938[[#This Row],[Abstract]]="",TRUE,FALSE)</f>
        <v>0</v>
      </c>
      <c r="S322" s="2" t="b">
        <f>IF(OR(Table1938[[#This Row],[Document Type]]="book",Table1938[[#This Row],[Document Type]]="bookSection"),TRUE,FALSE)</f>
        <v>0</v>
      </c>
      <c r="T322" s="2" t="b">
        <f>NOT(IF(OR(Table1938[[#This Row],[Language]]&lt;&gt;"en",Table1938[[#This Row],[Language]]&lt;&gt;"EN",Table1938[[#This Row],[Language]]&lt;&gt;"spa",Table1938[[#This Row],[Language]]&lt;&gt;"SPA"),TRUE,FALSE))</f>
        <v>0</v>
      </c>
      <c r="U322" s="2" t="b">
        <f>IF(AND(Table1938[[#This Row],[EC-01]]=FALSE,Table1938[[#This Row],[EC-02]]=FALSE,Table1938[[#This Row],[EC-03]]=FALSE,Table1938[[#This Row],[EC-04]]=FALSE,Table1938[[#This Row],[EC-05]]=FALSE,Table1938[[#This Row],[EC-06]]=FALSE),TRUE,FALSE)</f>
        <v>1</v>
      </c>
      <c r="V322" s="2" t="b">
        <f>IF(Table1938[[#This Row],[Date]]&lt;&gt;"",AND(YEAR(Table1938[[#This Row],[Date]])&gt;=2010, YEAR(Table1938[[#This Row],[Date]])&lt;=2024),FALSE)</f>
        <v>1</v>
      </c>
      <c r="W322" s="2" t="b">
        <f>IF(Table1938[[#This Row],[Date]]&lt;&gt;"",AND(YEAR(Table1938[[#This Row],[Date]])&gt;=2010, YEAR(Table1938[[#This Row],[Date]])&lt;=2020),FALSE)</f>
        <v>0</v>
      </c>
      <c r="X322" s="2" t="b">
        <f>IF(AND(Table1938[[#This Row],[Accesible]]=TRUE,Table1938[[#This Row],[DOI]]&lt;&gt;""),TRUE,FALSE)</f>
        <v>1</v>
      </c>
      <c r="Y322" s="2" t="b">
        <f>OR(Table1938[[#This Row],[Document Type]]="journalArticle",Table1938[[#This Row],[Document Type]]="conferencePaper",Table1938[[#This Row],[Document Type]]="review")</f>
        <v>1</v>
      </c>
      <c r="Z322" s="2" t="b" cm="1">
        <f t="array" ref="Z322">SUMPRODUCT(--ISNUMBER(SEARCH({"dimensional analysis","dimensionless coefficients","Π","Pi","theorem","software","design","tools","development","architecture","similar"}, LOWER(Table1938[[#This Row],[Title]]))))&gt;0</f>
        <v>0</v>
      </c>
      <c r="AA322" s="2" t="b" cm="1">
        <f t="array" ref="AA322">SUMPRODUCT(--ISNUMBER(SEARCH({"dimensional analysis","dimensionless coefficients","Π","Pi","theorem","software","design","tools","development","architecture","similar"}, LOWER(Table1938[[#This Row],[Abstract]]))))&gt;0</f>
        <v>1</v>
      </c>
      <c r="AB322" s="2" t="b">
        <f>AND(OR(Table1938[[#This Row],[IC-01 @2024]:[IC-01 @2020]])=TRUE,Table1938[[#This Row],[IC-02]]=TRUE,Table1938[[#This Row],[IC-03]]=TRUE,Table1938[[#This Row],[IC-04]]=TRUE,Table1938[[#This Row],[IC-05]]=TRUE)</f>
        <v>0</v>
      </c>
      <c r="AC322" s="2" t="b">
        <f>AND(Table1938[[#This Row],[Pass-IC]]=TRUE,Table1938[[#This Row],[Pass-EC]]=TRUE)</f>
        <v>0</v>
      </c>
      <c r="AD322" s="2" t="b">
        <f>COUNTIF($D$25:D322, Table1938[[#This Row],[Title]]) = 1</f>
        <v>1</v>
      </c>
      <c r="AE322" s="2" t="b">
        <f>AND(Table1938[[#This Row],[IC + EC]:[Unique]])</f>
        <v>0</v>
      </c>
      <c r="AF322" s="2" t="b">
        <v>0</v>
      </c>
      <c r="AG322" s="2" t="b">
        <v>0</v>
      </c>
      <c r="AH322" s="2" t="b">
        <v>0</v>
      </c>
      <c r="AI322" s="2" t="b">
        <f>IF(AND(Table1938[[#This Row],[Double Check]]=TRUE,Table1938[[#This Row],[Inspected]]=TRUE,Table1938[[#This Row],[Relevant]]=TRUE),TRUE,FALSE)</f>
        <v>0</v>
      </c>
    </row>
    <row r="323" spans="1:35" ht="57.35" x14ac:dyDescent="0.5">
      <c r="A323" s="2">
        <v>322</v>
      </c>
      <c r="B323" s="20" t="s">
        <v>3</v>
      </c>
      <c r="C323" s="20" t="s">
        <v>3253</v>
      </c>
      <c r="D323" s="20" t="s">
        <v>1491</v>
      </c>
      <c r="E323" s="20" t="s">
        <v>1490</v>
      </c>
      <c r="F323" s="2" t="s">
        <v>1493</v>
      </c>
      <c r="G323" s="20" t="s">
        <v>939</v>
      </c>
      <c r="H323" s="36">
        <v>44515</v>
      </c>
      <c r="I323" s="20">
        <v>2021</v>
      </c>
      <c r="J323" s="20" t="s">
        <v>61</v>
      </c>
      <c r="K323" s="20" t="s">
        <v>3254</v>
      </c>
      <c r="L323" s="20" t="s">
        <v>2515</v>
      </c>
      <c r="M323" s="20" t="s">
        <v>1492</v>
      </c>
      <c r="N323" s="20" t="b">
        <v>1</v>
      </c>
      <c r="O323" s="2" t="b">
        <f>IF(Table1938[[#This Row],[Title]]="",TRUE,FALSE)</f>
        <v>0</v>
      </c>
      <c r="P323" s="2" t="b">
        <f>IF(Table1938[[#This Row],[Author]]="",TRUE,FALSE)</f>
        <v>0</v>
      </c>
      <c r="Q323" s="2" t="b">
        <f>IF(Table1938[[#This Row],[DOI]]&lt;&gt;"", FALSE,TRUE)</f>
        <v>0</v>
      </c>
      <c r="R323" s="2" t="b">
        <f>IF(Table1938[[#This Row],[Abstract]]="",TRUE,FALSE)</f>
        <v>0</v>
      </c>
      <c r="S323" s="2" t="b">
        <f>IF(OR(Table1938[[#This Row],[Document Type]]="book",Table1938[[#This Row],[Document Type]]="bookSection"),TRUE,FALSE)</f>
        <v>0</v>
      </c>
      <c r="T323" s="2" t="b">
        <f>NOT(IF(OR(Table1938[[#This Row],[Language]]&lt;&gt;"en",Table1938[[#This Row],[Language]]&lt;&gt;"EN",Table1938[[#This Row],[Language]]&lt;&gt;"spa",Table1938[[#This Row],[Language]]&lt;&gt;"SPA"),TRUE,FALSE))</f>
        <v>0</v>
      </c>
      <c r="U323" s="2" t="b">
        <f>IF(AND(Table1938[[#This Row],[EC-01]]=FALSE,Table1938[[#This Row],[EC-02]]=FALSE,Table1938[[#This Row],[EC-03]]=FALSE,Table1938[[#This Row],[EC-04]]=FALSE,Table1938[[#This Row],[EC-05]]=FALSE,Table1938[[#This Row],[EC-06]]=FALSE),TRUE,FALSE)</f>
        <v>1</v>
      </c>
      <c r="V323" s="2" t="b">
        <f>IF(Table1938[[#This Row],[Date]]&lt;&gt;"",AND(YEAR(Table1938[[#This Row],[Date]])&gt;=2010, YEAR(Table1938[[#This Row],[Date]])&lt;=2024),FALSE)</f>
        <v>1</v>
      </c>
      <c r="W323" s="2" t="b">
        <f>IF(Table1938[[#This Row],[Date]]&lt;&gt;"",AND(YEAR(Table1938[[#This Row],[Date]])&gt;=2010, YEAR(Table1938[[#This Row],[Date]])&lt;=2020),FALSE)</f>
        <v>0</v>
      </c>
      <c r="X323" s="2" t="b">
        <f>IF(AND(Table1938[[#This Row],[Accesible]]=TRUE,Table1938[[#This Row],[DOI]]&lt;&gt;""),TRUE,FALSE)</f>
        <v>1</v>
      </c>
      <c r="Y323" s="2" t="b">
        <f>OR(Table1938[[#This Row],[Document Type]]="journalArticle",Table1938[[#This Row],[Document Type]]="conferencePaper",Table1938[[#This Row],[Document Type]]="review")</f>
        <v>1</v>
      </c>
      <c r="Z323" s="2" t="b" cm="1">
        <f t="array" ref="Z323">SUMPRODUCT(--ISNUMBER(SEARCH({"dimensional analysis","dimensionless coefficients","Π","Pi","theorem","software","design","tools","development","architecture","similar"}, LOWER(Table1938[[#This Row],[Title]]))))&gt;0</f>
        <v>1</v>
      </c>
      <c r="AA323" s="2" t="b" cm="1">
        <f t="array" ref="AA323">SUMPRODUCT(--ISNUMBER(SEARCH({"dimensional analysis","dimensionless coefficients","Π","Pi","theorem","software","design","tools","development","architecture","similar"}, LOWER(Table1938[[#This Row],[Abstract]]))))&gt;0</f>
        <v>1</v>
      </c>
      <c r="AB323" s="2" t="b">
        <f>AND(OR(Table1938[[#This Row],[IC-01 @2024]:[IC-01 @2020]])=TRUE,Table1938[[#This Row],[IC-02]]=TRUE,Table1938[[#This Row],[IC-03]]=TRUE,Table1938[[#This Row],[IC-04]]=TRUE,Table1938[[#This Row],[IC-05]]=TRUE)</f>
        <v>1</v>
      </c>
      <c r="AC323" s="2" t="b">
        <f>AND(Table1938[[#This Row],[Pass-IC]]=TRUE,Table1938[[#This Row],[Pass-EC]]=TRUE)</f>
        <v>1</v>
      </c>
      <c r="AD323" s="2" t="b">
        <f>COUNTIF($D$25:D323, Table1938[[#This Row],[Title]]) = 1</f>
        <v>1</v>
      </c>
      <c r="AE323" s="2" t="b">
        <f>AND(Table1938[[#This Row],[IC + EC]:[Unique]])</f>
        <v>1</v>
      </c>
      <c r="AF323" s="2" t="b">
        <v>1</v>
      </c>
      <c r="AG323" s="2" t="b">
        <v>0</v>
      </c>
      <c r="AH323" s="2" t="b">
        <v>0</v>
      </c>
      <c r="AI323" s="2" t="b">
        <f>IF(AND(Table1938[[#This Row],[Double Check]]=TRUE,Table1938[[#This Row],[Inspected]]=TRUE,Table1938[[#This Row],[Relevant]]=TRUE),TRUE,FALSE)</f>
        <v>0</v>
      </c>
    </row>
    <row r="324" spans="1:35" ht="57.35" x14ac:dyDescent="0.5">
      <c r="A324" s="2">
        <v>323</v>
      </c>
      <c r="B324" s="20" t="s">
        <v>3</v>
      </c>
      <c r="C324" s="20" t="s">
        <v>3255</v>
      </c>
      <c r="D324" s="20" t="s">
        <v>1326</v>
      </c>
      <c r="E324" s="20" t="s">
        <v>1325</v>
      </c>
      <c r="F324" s="2" t="s">
        <v>1328</v>
      </c>
      <c r="G324" s="20" t="s">
        <v>939</v>
      </c>
      <c r="H324" s="36">
        <v>44774</v>
      </c>
      <c r="I324" s="20">
        <v>2022</v>
      </c>
      <c r="J324" s="20" t="s">
        <v>61</v>
      </c>
      <c r="K324" s="20" t="s">
        <v>3256</v>
      </c>
      <c r="L324" s="20" t="s">
        <v>2515</v>
      </c>
      <c r="M324" s="20" t="s">
        <v>1327</v>
      </c>
      <c r="N324" s="20" t="b">
        <v>1</v>
      </c>
      <c r="O324" s="2" t="b">
        <f>IF(Table1938[[#This Row],[Title]]="",TRUE,FALSE)</f>
        <v>0</v>
      </c>
      <c r="P324" s="2" t="b">
        <f>IF(Table1938[[#This Row],[Author]]="",TRUE,FALSE)</f>
        <v>0</v>
      </c>
      <c r="Q324" s="2" t="b">
        <f>IF(Table1938[[#This Row],[DOI]]&lt;&gt;"", FALSE,TRUE)</f>
        <v>0</v>
      </c>
      <c r="R324" s="2" t="b">
        <f>IF(Table1938[[#This Row],[Abstract]]="",TRUE,FALSE)</f>
        <v>0</v>
      </c>
      <c r="S324" s="2" t="b">
        <f>IF(OR(Table1938[[#This Row],[Document Type]]="book",Table1938[[#This Row],[Document Type]]="bookSection"),TRUE,FALSE)</f>
        <v>0</v>
      </c>
      <c r="T324" s="2" t="b">
        <f>NOT(IF(OR(Table1938[[#This Row],[Language]]&lt;&gt;"en",Table1938[[#This Row],[Language]]&lt;&gt;"EN",Table1938[[#This Row],[Language]]&lt;&gt;"spa",Table1938[[#This Row],[Language]]&lt;&gt;"SPA"),TRUE,FALSE))</f>
        <v>0</v>
      </c>
      <c r="U324" s="2" t="b">
        <f>IF(AND(Table1938[[#This Row],[EC-01]]=FALSE,Table1938[[#This Row],[EC-02]]=FALSE,Table1938[[#This Row],[EC-03]]=FALSE,Table1938[[#This Row],[EC-04]]=FALSE,Table1938[[#This Row],[EC-05]]=FALSE,Table1938[[#This Row],[EC-06]]=FALSE),TRUE,FALSE)</f>
        <v>1</v>
      </c>
      <c r="V324" s="2" t="b">
        <f>IF(Table1938[[#This Row],[Date]]&lt;&gt;"",AND(YEAR(Table1938[[#This Row],[Date]])&gt;=2010, YEAR(Table1938[[#This Row],[Date]])&lt;=2024),FALSE)</f>
        <v>1</v>
      </c>
      <c r="W324" s="2" t="b">
        <f>IF(Table1938[[#This Row],[Date]]&lt;&gt;"",AND(YEAR(Table1938[[#This Row],[Date]])&gt;=2010, YEAR(Table1938[[#This Row],[Date]])&lt;=2020),FALSE)</f>
        <v>0</v>
      </c>
      <c r="X324" s="2" t="b">
        <f>IF(AND(Table1938[[#This Row],[Accesible]]=TRUE,Table1938[[#This Row],[DOI]]&lt;&gt;""),TRUE,FALSE)</f>
        <v>1</v>
      </c>
      <c r="Y324" s="2" t="b">
        <f>OR(Table1938[[#This Row],[Document Type]]="journalArticle",Table1938[[#This Row],[Document Type]]="conferencePaper",Table1938[[#This Row],[Document Type]]="review")</f>
        <v>1</v>
      </c>
      <c r="Z324" s="2" t="b" cm="1">
        <f t="array" ref="Z324">SUMPRODUCT(--ISNUMBER(SEARCH({"dimensional analysis","dimensionless coefficients","Π","Pi","theorem","software","design","tools","development","architecture","similar"}, LOWER(Table1938[[#This Row],[Title]]))))&gt;0</f>
        <v>0</v>
      </c>
      <c r="AA324" s="2" t="b" cm="1">
        <f t="array" ref="AA324">SUMPRODUCT(--ISNUMBER(SEARCH({"dimensional analysis","dimensionless coefficients","Π","Pi","theorem","software","design","tools","development","architecture","similar"}, LOWER(Table1938[[#This Row],[Abstract]]))))&gt;0</f>
        <v>1</v>
      </c>
      <c r="AB324" s="2" t="b">
        <f>AND(OR(Table1938[[#This Row],[IC-01 @2024]:[IC-01 @2020]])=TRUE,Table1938[[#This Row],[IC-02]]=TRUE,Table1938[[#This Row],[IC-03]]=TRUE,Table1938[[#This Row],[IC-04]]=TRUE,Table1938[[#This Row],[IC-05]]=TRUE)</f>
        <v>0</v>
      </c>
      <c r="AC324" s="2" t="b">
        <f>AND(Table1938[[#This Row],[Pass-IC]]=TRUE,Table1938[[#This Row],[Pass-EC]]=TRUE)</f>
        <v>0</v>
      </c>
      <c r="AD324" s="2" t="b">
        <f>COUNTIF($D$25:D324, Table1938[[#This Row],[Title]]) = 1</f>
        <v>1</v>
      </c>
      <c r="AE324" s="2" t="b">
        <f>AND(Table1938[[#This Row],[IC + EC]:[Unique]])</f>
        <v>0</v>
      </c>
      <c r="AF324" s="2" t="b">
        <v>0</v>
      </c>
      <c r="AG324" s="2" t="b">
        <v>0</v>
      </c>
      <c r="AH324" s="2" t="b">
        <v>0</v>
      </c>
      <c r="AI324" s="2" t="b">
        <f>IF(AND(Table1938[[#This Row],[Double Check]]=TRUE,Table1938[[#This Row],[Inspected]]=TRUE,Table1938[[#This Row],[Relevant]]=TRUE),TRUE,FALSE)</f>
        <v>0</v>
      </c>
    </row>
    <row r="325" spans="1:35" ht="57.35" x14ac:dyDescent="0.5">
      <c r="A325" s="2">
        <v>324</v>
      </c>
      <c r="B325" s="20" t="s">
        <v>3</v>
      </c>
      <c r="C325" s="20" t="s">
        <v>3257</v>
      </c>
      <c r="D325" s="20" t="s">
        <v>1780</v>
      </c>
      <c r="E325" s="20" t="s">
        <v>1779</v>
      </c>
      <c r="F325" s="2" t="s">
        <v>1782</v>
      </c>
      <c r="G325" s="20" t="s">
        <v>932</v>
      </c>
      <c r="H325" s="36">
        <v>44652</v>
      </c>
      <c r="I325" s="20">
        <v>2022</v>
      </c>
      <c r="J325" s="20" t="s">
        <v>61</v>
      </c>
      <c r="K325" s="20" t="s">
        <v>3258</v>
      </c>
      <c r="L325" s="20" t="s">
        <v>2515</v>
      </c>
      <c r="M325" s="20" t="s">
        <v>1781</v>
      </c>
      <c r="N325" s="20" t="b">
        <v>1</v>
      </c>
      <c r="O325" s="2" t="b">
        <f>IF(Table1938[[#This Row],[Title]]="",TRUE,FALSE)</f>
        <v>0</v>
      </c>
      <c r="P325" s="2" t="b">
        <f>IF(Table1938[[#This Row],[Author]]="",TRUE,FALSE)</f>
        <v>0</v>
      </c>
      <c r="Q325" s="2" t="b">
        <f>IF(Table1938[[#This Row],[DOI]]&lt;&gt;"", FALSE,TRUE)</f>
        <v>0</v>
      </c>
      <c r="R325" s="2" t="b">
        <f>IF(Table1938[[#This Row],[Abstract]]="",TRUE,FALSE)</f>
        <v>0</v>
      </c>
      <c r="S325" s="2" t="b">
        <f>IF(OR(Table1938[[#This Row],[Document Type]]="book",Table1938[[#This Row],[Document Type]]="bookSection"),TRUE,FALSE)</f>
        <v>0</v>
      </c>
      <c r="T325" s="2" t="b">
        <f>NOT(IF(OR(Table1938[[#This Row],[Language]]&lt;&gt;"en",Table1938[[#This Row],[Language]]&lt;&gt;"EN",Table1938[[#This Row],[Language]]&lt;&gt;"spa",Table1938[[#This Row],[Language]]&lt;&gt;"SPA"),TRUE,FALSE))</f>
        <v>0</v>
      </c>
      <c r="U325" s="2" t="b">
        <f>IF(AND(Table1938[[#This Row],[EC-01]]=FALSE,Table1938[[#This Row],[EC-02]]=FALSE,Table1938[[#This Row],[EC-03]]=FALSE,Table1938[[#This Row],[EC-04]]=FALSE,Table1938[[#This Row],[EC-05]]=FALSE,Table1938[[#This Row],[EC-06]]=FALSE),TRUE,FALSE)</f>
        <v>1</v>
      </c>
      <c r="V325" s="2" t="b">
        <f>IF(Table1938[[#This Row],[Date]]&lt;&gt;"",AND(YEAR(Table1938[[#This Row],[Date]])&gt;=2010, YEAR(Table1938[[#This Row],[Date]])&lt;=2024),FALSE)</f>
        <v>1</v>
      </c>
      <c r="W325" s="2" t="b">
        <f>IF(Table1938[[#This Row],[Date]]&lt;&gt;"",AND(YEAR(Table1938[[#This Row],[Date]])&gt;=2010, YEAR(Table1938[[#This Row],[Date]])&lt;=2020),FALSE)</f>
        <v>0</v>
      </c>
      <c r="X325" s="2" t="b">
        <f>IF(AND(Table1938[[#This Row],[Accesible]]=TRUE,Table1938[[#This Row],[DOI]]&lt;&gt;""),TRUE,FALSE)</f>
        <v>1</v>
      </c>
      <c r="Y325" s="2" t="b">
        <f>OR(Table1938[[#This Row],[Document Type]]="journalArticle",Table1938[[#This Row],[Document Type]]="conferencePaper",Table1938[[#This Row],[Document Type]]="review")</f>
        <v>1</v>
      </c>
      <c r="Z325" s="2" t="b" cm="1">
        <f t="array" ref="Z325">SUMPRODUCT(--ISNUMBER(SEARCH({"dimensional analysis","dimensionless coefficients","Π","Pi","theorem","software","design","tools","development","architecture","similar"}, LOWER(Table1938[[#This Row],[Title]]))))&gt;0</f>
        <v>1</v>
      </c>
      <c r="AA325" s="2" t="b" cm="1">
        <f t="array" ref="AA325">SUMPRODUCT(--ISNUMBER(SEARCH({"dimensional analysis","dimensionless coefficients","Π","Pi","theorem","software","design","tools","development","architecture","similar"}, LOWER(Table1938[[#This Row],[Abstract]]))))&gt;0</f>
        <v>1</v>
      </c>
      <c r="AB325" s="2" t="b">
        <f>AND(OR(Table1938[[#This Row],[IC-01 @2024]:[IC-01 @2020]])=TRUE,Table1938[[#This Row],[IC-02]]=TRUE,Table1938[[#This Row],[IC-03]]=TRUE,Table1938[[#This Row],[IC-04]]=TRUE,Table1938[[#This Row],[IC-05]]=TRUE)</f>
        <v>1</v>
      </c>
      <c r="AC325" s="2" t="b">
        <f>AND(Table1938[[#This Row],[Pass-IC]]=TRUE,Table1938[[#This Row],[Pass-EC]]=TRUE)</f>
        <v>1</v>
      </c>
      <c r="AD325" s="2" t="b">
        <f>COUNTIF($D$25:D325, Table1938[[#This Row],[Title]]) = 1</f>
        <v>1</v>
      </c>
      <c r="AE325" s="2" t="b">
        <f>AND(Table1938[[#This Row],[IC + EC]:[Unique]])</f>
        <v>1</v>
      </c>
      <c r="AF325" s="2" t="b">
        <v>1</v>
      </c>
      <c r="AG325" s="2" t="b">
        <v>0</v>
      </c>
      <c r="AH325" s="2" t="b">
        <v>0</v>
      </c>
      <c r="AI325" s="2" t="b">
        <f>IF(AND(Table1938[[#This Row],[Double Check]]=TRUE,Table1938[[#This Row],[Inspected]]=TRUE,Table1938[[#This Row],[Relevant]]=TRUE),TRUE,FALSE)</f>
        <v>0</v>
      </c>
    </row>
    <row r="326" spans="1:35" ht="71.7" x14ac:dyDescent="0.5">
      <c r="A326" s="2">
        <v>325</v>
      </c>
      <c r="B326" s="20" t="s">
        <v>3</v>
      </c>
      <c r="C326" s="20" t="s">
        <v>3259</v>
      </c>
      <c r="D326" s="20" t="s">
        <v>2275</v>
      </c>
      <c r="E326" s="20" t="s">
        <v>2274</v>
      </c>
      <c r="F326" s="2" t="s">
        <v>2278</v>
      </c>
      <c r="G326" s="20" t="s">
        <v>2276</v>
      </c>
      <c r="H326" s="36">
        <v>42309</v>
      </c>
      <c r="I326" s="20">
        <v>2015</v>
      </c>
      <c r="J326" s="20" t="s">
        <v>61</v>
      </c>
      <c r="K326" s="20" t="s">
        <v>3260</v>
      </c>
      <c r="L326" s="20" t="s">
        <v>2515</v>
      </c>
      <c r="M326" s="20" t="s">
        <v>2277</v>
      </c>
      <c r="N326" s="20" t="b">
        <v>1</v>
      </c>
      <c r="O326" s="2" t="b">
        <f>IF(Table1938[[#This Row],[Title]]="",TRUE,FALSE)</f>
        <v>0</v>
      </c>
      <c r="P326" s="2" t="b">
        <f>IF(Table1938[[#This Row],[Author]]="",TRUE,FALSE)</f>
        <v>0</v>
      </c>
      <c r="Q326" s="2" t="b">
        <f>IF(Table1938[[#This Row],[DOI]]&lt;&gt;"", FALSE,TRUE)</f>
        <v>0</v>
      </c>
      <c r="R326" s="2" t="b">
        <f>IF(Table1938[[#This Row],[Abstract]]="",TRUE,FALSE)</f>
        <v>0</v>
      </c>
      <c r="S326" s="2" t="b">
        <f>IF(OR(Table1938[[#This Row],[Document Type]]="book",Table1938[[#This Row],[Document Type]]="bookSection"),TRUE,FALSE)</f>
        <v>0</v>
      </c>
      <c r="T326" s="2" t="b">
        <f>NOT(IF(OR(Table1938[[#This Row],[Language]]&lt;&gt;"en",Table1938[[#This Row],[Language]]&lt;&gt;"EN",Table1938[[#This Row],[Language]]&lt;&gt;"spa",Table1938[[#This Row],[Language]]&lt;&gt;"SPA"),TRUE,FALSE))</f>
        <v>0</v>
      </c>
      <c r="U326" s="2" t="b">
        <f>IF(AND(Table1938[[#This Row],[EC-01]]=FALSE,Table1938[[#This Row],[EC-02]]=FALSE,Table1938[[#This Row],[EC-03]]=FALSE,Table1938[[#This Row],[EC-04]]=FALSE,Table1938[[#This Row],[EC-05]]=FALSE,Table1938[[#This Row],[EC-06]]=FALSE),TRUE,FALSE)</f>
        <v>1</v>
      </c>
      <c r="V326" s="2" t="b">
        <f>IF(Table1938[[#This Row],[Date]]&lt;&gt;"",AND(YEAR(Table1938[[#This Row],[Date]])&gt;=2010, YEAR(Table1938[[#This Row],[Date]])&lt;=2024),FALSE)</f>
        <v>1</v>
      </c>
      <c r="W326" s="2" t="b">
        <f>IF(Table1938[[#This Row],[Date]]&lt;&gt;"",AND(YEAR(Table1938[[#This Row],[Date]])&gt;=2010, YEAR(Table1938[[#This Row],[Date]])&lt;=2020),FALSE)</f>
        <v>1</v>
      </c>
      <c r="X326" s="2" t="b">
        <f>IF(AND(Table1938[[#This Row],[Accesible]]=TRUE,Table1938[[#This Row],[DOI]]&lt;&gt;""),TRUE,FALSE)</f>
        <v>1</v>
      </c>
      <c r="Y326" s="2" t="b">
        <f>OR(Table1938[[#This Row],[Document Type]]="journalArticle",Table1938[[#This Row],[Document Type]]="conferencePaper",Table1938[[#This Row],[Document Type]]="review")</f>
        <v>1</v>
      </c>
      <c r="Z326" s="2" t="b" cm="1">
        <f t="array" ref="Z326">SUMPRODUCT(--ISNUMBER(SEARCH({"dimensional analysis","dimensionless coefficients","Π","Pi","theorem","software","design","tools","development","architecture","similar"}, LOWER(Table1938[[#This Row],[Title]]))))&gt;0</f>
        <v>0</v>
      </c>
      <c r="AA326" s="2" t="b" cm="1">
        <f t="array" ref="AA326">SUMPRODUCT(--ISNUMBER(SEARCH({"dimensional analysis","dimensionless coefficients","Π","Pi","theorem","software","design","tools","development","architecture","similar"}, LOWER(Table1938[[#This Row],[Abstract]]))))&gt;0</f>
        <v>1</v>
      </c>
      <c r="AB326" s="2" t="b">
        <f>AND(OR(Table1938[[#This Row],[IC-01 @2024]:[IC-01 @2020]])=TRUE,Table1938[[#This Row],[IC-02]]=TRUE,Table1938[[#This Row],[IC-03]]=TRUE,Table1938[[#This Row],[IC-04]]=TRUE,Table1938[[#This Row],[IC-05]]=TRUE)</f>
        <v>0</v>
      </c>
      <c r="AC326" s="2" t="b">
        <f>AND(Table1938[[#This Row],[Pass-IC]]=TRUE,Table1938[[#This Row],[Pass-EC]]=TRUE)</f>
        <v>0</v>
      </c>
      <c r="AD326" s="2" t="b">
        <f>COUNTIF($D$25:D326, Table1938[[#This Row],[Title]]) = 1</f>
        <v>1</v>
      </c>
      <c r="AE326" s="2" t="b">
        <f>AND(Table1938[[#This Row],[IC + EC]:[Unique]])</f>
        <v>0</v>
      </c>
      <c r="AF326" s="2" t="b">
        <v>0</v>
      </c>
      <c r="AG326" s="2" t="b">
        <v>0</v>
      </c>
      <c r="AH326" s="2" t="b">
        <v>0</v>
      </c>
      <c r="AI326" s="2" t="b">
        <f>IF(AND(Table1938[[#This Row],[Double Check]]=TRUE,Table1938[[#This Row],[Inspected]]=TRUE,Table1938[[#This Row],[Relevant]]=TRUE),TRUE,FALSE)</f>
        <v>0</v>
      </c>
    </row>
    <row r="327" spans="1:35" ht="57.35" x14ac:dyDescent="0.5">
      <c r="A327" s="2">
        <v>326</v>
      </c>
      <c r="B327" s="20" t="s">
        <v>3</v>
      </c>
      <c r="C327" s="20" t="s">
        <v>3261</v>
      </c>
      <c r="D327" s="20" t="s">
        <v>1339</v>
      </c>
      <c r="E327" s="20" t="s">
        <v>1338</v>
      </c>
      <c r="F327" s="2" t="s">
        <v>1341</v>
      </c>
      <c r="G327" s="20" t="s">
        <v>949</v>
      </c>
      <c r="H327" s="36">
        <v>45200</v>
      </c>
      <c r="I327" s="20">
        <v>2023</v>
      </c>
      <c r="J327" s="20" t="s">
        <v>61</v>
      </c>
      <c r="K327" s="20" t="s">
        <v>3262</v>
      </c>
      <c r="L327" s="20" t="s">
        <v>2515</v>
      </c>
      <c r="M327" s="20" t="s">
        <v>1340</v>
      </c>
      <c r="N327" s="20" t="b">
        <v>1</v>
      </c>
      <c r="O327" s="2" t="b">
        <f>IF(Table1938[[#This Row],[Title]]="",TRUE,FALSE)</f>
        <v>0</v>
      </c>
      <c r="P327" s="2" t="b">
        <f>IF(Table1938[[#This Row],[Author]]="",TRUE,FALSE)</f>
        <v>0</v>
      </c>
      <c r="Q327" s="2" t="b">
        <f>IF(Table1938[[#This Row],[DOI]]&lt;&gt;"", FALSE,TRUE)</f>
        <v>0</v>
      </c>
      <c r="R327" s="2" t="b">
        <f>IF(Table1938[[#This Row],[Abstract]]="",TRUE,FALSE)</f>
        <v>0</v>
      </c>
      <c r="S327" s="2" t="b">
        <f>IF(OR(Table1938[[#This Row],[Document Type]]="book",Table1938[[#This Row],[Document Type]]="bookSection"),TRUE,FALSE)</f>
        <v>0</v>
      </c>
      <c r="T327" s="2" t="b">
        <f>NOT(IF(OR(Table1938[[#This Row],[Language]]&lt;&gt;"en",Table1938[[#This Row],[Language]]&lt;&gt;"EN",Table1938[[#This Row],[Language]]&lt;&gt;"spa",Table1938[[#This Row],[Language]]&lt;&gt;"SPA"),TRUE,FALSE))</f>
        <v>0</v>
      </c>
      <c r="U327" s="2" t="b">
        <f>IF(AND(Table1938[[#This Row],[EC-01]]=FALSE,Table1938[[#This Row],[EC-02]]=FALSE,Table1938[[#This Row],[EC-03]]=FALSE,Table1938[[#This Row],[EC-04]]=FALSE,Table1938[[#This Row],[EC-05]]=FALSE,Table1938[[#This Row],[EC-06]]=FALSE),TRUE,FALSE)</f>
        <v>1</v>
      </c>
      <c r="V327" s="2" t="b">
        <f>IF(Table1938[[#This Row],[Date]]&lt;&gt;"",AND(YEAR(Table1938[[#This Row],[Date]])&gt;=2010, YEAR(Table1938[[#This Row],[Date]])&lt;=2024),FALSE)</f>
        <v>1</v>
      </c>
      <c r="W327" s="2" t="b">
        <f>IF(Table1938[[#This Row],[Date]]&lt;&gt;"",AND(YEAR(Table1938[[#This Row],[Date]])&gt;=2010, YEAR(Table1938[[#This Row],[Date]])&lt;=2020),FALSE)</f>
        <v>0</v>
      </c>
      <c r="X327" s="2" t="b">
        <f>IF(AND(Table1938[[#This Row],[Accesible]]=TRUE,Table1938[[#This Row],[DOI]]&lt;&gt;""),TRUE,FALSE)</f>
        <v>1</v>
      </c>
      <c r="Y327" s="2" t="b">
        <f>OR(Table1938[[#This Row],[Document Type]]="journalArticle",Table1938[[#This Row],[Document Type]]="conferencePaper",Table1938[[#This Row],[Document Type]]="review")</f>
        <v>1</v>
      </c>
      <c r="Z327" s="2" t="b" cm="1">
        <f t="array" ref="Z327">SUMPRODUCT(--ISNUMBER(SEARCH({"dimensional analysis","dimensionless coefficients","Π","Pi","theorem","software","design","tools","development","architecture","similar"}, LOWER(Table1938[[#This Row],[Title]]))))&gt;0</f>
        <v>0</v>
      </c>
      <c r="AA327" s="2" t="b" cm="1">
        <f t="array" ref="AA327">SUMPRODUCT(--ISNUMBER(SEARCH({"dimensional analysis","dimensionless coefficients","Π","Pi","theorem","software","design","tools","development","architecture","similar"}, LOWER(Table1938[[#This Row],[Abstract]]))))&gt;0</f>
        <v>1</v>
      </c>
      <c r="AB327" s="2" t="b">
        <f>AND(OR(Table1938[[#This Row],[IC-01 @2024]:[IC-01 @2020]])=TRUE,Table1938[[#This Row],[IC-02]]=TRUE,Table1938[[#This Row],[IC-03]]=TRUE,Table1938[[#This Row],[IC-04]]=TRUE,Table1938[[#This Row],[IC-05]]=TRUE)</f>
        <v>0</v>
      </c>
      <c r="AC327" s="2" t="b">
        <f>AND(Table1938[[#This Row],[Pass-IC]]=TRUE,Table1938[[#This Row],[Pass-EC]]=TRUE)</f>
        <v>0</v>
      </c>
      <c r="AD327" s="2" t="b">
        <f>COUNTIF($D$25:D327, Table1938[[#This Row],[Title]]) = 1</f>
        <v>1</v>
      </c>
      <c r="AE327" s="2" t="b">
        <f>AND(Table1938[[#This Row],[IC + EC]:[Unique]])</f>
        <v>0</v>
      </c>
      <c r="AF327" s="2" t="b">
        <v>0</v>
      </c>
      <c r="AG327" s="2" t="b">
        <v>0</v>
      </c>
      <c r="AH327" s="2" t="b">
        <v>0</v>
      </c>
      <c r="AI327" s="2" t="b">
        <f>IF(AND(Table1938[[#This Row],[Double Check]]=TRUE,Table1938[[#This Row],[Inspected]]=TRUE,Table1938[[#This Row],[Relevant]]=TRUE),TRUE,FALSE)</f>
        <v>0</v>
      </c>
    </row>
    <row r="328" spans="1:35" ht="57.35" x14ac:dyDescent="0.5">
      <c r="A328" s="2">
        <v>327</v>
      </c>
      <c r="B328" s="20" t="s">
        <v>3</v>
      </c>
      <c r="C328" s="20" t="s">
        <v>3263</v>
      </c>
      <c r="D328" s="20" t="s">
        <v>2180</v>
      </c>
      <c r="E328" s="20" t="s">
        <v>2179</v>
      </c>
      <c r="F328" s="2" t="s">
        <v>2182</v>
      </c>
      <c r="G328" s="20" t="s">
        <v>1006</v>
      </c>
      <c r="H328" s="36">
        <v>44317</v>
      </c>
      <c r="I328" s="20">
        <v>2021</v>
      </c>
      <c r="J328" s="20" t="s">
        <v>61</v>
      </c>
      <c r="K328" s="20" t="s">
        <v>3264</v>
      </c>
      <c r="L328" s="20" t="s">
        <v>2515</v>
      </c>
      <c r="M328" s="20" t="s">
        <v>2181</v>
      </c>
      <c r="N328" s="20" t="b">
        <v>1</v>
      </c>
      <c r="O328" s="2" t="b">
        <f>IF(Table1938[[#This Row],[Title]]="",TRUE,FALSE)</f>
        <v>0</v>
      </c>
      <c r="P328" s="2" t="b">
        <f>IF(Table1938[[#This Row],[Author]]="",TRUE,FALSE)</f>
        <v>0</v>
      </c>
      <c r="Q328" s="2" t="b">
        <f>IF(Table1938[[#This Row],[DOI]]&lt;&gt;"", FALSE,TRUE)</f>
        <v>0</v>
      </c>
      <c r="R328" s="2" t="b">
        <f>IF(Table1938[[#This Row],[Abstract]]="",TRUE,FALSE)</f>
        <v>0</v>
      </c>
      <c r="S328" s="2" t="b">
        <f>IF(OR(Table1938[[#This Row],[Document Type]]="book",Table1938[[#This Row],[Document Type]]="bookSection"),TRUE,FALSE)</f>
        <v>0</v>
      </c>
      <c r="T328" s="2" t="b">
        <f>NOT(IF(OR(Table1938[[#This Row],[Language]]&lt;&gt;"en",Table1938[[#This Row],[Language]]&lt;&gt;"EN",Table1938[[#This Row],[Language]]&lt;&gt;"spa",Table1938[[#This Row],[Language]]&lt;&gt;"SPA"),TRUE,FALSE))</f>
        <v>0</v>
      </c>
      <c r="U328" s="2" t="b">
        <f>IF(AND(Table1938[[#This Row],[EC-01]]=FALSE,Table1938[[#This Row],[EC-02]]=FALSE,Table1938[[#This Row],[EC-03]]=FALSE,Table1938[[#This Row],[EC-04]]=FALSE,Table1938[[#This Row],[EC-05]]=FALSE,Table1938[[#This Row],[EC-06]]=FALSE),TRUE,FALSE)</f>
        <v>1</v>
      </c>
      <c r="V328" s="2" t="b">
        <f>IF(Table1938[[#This Row],[Date]]&lt;&gt;"",AND(YEAR(Table1938[[#This Row],[Date]])&gt;=2010, YEAR(Table1938[[#This Row],[Date]])&lt;=2024),FALSE)</f>
        <v>1</v>
      </c>
      <c r="W328" s="2" t="b">
        <f>IF(Table1938[[#This Row],[Date]]&lt;&gt;"",AND(YEAR(Table1938[[#This Row],[Date]])&gt;=2010, YEAR(Table1938[[#This Row],[Date]])&lt;=2020),FALSE)</f>
        <v>0</v>
      </c>
      <c r="X328" s="2" t="b">
        <f>IF(AND(Table1938[[#This Row],[Accesible]]=TRUE,Table1938[[#This Row],[DOI]]&lt;&gt;""),TRUE,FALSE)</f>
        <v>1</v>
      </c>
      <c r="Y328" s="2" t="b">
        <f>OR(Table1938[[#This Row],[Document Type]]="journalArticle",Table1938[[#This Row],[Document Type]]="conferencePaper",Table1938[[#This Row],[Document Type]]="review")</f>
        <v>1</v>
      </c>
      <c r="Z328" s="2" t="b" cm="1">
        <f t="array" ref="Z328">SUMPRODUCT(--ISNUMBER(SEARCH({"dimensional analysis","dimensionless coefficients","Π","Pi","theorem","software","design","tools","development","architecture","similar"}, LOWER(Table1938[[#This Row],[Title]]))))&gt;0</f>
        <v>0</v>
      </c>
      <c r="AA328" s="2" t="b" cm="1">
        <f t="array" ref="AA328">SUMPRODUCT(--ISNUMBER(SEARCH({"dimensional analysis","dimensionless coefficients","Π","Pi","theorem","software","design","tools","development","architecture","similar"}, LOWER(Table1938[[#This Row],[Abstract]]))))&gt;0</f>
        <v>1</v>
      </c>
      <c r="AB328" s="2" t="b">
        <f>AND(OR(Table1938[[#This Row],[IC-01 @2024]:[IC-01 @2020]])=TRUE,Table1938[[#This Row],[IC-02]]=TRUE,Table1938[[#This Row],[IC-03]]=TRUE,Table1938[[#This Row],[IC-04]]=TRUE,Table1938[[#This Row],[IC-05]]=TRUE)</f>
        <v>0</v>
      </c>
      <c r="AC328" s="2" t="b">
        <f>AND(Table1938[[#This Row],[Pass-IC]]=TRUE,Table1938[[#This Row],[Pass-EC]]=TRUE)</f>
        <v>0</v>
      </c>
      <c r="AD328" s="2" t="b">
        <f>COUNTIF($D$25:D328, Table1938[[#This Row],[Title]]) = 1</f>
        <v>1</v>
      </c>
      <c r="AE328" s="2" t="b">
        <f>AND(Table1938[[#This Row],[IC + EC]:[Unique]])</f>
        <v>0</v>
      </c>
      <c r="AF328" s="2" t="b">
        <v>0</v>
      </c>
      <c r="AG328" s="2" t="b">
        <v>0</v>
      </c>
      <c r="AH328" s="2" t="b">
        <v>0</v>
      </c>
      <c r="AI328" s="2" t="b">
        <f>IF(AND(Table1938[[#This Row],[Double Check]]=TRUE,Table1938[[#This Row],[Inspected]]=TRUE,Table1938[[#This Row],[Relevant]]=TRUE),TRUE,FALSE)</f>
        <v>0</v>
      </c>
    </row>
    <row r="329" spans="1:35" ht="43" x14ac:dyDescent="0.5">
      <c r="A329" s="2">
        <v>328</v>
      </c>
      <c r="B329" s="20" t="s">
        <v>3</v>
      </c>
      <c r="C329" s="20" t="s">
        <v>3390</v>
      </c>
      <c r="D329" s="20" t="s">
        <v>1411</v>
      </c>
      <c r="E329" s="20" t="s">
        <v>1410</v>
      </c>
      <c r="F329" s="2" t="s">
        <v>1414</v>
      </c>
      <c r="G329" s="20" t="s">
        <v>1412</v>
      </c>
      <c r="H329" s="36">
        <v>45413</v>
      </c>
      <c r="I329" s="20">
        <v>2024</v>
      </c>
      <c r="J329" s="20" t="s">
        <v>61</v>
      </c>
      <c r="K329" s="20" t="s">
        <v>3391</v>
      </c>
      <c r="L329" s="20" t="s">
        <v>2515</v>
      </c>
      <c r="M329" s="20" t="s">
        <v>1413</v>
      </c>
      <c r="N329" s="20" t="b">
        <v>1</v>
      </c>
      <c r="O329" s="2" t="b">
        <f>IF(Table1938[[#This Row],[Title]]="",TRUE,FALSE)</f>
        <v>0</v>
      </c>
      <c r="P329" s="2" t="b">
        <f>IF(Table1938[[#This Row],[Author]]="",TRUE,FALSE)</f>
        <v>0</v>
      </c>
      <c r="Q329" s="2" t="b">
        <f>IF(Table1938[[#This Row],[DOI]]&lt;&gt;"", FALSE,TRUE)</f>
        <v>0</v>
      </c>
      <c r="R329" s="2" t="b">
        <f>IF(Table1938[[#This Row],[Abstract]]="",TRUE,FALSE)</f>
        <v>0</v>
      </c>
      <c r="S329" s="2" t="b">
        <f>IF(OR(Table1938[[#This Row],[Document Type]]="book",Table1938[[#This Row],[Document Type]]="bookSection"),TRUE,FALSE)</f>
        <v>0</v>
      </c>
      <c r="T329" s="2" t="b">
        <f>NOT(IF(OR(Table1938[[#This Row],[Language]]&lt;&gt;"en",Table1938[[#This Row],[Language]]&lt;&gt;"EN",Table1938[[#This Row],[Language]]&lt;&gt;"spa",Table1938[[#This Row],[Language]]&lt;&gt;"SPA"),TRUE,FALSE))</f>
        <v>0</v>
      </c>
      <c r="U329" s="2" t="b">
        <f>IF(AND(Table1938[[#This Row],[EC-01]]=FALSE,Table1938[[#This Row],[EC-02]]=FALSE,Table1938[[#This Row],[EC-03]]=FALSE,Table1938[[#This Row],[EC-04]]=FALSE,Table1938[[#This Row],[EC-05]]=FALSE,Table1938[[#This Row],[EC-06]]=FALSE),TRUE,FALSE)</f>
        <v>1</v>
      </c>
      <c r="V329" s="2" t="b">
        <f>IF(Table1938[[#This Row],[Date]]&lt;&gt;"",AND(YEAR(Table1938[[#This Row],[Date]])&gt;=2010, YEAR(Table1938[[#This Row],[Date]])&lt;=2024),FALSE)</f>
        <v>1</v>
      </c>
      <c r="W329" s="2" t="b">
        <f>IF(Table1938[[#This Row],[Date]]&lt;&gt;"",AND(YEAR(Table1938[[#This Row],[Date]])&gt;=2010, YEAR(Table1938[[#This Row],[Date]])&lt;=2020),FALSE)</f>
        <v>0</v>
      </c>
      <c r="X329" s="2" t="b">
        <f>IF(AND(Table1938[[#This Row],[Accesible]]=TRUE,Table1938[[#This Row],[DOI]]&lt;&gt;""),TRUE,FALSE)</f>
        <v>1</v>
      </c>
      <c r="Y329" s="2" t="b">
        <f>OR(Table1938[[#This Row],[Document Type]]="journalArticle",Table1938[[#This Row],[Document Type]]="conferencePaper",Table1938[[#This Row],[Document Type]]="review")</f>
        <v>1</v>
      </c>
      <c r="Z329" s="2" t="b" cm="1">
        <f t="array" ref="Z329">SUMPRODUCT(--ISNUMBER(SEARCH({"dimensional analysis","dimensionless coefficients","Π","Pi","theorem","software","design","tools","development","architecture","similar"}, LOWER(Table1938[[#This Row],[Title]]))))&gt;0</f>
        <v>0</v>
      </c>
      <c r="AA329" s="2" t="b" cm="1">
        <f t="array" ref="AA329">SUMPRODUCT(--ISNUMBER(SEARCH({"dimensional analysis","dimensionless coefficients","Π","Pi","theorem","software","design","tools","development","architecture","similar"}, LOWER(Table1938[[#This Row],[Abstract]]))))&gt;0</f>
        <v>1</v>
      </c>
      <c r="AB329" s="2" t="b">
        <f>AND(OR(Table1938[[#This Row],[IC-01 @2024]:[IC-01 @2020]])=TRUE,Table1938[[#This Row],[IC-02]]=TRUE,Table1938[[#This Row],[IC-03]]=TRUE,Table1938[[#This Row],[IC-04]]=TRUE,Table1938[[#This Row],[IC-05]]=TRUE)</f>
        <v>0</v>
      </c>
      <c r="AC329" s="2" t="b">
        <f>AND(Table1938[[#This Row],[Pass-IC]]=TRUE,Table1938[[#This Row],[Pass-EC]]=TRUE)</f>
        <v>0</v>
      </c>
      <c r="AD329" s="2" t="b">
        <f>COUNTIF($D$25:D329, Table1938[[#This Row],[Title]]) = 1</f>
        <v>1</v>
      </c>
      <c r="AE329" s="2" t="b">
        <f>AND(Table1938[[#This Row],[IC + EC]:[Unique]])</f>
        <v>0</v>
      </c>
      <c r="AF329" s="2" t="b">
        <v>0</v>
      </c>
      <c r="AG329" s="2" t="b">
        <v>0</v>
      </c>
      <c r="AH329" s="2" t="b">
        <v>0</v>
      </c>
      <c r="AI329" s="2" t="b">
        <f>IF(AND(Table1938[[#This Row],[Double Check]]=TRUE,Table1938[[#This Row],[Inspected]]=TRUE,Table1938[[#This Row],[Relevant]]=TRUE),TRUE,FALSE)</f>
        <v>0</v>
      </c>
    </row>
    <row r="330" spans="1:35" ht="86" x14ac:dyDescent="0.5">
      <c r="A330" s="2">
        <v>329</v>
      </c>
      <c r="B330" s="20" t="s">
        <v>3</v>
      </c>
      <c r="C330" s="20" t="s">
        <v>3392</v>
      </c>
      <c r="D330" s="20" t="s">
        <v>1748</v>
      </c>
      <c r="E330" s="20" t="s">
        <v>1747</v>
      </c>
      <c r="F330" s="2" t="s">
        <v>1750</v>
      </c>
      <c r="G330" s="20" t="s">
        <v>954</v>
      </c>
      <c r="H330" s="36">
        <v>43771</v>
      </c>
      <c r="I330" s="20">
        <v>2019</v>
      </c>
      <c r="J330" s="20" t="s">
        <v>61</v>
      </c>
      <c r="K330" s="20" t="s">
        <v>3393</v>
      </c>
      <c r="L330" s="20" t="s">
        <v>2515</v>
      </c>
      <c r="M330" s="20" t="s">
        <v>1749</v>
      </c>
      <c r="N330" s="20" t="b">
        <v>1</v>
      </c>
      <c r="O330" s="2" t="b">
        <f>IF(Table1938[[#This Row],[Title]]="",TRUE,FALSE)</f>
        <v>0</v>
      </c>
      <c r="P330" s="2" t="b">
        <f>IF(Table1938[[#This Row],[Author]]="",TRUE,FALSE)</f>
        <v>0</v>
      </c>
      <c r="Q330" s="2" t="b">
        <f>IF(Table1938[[#This Row],[DOI]]&lt;&gt;"", FALSE,TRUE)</f>
        <v>0</v>
      </c>
      <c r="R330" s="2" t="b">
        <f>IF(Table1938[[#This Row],[Abstract]]="",TRUE,FALSE)</f>
        <v>0</v>
      </c>
      <c r="S330" s="2" t="b">
        <f>IF(OR(Table1938[[#This Row],[Document Type]]="book",Table1938[[#This Row],[Document Type]]="bookSection"),TRUE,FALSE)</f>
        <v>0</v>
      </c>
      <c r="T330" s="2" t="b">
        <f>NOT(IF(OR(Table1938[[#This Row],[Language]]&lt;&gt;"en",Table1938[[#This Row],[Language]]&lt;&gt;"EN",Table1938[[#This Row],[Language]]&lt;&gt;"spa",Table1938[[#This Row],[Language]]&lt;&gt;"SPA"),TRUE,FALSE))</f>
        <v>0</v>
      </c>
      <c r="U330" s="2" t="b">
        <f>IF(AND(Table1938[[#This Row],[EC-01]]=FALSE,Table1938[[#This Row],[EC-02]]=FALSE,Table1938[[#This Row],[EC-03]]=FALSE,Table1938[[#This Row],[EC-04]]=FALSE,Table1938[[#This Row],[EC-05]]=FALSE,Table1938[[#This Row],[EC-06]]=FALSE),TRUE,FALSE)</f>
        <v>1</v>
      </c>
      <c r="V330" s="2" t="b">
        <f>IF(Table1938[[#This Row],[Date]]&lt;&gt;"",AND(YEAR(Table1938[[#This Row],[Date]])&gt;=2010, YEAR(Table1938[[#This Row],[Date]])&lt;=2024),FALSE)</f>
        <v>1</v>
      </c>
      <c r="W330" s="2" t="b">
        <f>IF(Table1938[[#This Row],[Date]]&lt;&gt;"",AND(YEAR(Table1938[[#This Row],[Date]])&gt;=2010, YEAR(Table1938[[#This Row],[Date]])&lt;=2020),FALSE)</f>
        <v>1</v>
      </c>
      <c r="X330" s="2" t="b">
        <f>IF(AND(Table1938[[#This Row],[Accesible]]=TRUE,Table1938[[#This Row],[DOI]]&lt;&gt;""),TRUE,FALSE)</f>
        <v>1</v>
      </c>
      <c r="Y330" s="2" t="b">
        <f>OR(Table1938[[#This Row],[Document Type]]="journalArticle",Table1938[[#This Row],[Document Type]]="conferencePaper",Table1938[[#This Row],[Document Type]]="review")</f>
        <v>1</v>
      </c>
      <c r="Z330" s="2" t="b" cm="1">
        <f t="array" ref="Z330">SUMPRODUCT(--ISNUMBER(SEARCH({"dimensional analysis","dimensionless coefficients","Π","Pi","theorem","software","design","tools","development","architecture","similar"}, LOWER(Table1938[[#This Row],[Title]]))))&gt;0</f>
        <v>1</v>
      </c>
      <c r="AA330" s="2" t="b" cm="1">
        <f t="array" ref="AA330">SUMPRODUCT(--ISNUMBER(SEARCH({"dimensional analysis","dimensionless coefficients","Π","Pi","theorem","software","design","tools","development","architecture","similar"}, LOWER(Table1938[[#This Row],[Abstract]]))))&gt;0</f>
        <v>1</v>
      </c>
      <c r="AB330" s="2" t="b">
        <f>AND(OR(Table1938[[#This Row],[IC-01 @2024]:[IC-01 @2020]])=TRUE,Table1938[[#This Row],[IC-02]]=TRUE,Table1938[[#This Row],[IC-03]]=TRUE,Table1938[[#This Row],[IC-04]]=TRUE,Table1938[[#This Row],[IC-05]]=TRUE)</f>
        <v>1</v>
      </c>
      <c r="AC330" s="2" t="b">
        <f>AND(Table1938[[#This Row],[Pass-IC]]=TRUE,Table1938[[#This Row],[Pass-EC]]=TRUE)</f>
        <v>1</v>
      </c>
      <c r="AD330" s="2" t="b">
        <f>COUNTIF($D$25:D330, Table1938[[#This Row],[Title]]) = 1</f>
        <v>1</v>
      </c>
      <c r="AE330" s="2" t="b">
        <f>AND(Table1938[[#This Row],[IC + EC]:[Unique]])</f>
        <v>1</v>
      </c>
      <c r="AF330" s="2" t="b">
        <v>1</v>
      </c>
      <c r="AG330" s="2" t="b">
        <v>0</v>
      </c>
      <c r="AH330" s="2" t="b">
        <v>0</v>
      </c>
      <c r="AI330" s="2" t="b">
        <f>IF(AND(Table1938[[#This Row],[Double Check]]=TRUE,Table1938[[#This Row],[Inspected]]=TRUE,Table1938[[#This Row],[Relevant]]=TRUE),TRUE,FALSE)</f>
        <v>0</v>
      </c>
    </row>
    <row r="331" spans="1:35" ht="57.35" x14ac:dyDescent="0.5">
      <c r="A331" s="2">
        <v>330</v>
      </c>
      <c r="B331" s="20" t="s">
        <v>3</v>
      </c>
      <c r="C331" s="20" t="s">
        <v>3394</v>
      </c>
      <c r="D331" s="20" t="s">
        <v>1450</v>
      </c>
      <c r="E331" s="20" t="s">
        <v>1449</v>
      </c>
      <c r="F331" s="2" t="s">
        <v>1452</v>
      </c>
      <c r="G331" s="20" t="s">
        <v>985</v>
      </c>
      <c r="H331" s="36">
        <v>43862</v>
      </c>
      <c r="I331" s="20">
        <v>2020</v>
      </c>
      <c r="J331" s="20" t="s">
        <v>61</v>
      </c>
      <c r="K331" s="20" t="s">
        <v>3395</v>
      </c>
      <c r="L331" s="20" t="s">
        <v>2515</v>
      </c>
      <c r="M331" s="20" t="s">
        <v>1451</v>
      </c>
      <c r="N331" s="20" t="b">
        <v>1</v>
      </c>
      <c r="O331" s="2" t="b">
        <f>IF(Table1938[[#This Row],[Title]]="",TRUE,FALSE)</f>
        <v>0</v>
      </c>
      <c r="P331" s="2" t="b">
        <f>IF(Table1938[[#This Row],[Author]]="",TRUE,FALSE)</f>
        <v>0</v>
      </c>
      <c r="Q331" s="2" t="b">
        <f>IF(Table1938[[#This Row],[DOI]]&lt;&gt;"", FALSE,TRUE)</f>
        <v>0</v>
      </c>
      <c r="R331" s="2" t="b">
        <f>IF(Table1938[[#This Row],[Abstract]]="",TRUE,FALSE)</f>
        <v>0</v>
      </c>
      <c r="S331" s="2" t="b">
        <f>IF(OR(Table1938[[#This Row],[Document Type]]="book",Table1938[[#This Row],[Document Type]]="bookSection"),TRUE,FALSE)</f>
        <v>0</v>
      </c>
      <c r="T331" s="2" t="b">
        <f>NOT(IF(OR(Table1938[[#This Row],[Language]]&lt;&gt;"en",Table1938[[#This Row],[Language]]&lt;&gt;"EN",Table1938[[#This Row],[Language]]&lt;&gt;"spa",Table1938[[#This Row],[Language]]&lt;&gt;"SPA"),TRUE,FALSE))</f>
        <v>0</v>
      </c>
      <c r="U331" s="2" t="b">
        <f>IF(AND(Table1938[[#This Row],[EC-01]]=FALSE,Table1938[[#This Row],[EC-02]]=FALSE,Table1938[[#This Row],[EC-03]]=FALSE,Table1938[[#This Row],[EC-04]]=FALSE,Table1938[[#This Row],[EC-05]]=FALSE,Table1938[[#This Row],[EC-06]]=FALSE),TRUE,FALSE)</f>
        <v>1</v>
      </c>
      <c r="V331" s="2" t="b">
        <f>IF(Table1938[[#This Row],[Date]]&lt;&gt;"",AND(YEAR(Table1938[[#This Row],[Date]])&gt;=2010, YEAR(Table1938[[#This Row],[Date]])&lt;=2024),FALSE)</f>
        <v>1</v>
      </c>
      <c r="W331" s="2" t="b">
        <f>IF(Table1938[[#This Row],[Date]]&lt;&gt;"",AND(YEAR(Table1938[[#This Row],[Date]])&gt;=2010, YEAR(Table1938[[#This Row],[Date]])&lt;=2020),FALSE)</f>
        <v>1</v>
      </c>
      <c r="X331" s="2" t="b">
        <f>IF(AND(Table1938[[#This Row],[Accesible]]=TRUE,Table1938[[#This Row],[DOI]]&lt;&gt;""),TRUE,FALSE)</f>
        <v>1</v>
      </c>
      <c r="Y331" s="2" t="b">
        <f>OR(Table1938[[#This Row],[Document Type]]="journalArticle",Table1938[[#This Row],[Document Type]]="conferencePaper",Table1938[[#This Row],[Document Type]]="review")</f>
        <v>1</v>
      </c>
      <c r="Z331" s="2" t="b" cm="1">
        <f t="array" ref="Z331">SUMPRODUCT(--ISNUMBER(SEARCH({"dimensional analysis","dimensionless coefficients","Π","Pi","theorem","software","design","tools","development","architecture","similar"}, LOWER(Table1938[[#This Row],[Title]]))))&gt;0</f>
        <v>1</v>
      </c>
      <c r="AA331" s="2" t="b" cm="1">
        <f t="array" ref="AA331">SUMPRODUCT(--ISNUMBER(SEARCH({"dimensional analysis","dimensionless coefficients","Π","Pi","theorem","software","design","tools","development","architecture","similar"}, LOWER(Table1938[[#This Row],[Abstract]]))))&gt;0</f>
        <v>1</v>
      </c>
      <c r="AB331" s="2" t="b">
        <f>AND(OR(Table1938[[#This Row],[IC-01 @2024]:[IC-01 @2020]])=TRUE,Table1938[[#This Row],[IC-02]]=TRUE,Table1938[[#This Row],[IC-03]]=TRUE,Table1938[[#This Row],[IC-04]]=TRUE,Table1938[[#This Row],[IC-05]]=TRUE)</f>
        <v>1</v>
      </c>
      <c r="AC331" s="2" t="b">
        <f>AND(Table1938[[#This Row],[Pass-IC]]=TRUE,Table1938[[#This Row],[Pass-EC]]=TRUE)</f>
        <v>1</v>
      </c>
      <c r="AD331" s="2" t="b">
        <f>COUNTIF($D$25:D331, Table1938[[#This Row],[Title]]) = 1</f>
        <v>1</v>
      </c>
      <c r="AE331" s="2" t="b">
        <f>AND(Table1938[[#This Row],[IC + EC]:[Unique]])</f>
        <v>1</v>
      </c>
      <c r="AF331" s="2" t="b">
        <v>1</v>
      </c>
      <c r="AG331" s="2" t="b">
        <v>0</v>
      </c>
      <c r="AH331" s="2" t="b">
        <v>0</v>
      </c>
      <c r="AI331" s="2" t="b">
        <f>IF(AND(Table1938[[#This Row],[Double Check]]=TRUE,Table1938[[#This Row],[Inspected]]=TRUE,Table1938[[#This Row],[Relevant]]=TRUE),TRUE,FALSE)</f>
        <v>0</v>
      </c>
    </row>
    <row r="332" spans="1:35" ht="43" x14ac:dyDescent="0.5">
      <c r="A332" s="2">
        <v>331</v>
      </c>
      <c r="B332" s="20" t="s">
        <v>3</v>
      </c>
      <c r="C332" s="20" t="s">
        <v>3396</v>
      </c>
      <c r="D332" s="20" t="s">
        <v>1677</v>
      </c>
      <c r="E332" s="20" t="s">
        <v>1676</v>
      </c>
      <c r="F332" s="2" t="s">
        <v>1679</v>
      </c>
      <c r="G332" s="20" t="s">
        <v>960</v>
      </c>
      <c r="H332" s="36">
        <v>44389</v>
      </c>
      <c r="I332" s="20">
        <v>2021</v>
      </c>
      <c r="J332" s="20" t="s">
        <v>61</v>
      </c>
      <c r="K332" s="20" t="s">
        <v>3397</v>
      </c>
      <c r="L332" s="20" t="s">
        <v>2515</v>
      </c>
      <c r="M332" s="20" t="s">
        <v>1678</v>
      </c>
      <c r="N332" s="20" t="b">
        <v>1</v>
      </c>
      <c r="O332" s="2" t="b">
        <f>IF(Table1938[[#This Row],[Title]]="",TRUE,FALSE)</f>
        <v>0</v>
      </c>
      <c r="P332" s="2" t="b">
        <f>IF(Table1938[[#This Row],[Author]]="",TRUE,FALSE)</f>
        <v>0</v>
      </c>
      <c r="Q332" s="2" t="b">
        <f>IF(Table1938[[#This Row],[DOI]]&lt;&gt;"", FALSE,TRUE)</f>
        <v>0</v>
      </c>
      <c r="R332" s="2" t="b">
        <f>IF(Table1938[[#This Row],[Abstract]]="",TRUE,FALSE)</f>
        <v>0</v>
      </c>
      <c r="S332" s="2" t="b">
        <f>IF(OR(Table1938[[#This Row],[Document Type]]="book",Table1938[[#This Row],[Document Type]]="bookSection"),TRUE,FALSE)</f>
        <v>0</v>
      </c>
      <c r="T332" s="2" t="b">
        <f>NOT(IF(OR(Table1938[[#This Row],[Language]]&lt;&gt;"en",Table1938[[#This Row],[Language]]&lt;&gt;"EN",Table1938[[#This Row],[Language]]&lt;&gt;"spa",Table1938[[#This Row],[Language]]&lt;&gt;"SPA"),TRUE,FALSE))</f>
        <v>0</v>
      </c>
      <c r="U332" s="2" t="b">
        <f>IF(AND(Table1938[[#This Row],[EC-01]]=FALSE,Table1938[[#This Row],[EC-02]]=FALSE,Table1938[[#This Row],[EC-03]]=FALSE,Table1938[[#This Row],[EC-04]]=FALSE,Table1938[[#This Row],[EC-05]]=FALSE,Table1938[[#This Row],[EC-06]]=FALSE),TRUE,FALSE)</f>
        <v>1</v>
      </c>
      <c r="V332" s="2" t="b">
        <f>IF(Table1938[[#This Row],[Date]]&lt;&gt;"",AND(YEAR(Table1938[[#This Row],[Date]])&gt;=2010, YEAR(Table1938[[#This Row],[Date]])&lt;=2024),FALSE)</f>
        <v>1</v>
      </c>
      <c r="W332" s="2" t="b">
        <f>IF(Table1938[[#This Row],[Date]]&lt;&gt;"",AND(YEAR(Table1938[[#This Row],[Date]])&gt;=2010, YEAR(Table1938[[#This Row],[Date]])&lt;=2020),FALSE)</f>
        <v>0</v>
      </c>
      <c r="X332" s="2" t="b">
        <f>IF(AND(Table1938[[#This Row],[Accesible]]=TRUE,Table1938[[#This Row],[DOI]]&lt;&gt;""),TRUE,FALSE)</f>
        <v>1</v>
      </c>
      <c r="Y332" s="2" t="b">
        <f>OR(Table1938[[#This Row],[Document Type]]="journalArticle",Table1938[[#This Row],[Document Type]]="conferencePaper",Table1938[[#This Row],[Document Type]]="review")</f>
        <v>1</v>
      </c>
      <c r="Z332" s="2" t="b" cm="1">
        <f t="array" ref="Z332">SUMPRODUCT(--ISNUMBER(SEARCH({"dimensional analysis","dimensionless coefficients","Π","Pi","theorem","software","design","tools","development","architecture","similar"}, LOWER(Table1938[[#This Row],[Title]]))))&gt;0</f>
        <v>0</v>
      </c>
      <c r="AA332" s="2" t="b" cm="1">
        <f t="array" ref="AA332">SUMPRODUCT(--ISNUMBER(SEARCH({"dimensional analysis","dimensionless coefficients","Π","Pi","theorem","software","design","tools","development","architecture","similar"}, LOWER(Table1938[[#This Row],[Abstract]]))))&gt;0</f>
        <v>1</v>
      </c>
      <c r="AB332" s="2" t="b">
        <f>AND(OR(Table1938[[#This Row],[IC-01 @2024]:[IC-01 @2020]])=TRUE,Table1938[[#This Row],[IC-02]]=TRUE,Table1938[[#This Row],[IC-03]]=TRUE,Table1938[[#This Row],[IC-04]]=TRUE,Table1938[[#This Row],[IC-05]]=TRUE)</f>
        <v>0</v>
      </c>
      <c r="AC332" s="2" t="b">
        <f>AND(Table1938[[#This Row],[Pass-IC]]=TRUE,Table1938[[#This Row],[Pass-EC]]=TRUE)</f>
        <v>0</v>
      </c>
      <c r="AD332" s="2" t="b">
        <f>COUNTIF($D$25:D332, Table1938[[#This Row],[Title]]) = 1</f>
        <v>1</v>
      </c>
      <c r="AE332" s="2" t="b">
        <f>AND(Table1938[[#This Row],[IC + EC]:[Unique]])</f>
        <v>0</v>
      </c>
      <c r="AF332" s="2" t="b">
        <v>0</v>
      </c>
      <c r="AG332" s="2" t="b">
        <v>0</v>
      </c>
      <c r="AH332" s="2" t="b">
        <v>0</v>
      </c>
      <c r="AI332" s="2" t="b">
        <f>IF(AND(Table1938[[#This Row],[Double Check]]=TRUE,Table1938[[#This Row],[Inspected]]=TRUE,Table1938[[#This Row],[Relevant]]=TRUE),TRUE,FALSE)</f>
        <v>0</v>
      </c>
    </row>
    <row r="333" spans="1:35" ht="43" x14ac:dyDescent="0.5">
      <c r="A333" s="2">
        <v>332</v>
      </c>
      <c r="B333" s="20" t="s">
        <v>3</v>
      </c>
      <c r="C333" s="20" t="s">
        <v>3398</v>
      </c>
      <c r="D333" s="20" t="s">
        <v>2364</v>
      </c>
      <c r="E333" s="20" t="s">
        <v>2363</v>
      </c>
      <c r="F333" s="2" t="s">
        <v>2366</v>
      </c>
      <c r="G333" s="20" t="s">
        <v>943</v>
      </c>
      <c r="H333" s="36">
        <v>40299</v>
      </c>
      <c r="I333" s="20">
        <v>2010</v>
      </c>
      <c r="J333" s="20" t="s">
        <v>61</v>
      </c>
      <c r="K333" s="20" t="s">
        <v>3399</v>
      </c>
      <c r="L333" s="20" t="s">
        <v>2515</v>
      </c>
      <c r="M333" s="20" t="s">
        <v>2365</v>
      </c>
      <c r="N333" s="20" t="b">
        <v>1</v>
      </c>
      <c r="O333" s="2" t="b">
        <f>IF(Table1938[[#This Row],[Title]]="",TRUE,FALSE)</f>
        <v>0</v>
      </c>
      <c r="P333" s="2" t="b">
        <f>IF(Table1938[[#This Row],[Author]]="",TRUE,FALSE)</f>
        <v>0</v>
      </c>
      <c r="Q333" s="2" t="b">
        <f>IF(Table1938[[#This Row],[DOI]]&lt;&gt;"", FALSE,TRUE)</f>
        <v>0</v>
      </c>
      <c r="R333" s="2" t="b">
        <f>IF(Table1938[[#This Row],[Abstract]]="",TRUE,FALSE)</f>
        <v>0</v>
      </c>
      <c r="S333" s="2" t="b">
        <f>IF(OR(Table1938[[#This Row],[Document Type]]="book",Table1938[[#This Row],[Document Type]]="bookSection"),TRUE,FALSE)</f>
        <v>0</v>
      </c>
      <c r="T333" s="2" t="b">
        <f>NOT(IF(OR(Table1938[[#This Row],[Language]]&lt;&gt;"en",Table1938[[#This Row],[Language]]&lt;&gt;"EN",Table1938[[#This Row],[Language]]&lt;&gt;"spa",Table1938[[#This Row],[Language]]&lt;&gt;"SPA"),TRUE,FALSE))</f>
        <v>0</v>
      </c>
      <c r="U333" s="2" t="b">
        <f>IF(AND(Table1938[[#This Row],[EC-01]]=FALSE,Table1938[[#This Row],[EC-02]]=FALSE,Table1938[[#This Row],[EC-03]]=FALSE,Table1938[[#This Row],[EC-04]]=FALSE,Table1938[[#This Row],[EC-05]]=FALSE,Table1938[[#This Row],[EC-06]]=FALSE),TRUE,FALSE)</f>
        <v>1</v>
      </c>
      <c r="V333" s="2" t="b">
        <f>IF(Table1938[[#This Row],[Date]]&lt;&gt;"",AND(YEAR(Table1938[[#This Row],[Date]])&gt;=2010, YEAR(Table1938[[#This Row],[Date]])&lt;=2024),FALSE)</f>
        <v>1</v>
      </c>
      <c r="W333" s="2" t="b">
        <f>IF(Table1938[[#This Row],[Date]]&lt;&gt;"",AND(YEAR(Table1938[[#This Row],[Date]])&gt;=2010, YEAR(Table1938[[#This Row],[Date]])&lt;=2020),FALSE)</f>
        <v>1</v>
      </c>
      <c r="X333" s="2" t="b">
        <f>IF(AND(Table1938[[#This Row],[Accesible]]=TRUE,Table1938[[#This Row],[DOI]]&lt;&gt;""),TRUE,FALSE)</f>
        <v>1</v>
      </c>
      <c r="Y333" s="2" t="b">
        <f>OR(Table1938[[#This Row],[Document Type]]="journalArticle",Table1938[[#This Row],[Document Type]]="conferencePaper",Table1938[[#This Row],[Document Type]]="review")</f>
        <v>1</v>
      </c>
      <c r="Z333" s="2" t="b" cm="1">
        <f t="array" ref="Z333">SUMPRODUCT(--ISNUMBER(SEARCH({"dimensional analysis","dimensionless coefficients","Π","Pi","theorem","software","design","tools","development","architecture","similar"}, LOWER(Table1938[[#This Row],[Title]]))))&gt;0</f>
        <v>0</v>
      </c>
      <c r="AA333" s="2" t="b" cm="1">
        <f t="array" ref="AA333">SUMPRODUCT(--ISNUMBER(SEARCH({"dimensional analysis","dimensionless coefficients","Π","Pi","theorem","software","design","tools","development","architecture","similar"}, LOWER(Table1938[[#This Row],[Abstract]]))))&gt;0</f>
        <v>1</v>
      </c>
      <c r="AB333" s="2" t="b">
        <f>AND(OR(Table1938[[#This Row],[IC-01 @2024]:[IC-01 @2020]])=TRUE,Table1938[[#This Row],[IC-02]]=TRUE,Table1938[[#This Row],[IC-03]]=TRUE,Table1938[[#This Row],[IC-04]]=TRUE,Table1938[[#This Row],[IC-05]]=TRUE)</f>
        <v>0</v>
      </c>
      <c r="AC333" s="2" t="b">
        <f>AND(Table1938[[#This Row],[Pass-IC]]=TRUE,Table1938[[#This Row],[Pass-EC]]=TRUE)</f>
        <v>0</v>
      </c>
      <c r="AD333" s="2" t="b">
        <f>COUNTIF($D$25:D333, Table1938[[#This Row],[Title]]) = 1</f>
        <v>1</v>
      </c>
      <c r="AE333" s="2" t="b">
        <f>AND(Table1938[[#This Row],[IC + EC]:[Unique]])</f>
        <v>0</v>
      </c>
      <c r="AF333" s="2" t="b">
        <v>0</v>
      </c>
      <c r="AG333" s="2" t="b">
        <v>0</v>
      </c>
      <c r="AH333" s="2" t="b">
        <v>0</v>
      </c>
      <c r="AI333" s="2" t="b">
        <f>IF(AND(Table1938[[#This Row],[Double Check]]=TRUE,Table1938[[#This Row],[Inspected]]=TRUE,Table1938[[#This Row],[Relevant]]=TRUE),TRUE,FALSE)</f>
        <v>0</v>
      </c>
    </row>
    <row r="334" spans="1:35" ht="57.35" x14ac:dyDescent="0.5">
      <c r="A334" s="2">
        <v>333</v>
      </c>
      <c r="B334" s="20" t="s">
        <v>3</v>
      </c>
      <c r="C334" s="20" t="s">
        <v>3400</v>
      </c>
      <c r="D334" s="20" t="s">
        <v>1586</v>
      </c>
      <c r="E334" s="20" t="s">
        <v>1585</v>
      </c>
      <c r="F334" s="2" t="s">
        <v>1588</v>
      </c>
      <c r="G334" s="20" t="s">
        <v>1245</v>
      </c>
      <c r="H334" s="36">
        <v>44197</v>
      </c>
      <c r="I334" s="20">
        <v>2021</v>
      </c>
      <c r="J334" s="20" t="s">
        <v>61</v>
      </c>
      <c r="K334" s="20" t="s">
        <v>3401</v>
      </c>
      <c r="L334" s="20" t="s">
        <v>2515</v>
      </c>
      <c r="M334" s="20" t="s">
        <v>1587</v>
      </c>
      <c r="N334" s="20" t="b">
        <v>1</v>
      </c>
      <c r="O334" s="2" t="b">
        <f>IF(Table1938[[#This Row],[Title]]="",TRUE,FALSE)</f>
        <v>0</v>
      </c>
      <c r="P334" s="2" t="b">
        <f>IF(Table1938[[#This Row],[Author]]="",TRUE,FALSE)</f>
        <v>0</v>
      </c>
      <c r="Q334" s="2" t="b">
        <f>IF(Table1938[[#This Row],[DOI]]&lt;&gt;"", FALSE,TRUE)</f>
        <v>0</v>
      </c>
      <c r="R334" s="2" t="b">
        <f>IF(Table1938[[#This Row],[Abstract]]="",TRUE,FALSE)</f>
        <v>0</v>
      </c>
      <c r="S334" s="2" t="b">
        <f>IF(OR(Table1938[[#This Row],[Document Type]]="book",Table1938[[#This Row],[Document Type]]="bookSection"),TRUE,FALSE)</f>
        <v>0</v>
      </c>
      <c r="T334" s="2" t="b">
        <f>NOT(IF(OR(Table1938[[#This Row],[Language]]&lt;&gt;"en",Table1938[[#This Row],[Language]]&lt;&gt;"EN",Table1938[[#This Row],[Language]]&lt;&gt;"spa",Table1938[[#This Row],[Language]]&lt;&gt;"SPA"),TRUE,FALSE))</f>
        <v>0</v>
      </c>
      <c r="U334" s="2" t="b">
        <f>IF(AND(Table1938[[#This Row],[EC-01]]=FALSE,Table1938[[#This Row],[EC-02]]=FALSE,Table1938[[#This Row],[EC-03]]=FALSE,Table1938[[#This Row],[EC-04]]=FALSE,Table1938[[#This Row],[EC-05]]=FALSE,Table1938[[#This Row],[EC-06]]=FALSE),TRUE,FALSE)</f>
        <v>1</v>
      </c>
      <c r="V334" s="2" t="b">
        <f>IF(Table1938[[#This Row],[Date]]&lt;&gt;"",AND(YEAR(Table1938[[#This Row],[Date]])&gt;=2010, YEAR(Table1938[[#This Row],[Date]])&lt;=2024),FALSE)</f>
        <v>1</v>
      </c>
      <c r="W334" s="2" t="b">
        <f>IF(Table1938[[#This Row],[Date]]&lt;&gt;"",AND(YEAR(Table1938[[#This Row],[Date]])&gt;=2010, YEAR(Table1938[[#This Row],[Date]])&lt;=2020),FALSE)</f>
        <v>0</v>
      </c>
      <c r="X334" s="2" t="b">
        <f>IF(AND(Table1938[[#This Row],[Accesible]]=TRUE,Table1938[[#This Row],[DOI]]&lt;&gt;""),TRUE,FALSE)</f>
        <v>1</v>
      </c>
      <c r="Y334" s="2" t="b">
        <f>OR(Table1938[[#This Row],[Document Type]]="journalArticle",Table1938[[#This Row],[Document Type]]="conferencePaper",Table1938[[#This Row],[Document Type]]="review")</f>
        <v>1</v>
      </c>
      <c r="Z334" s="2" t="b" cm="1">
        <f t="array" ref="Z334">SUMPRODUCT(--ISNUMBER(SEARCH({"dimensional analysis","dimensionless coefficients","Π","Pi","theorem","software","design","tools","development","architecture","similar"}, LOWER(Table1938[[#This Row],[Title]]))))&gt;0</f>
        <v>0</v>
      </c>
      <c r="AA334" s="2" t="b" cm="1">
        <f t="array" ref="AA334">SUMPRODUCT(--ISNUMBER(SEARCH({"dimensional analysis","dimensionless coefficients","Π","Pi","theorem","software","design","tools","development","architecture","similar"}, LOWER(Table1938[[#This Row],[Abstract]]))))&gt;0</f>
        <v>1</v>
      </c>
      <c r="AB334" s="2" t="b">
        <f>AND(OR(Table1938[[#This Row],[IC-01 @2024]:[IC-01 @2020]])=TRUE,Table1938[[#This Row],[IC-02]]=TRUE,Table1938[[#This Row],[IC-03]]=TRUE,Table1938[[#This Row],[IC-04]]=TRUE,Table1938[[#This Row],[IC-05]]=TRUE)</f>
        <v>0</v>
      </c>
      <c r="AC334" s="2" t="b">
        <f>AND(Table1938[[#This Row],[Pass-IC]]=TRUE,Table1938[[#This Row],[Pass-EC]]=TRUE)</f>
        <v>0</v>
      </c>
      <c r="AD334" s="2" t="b">
        <f>COUNTIF($D$25:D334, Table1938[[#This Row],[Title]]) = 1</f>
        <v>1</v>
      </c>
      <c r="AE334" s="2" t="b">
        <f>AND(Table1938[[#This Row],[IC + EC]:[Unique]])</f>
        <v>0</v>
      </c>
      <c r="AF334" s="2" t="b">
        <v>0</v>
      </c>
      <c r="AG334" s="2" t="b">
        <v>0</v>
      </c>
      <c r="AH334" s="2" t="b">
        <v>0</v>
      </c>
      <c r="AI334" s="2" t="b">
        <f>IF(AND(Table1938[[#This Row],[Double Check]]=TRUE,Table1938[[#This Row],[Inspected]]=TRUE,Table1938[[#This Row],[Relevant]]=TRUE),TRUE,FALSE)</f>
        <v>0</v>
      </c>
    </row>
    <row r="335" spans="1:35" ht="57.35" x14ac:dyDescent="0.5">
      <c r="A335" s="2">
        <v>334</v>
      </c>
      <c r="B335" s="20" t="s">
        <v>3</v>
      </c>
      <c r="C335" s="20" t="s">
        <v>3402</v>
      </c>
      <c r="D335" s="20" t="s">
        <v>1921</v>
      </c>
      <c r="E335" s="20" t="s">
        <v>1920</v>
      </c>
      <c r="F335" s="2" t="s">
        <v>1924</v>
      </c>
      <c r="G335" s="20" t="s">
        <v>1922</v>
      </c>
      <c r="H335" s="36">
        <v>44531</v>
      </c>
      <c r="I335" s="20">
        <v>2021</v>
      </c>
      <c r="J335" s="20" t="s">
        <v>61</v>
      </c>
      <c r="K335" s="20" t="s">
        <v>3403</v>
      </c>
      <c r="L335" s="20" t="s">
        <v>2515</v>
      </c>
      <c r="M335" s="20" t="s">
        <v>1923</v>
      </c>
      <c r="N335" s="20" t="b">
        <v>1</v>
      </c>
      <c r="O335" s="2" t="b">
        <f>IF(Table1938[[#This Row],[Title]]="",TRUE,FALSE)</f>
        <v>0</v>
      </c>
      <c r="P335" s="2" t="b">
        <f>IF(Table1938[[#This Row],[Author]]="",TRUE,FALSE)</f>
        <v>0</v>
      </c>
      <c r="Q335" s="2" t="b">
        <f>IF(Table1938[[#This Row],[DOI]]&lt;&gt;"", FALSE,TRUE)</f>
        <v>0</v>
      </c>
      <c r="R335" s="2" t="b">
        <f>IF(Table1938[[#This Row],[Abstract]]="",TRUE,FALSE)</f>
        <v>0</v>
      </c>
      <c r="S335" s="2" t="b">
        <f>IF(OR(Table1938[[#This Row],[Document Type]]="book",Table1938[[#This Row],[Document Type]]="bookSection"),TRUE,FALSE)</f>
        <v>0</v>
      </c>
      <c r="T335" s="2" t="b">
        <f>NOT(IF(OR(Table1938[[#This Row],[Language]]&lt;&gt;"en",Table1938[[#This Row],[Language]]&lt;&gt;"EN",Table1938[[#This Row],[Language]]&lt;&gt;"spa",Table1938[[#This Row],[Language]]&lt;&gt;"SPA"),TRUE,FALSE))</f>
        <v>0</v>
      </c>
      <c r="U335" s="2" t="b">
        <f>IF(AND(Table1938[[#This Row],[EC-01]]=FALSE,Table1938[[#This Row],[EC-02]]=FALSE,Table1938[[#This Row],[EC-03]]=FALSE,Table1938[[#This Row],[EC-04]]=FALSE,Table1938[[#This Row],[EC-05]]=FALSE,Table1938[[#This Row],[EC-06]]=FALSE),TRUE,FALSE)</f>
        <v>1</v>
      </c>
      <c r="V335" s="2" t="b">
        <f>IF(Table1938[[#This Row],[Date]]&lt;&gt;"",AND(YEAR(Table1938[[#This Row],[Date]])&gt;=2010, YEAR(Table1938[[#This Row],[Date]])&lt;=2024),FALSE)</f>
        <v>1</v>
      </c>
      <c r="W335" s="2" t="b">
        <f>IF(Table1938[[#This Row],[Date]]&lt;&gt;"",AND(YEAR(Table1938[[#This Row],[Date]])&gt;=2010, YEAR(Table1938[[#This Row],[Date]])&lt;=2020),FALSE)</f>
        <v>0</v>
      </c>
      <c r="X335" s="2" t="b">
        <f>IF(AND(Table1938[[#This Row],[Accesible]]=TRUE,Table1938[[#This Row],[DOI]]&lt;&gt;""),TRUE,FALSE)</f>
        <v>1</v>
      </c>
      <c r="Y335" s="2" t="b">
        <f>OR(Table1938[[#This Row],[Document Type]]="journalArticle",Table1938[[#This Row],[Document Type]]="conferencePaper",Table1938[[#This Row],[Document Type]]="review")</f>
        <v>1</v>
      </c>
      <c r="Z335" s="2" t="b" cm="1">
        <f t="array" ref="Z335">SUMPRODUCT(--ISNUMBER(SEARCH({"dimensional analysis","dimensionless coefficients","Π","Pi","theorem","software","design","tools","development","architecture","similar"}, LOWER(Table1938[[#This Row],[Title]]))))&gt;0</f>
        <v>1</v>
      </c>
      <c r="AA335" s="2" t="b" cm="1">
        <f t="array" ref="AA335">SUMPRODUCT(--ISNUMBER(SEARCH({"dimensional analysis","dimensionless coefficients","Π","Pi","theorem","software","design","tools","development","architecture","similar"}, LOWER(Table1938[[#This Row],[Abstract]]))))&gt;0</f>
        <v>1</v>
      </c>
      <c r="AB335" s="2" t="b">
        <f>AND(OR(Table1938[[#This Row],[IC-01 @2024]:[IC-01 @2020]])=TRUE,Table1938[[#This Row],[IC-02]]=TRUE,Table1938[[#This Row],[IC-03]]=TRUE,Table1938[[#This Row],[IC-04]]=TRUE,Table1938[[#This Row],[IC-05]]=TRUE)</f>
        <v>1</v>
      </c>
      <c r="AC335" s="2" t="b">
        <f>AND(Table1938[[#This Row],[Pass-IC]]=TRUE,Table1938[[#This Row],[Pass-EC]]=TRUE)</f>
        <v>1</v>
      </c>
      <c r="AD335" s="2" t="b">
        <f>COUNTIF($D$25:D335, Table1938[[#This Row],[Title]]) = 1</f>
        <v>1</v>
      </c>
      <c r="AE335" s="2" t="b">
        <f>AND(Table1938[[#This Row],[IC + EC]:[Unique]])</f>
        <v>1</v>
      </c>
      <c r="AF335" s="2" t="b">
        <v>1</v>
      </c>
      <c r="AG335" s="2" t="b">
        <v>0</v>
      </c>
      <c r="AH335" s="2" t="b">
        <v>0</v>
      </c>
      <c r="AI335" s="2" t="b">
        <f>IF(AND(Table1938[[#This Row],[Double Check]]=TRUE,Table1938[[#This Row],[Inspected]]=TRUE,Table1938[[#This Row],[Relevant]]=TRUE),TRUE,FALSE)</f>
        <v>0</v>
      </c>
    </row>
    <row r="336" spans="1:35" ht="57.35" x14ac:dyDescent="0.5">
      <c r="A336" s="2">
        <v>335</v>
      </c>
      <c r="B336" s="20" t="s">
        <v>3</v>
      </c>
      <c r="C336" s="20" t="s">
        <v>3404</v>
      </c>
      <c r="D336" s="20" t="s">
        <v>1697</v>
      </c>
      <c r="E336" s="20" t="s">
        <v>1696</v>
      </c>
      <c r="F336" s="2" t="s">
        <v>1699</v>
      </c>
      <c r="G336" s="20" t="s">
        <v>929</v>
      </c>
      <c r="H336" s="36">
        <v>43252</v>
      </c>
      <c r="I336" s="20">
        <v>2018</v>
      </c>
      <c r="J336" s="20" t="s">
        <v>61</v>
      </c>
      <c r="K336" s="20" t="s">
        <v>3405</v>
      </c>
      <c r="L336" s="20" t="s">
        <v>2515</v>
      </c>
      <c r="M336" s="20" t="s">
        <v>1698</v>
      </c>
      <c r="N336" s="20" t="b">
        <v>1</v>
      </c>
      <c r="O336" s="2" t="b">
        <f>IF(Table1938[[#This Row],[Title]]="",TRUE,FALSE)</f>
        <v>0</v>
      </c>
      <c r="P336" s="2" t="b">
        <f>IF(Table1938[[#This Row],[Author]]="",TRUE,FALSE)</f>
        <v>0</v>
      </c>
      <c r="Q336" s="2" t="b">
        <f>IF(Table1938[[#This Row],[DOI]]&lt;&gt;"", FALSE,TRUE)</f>
        <v>0</v>
      </c>
      <c r="R336" s="2" t="b">
        <f>IF(Table1938[[#This Row],[Abstract]]="",TRUE,FALSE)</f>
        <v>0</v>
      </c>
      <c r="S336" s="2" t="b">
        <f>IF(OR(Table1938[[#This Row],[Document Type]]="book",Table1938[[#This Row],[Document Type]]="bookSection"),TRUE,FALSE)</f>
        <v>0</v>
      </c>
      <c r="T336" s="2" t="b">
        <f>NOT(IF(OR(Table1938[[#This Row],[Language]]&lt;&gt;"en",Table1938[[#This Row],[Language]]&lt;&gt;"EN",Table1938[[#This Row],[Language]]&lt;&gt;"spa",Table1938[[#This Row],[Language]]&lt;&gt;"SPA"),TRUE,FALSE))</f>
        <v>0</v>
      </c>
      <c r="U336" s="2" t="b">
        <f>IF(AND(Table1938[[#This Row],[EC-01]]=FALSE,Table1938[[#This Row],[EC-02]]=FALSE,Table1938[[#This Row],[EC-03]]=FALSE,Table1938[[#This Row],[EC-04]]=FALSE,Table1938[[#This Row],[EC-05]]=FALSE,Table1938[[#This Row],[EC-06]]=FALSE),TRUE,FALSE)</f>
        <v>1</v>
      </c>
      <c r="V336" s="2" t="b">
        <f>IF(Table1938[[#This Row],[Date]]&lt;&gt;"",AND(YEAR(Table1938[[#This Row],[Date]])&gt;=2010, YEAR(Table1938[[#This Row],[Date]])&lt;=2024),FALSE)</f>
        <v>1</v>
      </c>
      <c r="W336" s="2" t="b">
        <f>IF(Table1938[[#This Row],[Date]]&lt;&gt;"",AND(YEAR(Table1938[[#This Row],[Date]])&gt;=2010, YEAR(Table1938[[#This Row],[Date]])&lt;=2020),FALSE)</f>
        <v>1</v>
      </c>
      <c r="X336" s="2" t="b">
        <f>IF(AND(Table1938[[#This Row],[Accesible]]=TRUE,Table1938[[#This Row],[DOI]]&lt;&gt;""),TRUE,FALSE)</f>
        <v>1</v>
      </c>
      <c r="Y336" s="2" t="b">
        <f>OR(Table1938[[#This Row],[Document Type]]="journalArticle",Table1938[[#This Row],[Document Type]]="conferencePaper",Table1938[[#This Row],[Document Type]]="review")</f>
        <v>1</v>
      </c>
      <c r="Z336" s="2" t="b" cm="1">
        <f t="array" ref="Z336">SUMPRODUCT(--ISNUMBER(SEARCH({"dimensional analysis","dimensionless coefficients","Π","Pi","theorem","software","design","tools","development","architecture","similar"}, LOWER(Table1938[[#This Row],[Title]]))))&gt;0</f>
        <v>0</v>
      </c>
      <c r="AA336" s="2" t="b" cm="1">
        <f t="array" ref="AA336">SUMPRODUCT(--ISNUMBER(SEARCH({"dimensional analysis","dimensionless coefficients","Π","Pi","theorem","software","design","tools","development","architecture","similar"}, LOWER(Table1938[[#This Row],[Abstract]]))))&gt;0</f>
        <v>1</v>
      </c>
      <c r="AB336" s="2" t="b">
        <f>AND(OR(Table1938[[#This Row],[IC-01 @2024]:[IC-01 @2020]])=TRUE,Table1938[[#This Row],[IC-02]]=TRUE,Table1938[[#This Row],[IC-03]]=TRUE,Table1938[[#This Row],[IC-04]]=TRUE,Table1938[[#This Row],[IC-05]]=TRUE)</f>
        <v>0</v>
      </c>
      <c r="AC336" s="2" t="b">
        <f>AND(Table1938[[#This Row],[Pass-IC]]=TRUE,Table1938[[#This Row],[Pass-EC]]=TRUE)</f>
        <v>0</v>
      </c>
      <c r="AD336" s="2" t="b">
        <f>COUNTIF($D$25:D336, Table1938[[#This Row],[Title]]) = 1</f>
        <v>1</v>
      </c>
      <c r="AE336" s="2" t="b">
        <f>AND(Table1938[[#This Row],[IC + EC]:[Unique]])</f>
        <v>0</v>
      </c>
      <c r="AF336" s="2" t="b">
        <v>0</v>
      </c>
      <c r="AG336" s="2" t="b">
        <v>0</v>
      </c>
      <c r="AH336" s="2" t="b">
        <v>0</v>
      </c>
      <c r="AI336" s="2" t="b">
        <f>IF(AND(Table1938[[#This Row],[Double Check]]=TRUE,Table1938[[#This Row],[Inspected]]=TRUE,Table1938[[#This Row],[Relevant]]=TRUE),TRUE,FALSE)</f>
        <v>0</v>
      </c>
    </row>
    <row r="337" spans="1:35" ht="71.7" x14ac:dyDescent="0.5">
      <c r="A337" s="2">
        <v>336</v>
      </c>
      <c r="B337" s="20" t="s">
        <v>3</v>
      </c>
      <c r="C337" s="20" t="s">
        <v>3406</v>
      </c>
      <c r="D337" s="20" t="s">
        <v>1582</v>
      </c>
      <c r="E337" s="20" t="s">
        <v>1581</v>
      </c>
      <c r="F337" s="2" t="s">
        <v>1584</v>
      </c>
      <c r="G337" s="20" t="s">
        <v>996</v>
      </c>
      <c r="H337" s="36">
        <v>45383</v>
      </c>
      <c r="I337" s="20">
        <v>2024</v>
      </c>
      <c r="J337" s="20" t="s">
        <v>61</v>
      </c>
      <c r="K337" s="20" t="s">
        <v>3407</v>
      </c>
      <c r="L337" s="20" t="s">
        <v>2515</v>
      </c>
      <c r="M337" s="20" t="s">
        <v>1583</v>
      </c>
      <c r="N337" s="20" t="b">
        <v>1</v>
      </c>
      <c r="O337" s="2" t="b">
        <f>IF(Table1938[[#This Row],[Title]]="",TRUE,FALSE)</f>
        <v>0</v>
      </c>
      <c r="P337" s="2" t="b">
        <f>IF(Table1938[[#This Row],[Author]]="",TRUE,FALSE)</f>
        <v>0</v>
      </c>
      <c r="Q337" s="2" t="b">
        <f>IF(Table1938[[#This Row],[DOI]]&lt;&gt;"", FALSE,TRUE)</f>
        <v>0</v>
      </c>
      <c r="R337" s="2" t="b">
        <f>IF(Table1938[[#This Row],[Abstract]]="",TRUE,FALSE)</f>
        <v>0</v>
      </c>
      <c r="S337" s="2" t="b">
        <f>IF(OR(Table1938[[#This Row],[Document Type]]="book",Table1938[[#This Row],[Document Type]]="bookSection"),TRUE,FALSE)</f>
        <v>0</v>
      </c>
      <c r="T337" s="2" t="b">
        <f>NOT(IF(OR(Table1938[[#This Row],[Language]]&lt;&gt;"en",Table1938[[#This Row],[Language]]&lt;&gt;"EN",Table1938[[#This Row],[Language]]&lt;&gt;"spa",Table1938[[#This Row],[Language]]&lt;&gt;"SPA"),TRUE,FALSE))</f>
        <v>0</v>
      </c>
      <c r="U337" s="2" t="b">
        <f>IF(AND(Table1938[[#This Row],[EC-01]]=FALSE,Table1938[[#This Row],[EC-02]]=FALSE,Table1938[[#This Row],[EC-03]]=FALSE,Table1938[[#This Row],[EC-04]]=FALSE,Table1938[[#This Row],[EC-05]]=FALSE,Table1938[[#This Row],[EC-06]]=FALSE),TRUE,FALSE)</f>
        <v>1</v>
      </c>
      <c r="V337" s="2" t="b">
        <f>IF(Table1938[[#This Row],[Date]]&lt;&gt;"",AND(YEAR(Table1938[[#This Row],[Date]])&gt;=2010, YEAR(Table1938[[#This Row],[Date]])&lt;=2024),FALSE)</f>
        <v>1</v>
      </c>
      <c r="W337" s="2" t="b">
        <f>IF(Table1938[[#This Row],[Date]]&lt;&gt;"",AND(YEAR(Table1938[[#This Row],[Date]])&gt;=2010, YEAR(Table1938[[#This Row],[Date]])&lt;=2020),FALSE)</f>
        <v>0</v>
      </c>
      <c r="X337" s="2" t="b">
        <f>IF(AND(Table1938[[#This Row],[Accesible]]=TRUE,Table1938[[#This Row],[DOI]]&lt;&gt;""),TRUE,FALSE)</f>
        <v>1</v>
      </c>
      <c r="Y337" s="2" t="b">
        <f>OR(Table1938[[#This Row],[Document Type]]="journalArticle",Table1938[[#This Row],[Document Type]]="conferencePaper",Table1938[[#This Row],[Document Type]]="review")</f>
        <v>1</v>
      </c>
      <c r="Z337" s="2" t="b" cm="1">
        <f t="array" ref="Z337">SUMPRODUCT(--ISNUMBER(SEARCH({"dimensional analysis","dimensionless coefficients","Π","Pi","theorem","software","design","tools","development","architecture","similar"}, LOWER(Table1938[[#This Row],[Title]]))))&gt;0</f>
        <v>0</v>
      </c>
      <c r="AA337" s="2" t="b" cm="1">
        <f t="array" ref="AA337">SUMPRODUCT(--ISNUMBER(SEARCH({"dimensional analysis","dimensionless coefficients","Π","Pi","theorem","software","design","tools","development","architecture","similar"}, LOWER(Table1938[[#This Row],[Abstract]]))))&gt;0</f>
        <v>0</v>
      </c>
      <c r="AB337" s="2" t="b">
        <f>AND(OR(Table1938[[#This Row],[IC-01 @2024]:[IC-01 @2020]])=TRUE,Table1938[[#This Row],[IC-02]]=TRUE,Table1938[[#This Row],[IC-03]]=TRUE,Table1938[[#This Row],[IC-04]]=TRUE,Table1938[[#This Row],[IC-05]]=TRUE)</f>
        <v>0</v>
      </c>
      <c r="AC337" s="2" t="b">
        <f>AND(Table1938[[#This Row],[Pass-IC]]=TRUE,Table1938[[#This Row],[Pass-EC]]=TRUE)</f>
        <v>0</v>
      </c>
      <c r="AD337" s="2" t="b">
        <f>COUNTIF($D$25:D337, Table1938[[#This Row],[Title]]) = 1</f>
        <v>1</v>
      </c>
      <c r="AE337" s="2" t="b">
        <f>AND(Table1938[[#This Row],[IC + EC]:[Unique]])</f>
        <v>0</v>
      </c>
      <c r="AF337" s="2" t="b">
        <v>0</v>
      </c>
      <c r="AG337" s="2" t="b">
        <v>0</v>
      </c>
      <c r="AH337" s="2" t="b">
        <v>0</v>
      </c>
      <c r="AI337" s="2" t="b">
        <f>IF(AND(Table1938[[#This Row],[Double Check]]=TRUE,Table1938[[#This Row],[Inspected]]=TRUE,Table1938[[#This Row],[Relevant]]=TRUE),TRUE,FALSE)</f>
        <v>0</v>
      </c>
    </row>
    <row r="338" spans="1:35" ht="57.35" x14ac:dyDescent="0.5">
      <c r="A338" s="2">
        <v>337</v>
      </c>
      <c r="B338" s="20" t="s">
        <v>3</v>
      </c>
      <c r="C338" s="20" t="s">
        <v>3408</v>
      </c>
      <c r="D338" s="20" t="s">
        <v>1743</v>
      </c>
      <c r="E338" s="20" t="s">
        <v>1742</v>
      </c>
      <c r="F338" s="2" t="s">
        <v>1746</v>
      </c>
      <c r="G338" s="20" t="s">
        <v>1744</v>
      </c>
      <c r="H338" s="36">
        <v>45352</v>
      </c>
      <c r="I338" s="20">
        <v>2024</v>
      </c>
      <c r="J338" s="20" t="s">
        <v>61</v>
      </c>
      <c r="K338" s="20" t="s">
        <v>3409</v>
      </c>
      <c r="L338" s="20" t="s">
        <v>2515</v>
      </c>
      <c r="M338" s="20" t="s">
        <v>1745</v>
      </c>
      <c r="N338" s="20" t="b">
        <v>1</v>
      </c>
      <c r="O338" s="2" t="b">
        <f>IF(Table1938[[#This Row],[Title]]="",TRUE,FALSE)</f>
        <v>0</v>
      </c>
      <c r="P338" s="2" t="b">
        <f>IF(Table1938[[#This Row],[Author]]="",TRUE,FALSE)</f>
        <v>0</v>
      </c>
      <c r="Q338" s="2" t="b">
        <f>IF(Table1938[[#This Row],[DOI]]&lt;&gt;"", FALSE,TRUE)</f>
        <v>0</v>
      </c>
      <c r="R338" s="2" t="b">
        <f>IF(Table1938[[#This Row],[Abstract]]="",TRUE,FALSE)</f>
        <v>0</v>
      </c>
      <c r="S338" s="2" t="b">
        <f>IF(OR(Table1938[[#This Row],[Document Type]]="book",Table1938[[#This Row],[Document Type]]="bookSection"),TRUE,FALSE)</f>
        <v>0</v>
      </c>
      <c r="T338" s="2" t="b">
        <f>NOT(IF(OR(Table1938[[#This Row],[Language]]&lt;&gt;"en",Table1938[[#This Row],[Language]]&lt;&gt;"EN",Table1938[[#This Row],[Language]]&lt;&gt;"spa",Table1938[[#This Row],[Language]]&lt;&gt;"SPA"),TRUE,FALSE))</f>
        <v>0</v>
      </c>
      <c r="U338" s="2" t="b">
        <f>IF(AND(Table1938[[#This Row],[EC-01]]=FALSE,Table1938[[#This Row],[EC-02]]=FALSE,Table1938[[#This Row],[EC-03]]=FALSE,Table1938[[#This Row],[EC-04]]=FALSE,Table1938[[#This Row],[EC-05]]=FALSE,Table1938[[#This Row],[EC-06]]=FALSE),TRUE,FALSE)</f>
        <v>1</v>
      </c>
      <c r="V338" s="2" t="b">
        <f>IF(Table1938[[#This Row],[Date]]&lt;&gt;"",AND(YEAR(Table1938[[#This Row],[Date]])&gt;=2010, YEAR(Table1938[[#This Row],[Date]])&lt;=2024),FALSE)</f>
        <v>1</v>
      </c>
      <c r="W338" s="2" t="b">
        <f>IF(Table1938[[#This Row],[Date]]&lt;&gt;"",AND(YEAR(Table1938[[#This Row],[Date]])&gt;=2010, YEAR(Table1938[[#This Row],[Date]])&lt;=2020),FALSE)</f>
        <v>0</v>
      </c>
      <c r="X338" s="2" t="b">
        <f>IF(AND(Table1938[[#This Row],[Accesible]]=TRUE,Table1938[[#This Row],[DOI]]&lt;&gt;""),TRUE,FALSE)</f>
        <v>1</v>
      </c>
      <c r="Y338" s="2" t="b">
        <f>OR(Table1938[[#This Row],[Document Type]]="journalArticle",Table1938[[#This Row],[Document Type]]="conferencePaper",Table1938[[#This Row],[Document Type]]="review")</f>
        <v>1</v>
      </c>
      <c r="Z338" s="2" t="b" cm="1">
        <f t="array" ref="Z338">SUMPRODUCT(--ISNUMBER(SEARCH({"dimensional analysis","dimensionless coefficients","Π","Pi","theorem","software","design","tools","development","architecture","similar"}, LOWER(Table1938[[#This Row],[Title]]))))&gt;0</f>
        <v>1</v>
      </c>
      <c r="AA338" s="2" t="b" cm="1">
        <f t="array" ref="AA338">SUMPRODUCT(--ISNUMBER(SEARCH({"dimensional analysis","dimensionless coefficients","Π","Pi","theorem","software","design","tools","development","architecture","similar"}, LOWER(Table1938[[#This Row],[Abstract]]))))&gt;0</f>
        <v>1</v>
      </c>
      <c r="AB338" s="2" t="b">
        <f>AND(OR(Table1938[[#This Row],[IC-01 @2024]:[IC-01 @2020]])=TRUE,Table1938[[#This Row],[IC-02]]=TRUE,Table1938[[#This Row],[IC-03]]=TRUE,Table1938[[#This Row],[IC-04]]=TRUE,Table1938[[#This Row],[IC-05]]=TRUE)</f>
        <v>1</v>
      </c>
      <c r="AC338" s="2" t="b">
        <f>AND(Table1938[[#This Row],[Pass-IC]]=TRUE,Table1938[[#This Row],[Pass-EC]]=TRUE)</f>
        <v>1</v>
      </c>
      <c r="AD338" s="2" t="b">
        <f>COUNTIF($D$25:D338, Table1938[[#This Row],[Title]]) = 1</f>
        <v>1</v>
      </c>
      <c r="AE338" s="2" t="b">
        <f>AND(Table1938[[#This Row],[IC + EC]:[Unique]])</f>
        <v>1</v>
      </c>
      <c r="AF338" s="2" t="b">
        <v>1</v>
      </c>
      <c r="AG338" s="2" t="b">
        <v>0</v>
      </c>
      <c r="AH338" s="2" t="b">
        <v>0</v>
      </c>
      <c r="AI338" s="2" t="b">
        <f>IF(AND(Table1938[[#This Row],[Double Check]]=TRUE,Table1938[[#This Row],[Inspected]]=TRUE,Table1938[[#This Row],[Relevant]]=TRUE),TRUE,FALSE)</f>
        <v>0</v>
      </c>
    </row>
    <row r="339" spans="1:35" ht="71.7" x14ac:dyDescent="0.5">
      <c r="A339" s="2">
        <v>338</v>
      </c>
      <c r="B339" s="20" t="s">
        <v>3</v>
      </c>
      <c r="C339" s="20" t="s">
        <v>3410</v>
      </c>
      <c r="D339" s="20" t="s">
        <v>2376</v>
      </c>
      <c r="E339" s="20" t="s">
        <v>2375</v>
      </c>
      <c r="F339" s="2" t="s">
        <v>2378</v>
      </c>
      <c r="G339" s="20" t="s">
        <v>929</v>
      </c>
      <c r="H339" s="36">
        <v>40695</v>
      </c>
      <c r="I339" s="20">
        <v>2011</v>
      </c>
      <c r="J339" s="20" t="s">
        <v>61</v>
      </c>
      <c r="K339" s="20" t="s">
        <v>3411</v>
      </c>
      <c r="L339" s="20" t="s">
        <v>2515</v>
      </c>
      <c r="M339" s="20" t="s">
        <v>2377</v>
      </c>
      <c r="N339" s="20" t="b">
        <v>1</v>
      </c>
      <c r="O339" s="2" t="b">
        <f>IF(Table1938[[#This Row],[Title]]="",TRUE,FALSE)</f>
        <v>0</v>
      </c>
      <c r="P339" s="2" t="b">
        <f>IF(Table1938[[#This Row],[Author]]="",TRUE,FALSE)</f>
        <v>0</v>
      </c>
      <c r="Q339" s="2" t="b">
        <f>IF(Table1938[[#This Row],[DOI]]&lt;&gt;"", FALSE,TRUE)</f>
        <v>0</v>
      </c>
      <c r="R339" s="2" t="b">
        <f>IF(Table1938[[#This Row],[Abstract]]="",TRUE,FALSE)</f>
        <v>0</v>
      </c>
      <c r="S339" s="2" t="b">
        <f>IF(OR(Table1938[[#This Row],[Document Type]]="book",Table1938[[#This Row],[Document Type]]="bookSection"),TRUE,FALSE)</f>
        <v>0</v>
      </c>
      <c r="T339" s="2" t="b">
        <f>NOT(IF(OR(Table1938[[#This Row],[Language]]&lt;&gt;"en",Table1938[[#This Row],[Language]]&lt;&gt;"EN",Table1938[[#This Row],[Language]]&lt;&gt;"spa",Table1938[[#This Row],[Language]]&lt;&gt;"SPA"),TRUE,FALSE))</f>
        <v>0</v>
      </c>
      <c r="U339" s="2" t="b">
        <f>IF(AND(Table1938[[#This Row],[EC-01]]=FALSE,Table1938[[#This Row],[EC-02]]=FALSE,Table1938[[#This Row],[EC-03]]=FALSE,Table1938[[#This Row],[EC-04]]=FALSE,Table1938[[#This Row],[EC-05]]=FALSE,Table1938[[#This Row],[EC-06]]=FALSE),TRUE,FALSE)</f>
        <v>1</v>
      </c>
      <c r="V339" s="2" t="b">
        <f>IF(Table1938[[#This Row],[Date]]&lt;&gt;"",AND(YEAR(Table1938[[#This Row],[Date]])&gt;=2010, YEAR(Table1938[[#This Row],[Date]])&lt;=2024),FALSE)</f>
        <v>1</v>
      </c>
      <c r="W339" s="2" t="b">
        <f>IF(Table1938[[#This Row],[Date]]&lt;&gt;"",AND(YEAR(Table1938[[#This Row],[Date]])&gt;=2010, YEAR(Table1938[[#This Row],[Date]])&lt;=2020),FALSE)</f>
        <v>1</v>
      </c>
      <c r="X339" s="2" t="b">
        <f>IF(AND(Table1938[[#This Row],[Accesible]]=TRUE,Table1938[[#This Row],[DOI]]&lt;&gt;""),TRUE,FALSE)</f>
        <v>1</v>
      </c>
      <c r="Y339" s="2" t="b">
        <f>OR(Table1938[[#This Row],[Document Type]]="journalArticle",Table1938[[#This Row],[Document Type]]="conferencePaper",Table1938[[#This Row],[Document Type]]="review")</f>
        <v>1</v>
      </c>
      <c r="Z339" s="2" t="b" cm="1">
        <f t="array" ref="Z339">SUMPRODUCT(--ISNUMBER(SEARCH({"dimensional analysis","dimensionless coefficients","Π","Pi","theorem","software","design","tools","development","architecture","similar"}, LOWER(Table1938[[#This Row],[Title]]))))&gt;0</f>
        <v>0</v>
      </c>
      <c r="AA339" s="2" t="b" cm="1">
        <f t="array" ref="AA339">SUMPRODUCT(--ISNUMBER(SEARCH({"dimensional analysis","dimensionless coefficients","Π","Pi","theorem","software","design","tools","development","architecture","similar"}, LOWER(Table1938[[#This Row],[Abstract]]))))&gt;0</f>
        <v>0</v>
      </c>
      <c r="AB339" s="2" t="b">
        <f>AND(OR(Table1938[[#This Row],[IC-01 @2024]:[IC-01 @2020]])=TRUE,Table1938[[#This Row],[IC-02]]=TRUE,Table1938[[#This Row],[IC-03]]=TRUE,Table1938[[#This Row],[IC-04]]=TRUE,Table1938[[#This Row],[IC-05]]=TRUE)</f>
        <v>0</v>
      </c>
      <c r="AC339" s="2" t="b">
        <f>AND(Table1938[[#This Row],[Pass-IC]]=TRUE,Table1938[[#This Row],[Pass-EC]]=TRUE)</f>
        <v>0</v>
      </c>
      <c r="AD339" s="2" t="b">
        <f>COUNTIF($D$25:D339, Table1938[[#This Row],[Title]]) = 1</f>
        <v>1</v>
      </c>
      <c r="AE339" s="2" t="b">
        <f>AND(Table1938[[#This Row],[IC + EC]:[Unique]])</f>
        <v>0</v>
      </c>
      <c r="AF339" s="2" t="b">
        <v>0</v>
      </c>
      <c r="AG339" s="2" t="b">
        <v>0</v>
      </c>
      <c r="AH339" s="2" t="b">
        <v>0</v>
      </c>
      <c r="AI339" s="2" t="b">
        <f>IF(AND(Table1938[[#This Row],[Double Check]]=TRUE,Table1938[[#This Row],[Inspected]]=TRUE,Table1938[[#This Row],[Relevant]]=TRUE),TRUE,FALSE)</f>
        <v>0</v>
      </c>
    </row>
    <row r="340" spans="1:35" ht="43" x14ac:dyDescent="0.5">
      <c r="A340" s="2">
        <v>339</v>
      </c>
      <c r="B340" s="20" t="s">
        <v>3</v>
      </c>
      <c r="C340" s="20" t="s">
        <v>3412</v>
      </c>
      <c r="D340" s="20" t="s">
        <v>1211</v>
      </c>
      <c r="E340" s="20" t="s">
        <v>1210</v>
      </c>
      <c r="F340" s="2" t="s">
        <v>1213</v>
      </c>
      <c r="G340" s="20" t="s">
        <v>925</v>
      </c>
      <c r="H340" s="36">
        <v>45200</v>
      </c>
      <c r="I340" s="20">
        <v>2023</v>
      </c>
      <c r="J340" s="20" t="s">
        <v>61</v>
      </c>
      <c r="K340" s="20" t="s">
        <v>3413</v>
      </c>
      <c r="L340" s="20" t="s">
        <v>2515</v>
      </c>
      <c r="M340" s="20" t="s">
        <v>1212</v>
      </c>
      <c r="N340" s="20" t="b">
        <v>1</v>
      </c>
      <c r="O340" s="2" t="b">
        <f>IF(Table1938[[#This Row],[Title]]="",TRUE,FALSE)</f>
        <v>0</v>
      </c>
      <c r="P340" s="2" t="b">
        <f>IF(Table1938[[#This Row],[Author]]="",TRUE,FALSE)</f>
        <v>0</v>
      </c>
      <c r="Q340" s="2" t="b">
        <f>IF(Table1938[[#This Row],[DOI]]&lt;&gt;"", FALSE,TRUE)</f>
        <v>0</v>
      </c>
      <c r="R340" s="2" t="b">
        <f>IF(Table1938[[#This Row],[Abstract]]="",TRUE,FALSE)</f>
        <v>0</v>
      </c>
      <c r="S340" s="2" t="b">
        <f>IF(OR(Table1938[[#This Row],[Document Type]]="book",Table1938[[#This Row],[Document Type]]="bookSection"),TRUE,FALSE)</f>
        <v>0</v>
      </c>
      <c r="T340" s="2" t="b">
        <f>NOT(IF(OR(Table1938[[#This Row],[Language]]&lt;&gt;"en",Table1938[[#This Row],[Language]]&lt;&gt;"EN",Table1938[[#This Row],[Language]]&lt;&gt;"spa",Table1938[[#This Row],[Language]]&lt;&gt;"SPA"),TRUE,FALSE))</f>
        <v>0</v>
      </c>
      <c r="U340" s="2" t="b">
        <f>IF(AND(Table1938[[#This Row],[EC-01]]=FALSE,Table1938[[#This Row],[EC-02]]=FALSE,Table1938[[#This Row],[EC-03]]=FALSE,Table1938[[#This Row],[EC-04]]=FALSE,Table1938[[#This Row],[EC-05]]=FALSE,Table1938[[#This Row],[EC-06]]=FALSE),TRUE,FALSE)</f>
        <v>1</v>
      </c>
      <c r="V340" s="2" t="b">
        <f>IF(Table1938[[#This Row],[Date]]&lt;&gt;"",AND(YEAR(Table1938[[#This Row],[Date]])&gt;=2010, YEAR(Table1938[[#This Row],[Date]])&lt;=2024),FALSE)</f>
        <v>1</v>
      </c>
      <c r="W340" s="2" t="b">
        <f>IF(Table1938[[#This Row],[Date]]&lt;&gt;"",AND(YEAR(Table1938[[#This Row],[Date]])&gt;=2010, YEAR(Table1938[[#This Row],[Date]])&lt;=2020),FALSE)</f>
        <v>0</v>
      </c>
      <c r="X340" s="2" t="b">
        <f>IF(AND(Table1938[[#This Row],[Accesible]]=TRUE,Table1938[[#This Row],[DOI]]&lt;&gt;""),TRUE,FALSE)</f>
        <v>1</v>
      </c>
      <c r="Y340" s="2" t="b">
        <f>OR(Table1938[[#This Row],[Document Type]]="journalArticle",Table1938[[#This Row],[Document Type]]="conferencePaper",Table1938[[#This Row],[Document Type]]="review")</f>
        <v>1</v>
      </c>
      <c r="Z340" s="2" t="b" cm="1">
        <f t="array" ref="Z340">SUMPRODUCT(--ISNUMBER(SEARCH({"dimensional analysis","dimensionless coefficients","Π","Pi","theorem","software","design","tools","development","architecture","similar"}, LOWER(Table1938[[#This Row],[Title]]))))&gt;0</f>
        <v>1</v>
      </c>
      <c r="AA340" s="2" t="b" cm="1">
        <f t="array" ref="AA340">SUMPRODUCT(--ISNUMBER(SEARCH({"dimensional analysis","dimensionless coefficients","Π","Pi","theorem","software","design","tools","development","architecture","similar"}, LOWER(Table1938[[#This Row],[Abstract]]))))&gt;0</f>
        <v>1</v>
      </c>
      <c r="AB340" s="2" t="b">
        <f>AND(OR(Table1938[[#This Row],[IC-01 @2024]:[IC-01 @2020]])=TRUE,Table1938[[#This Row],[IC-02]]=TRUE,Table1938[[#This Row],[IC-03]]=TRUE,Table1938[[#This Row],[IC-04]]=TRUE,Table1938[[#This Row],[IC-05]]=TRUE)</f>
        <v>1</v>
      </c>
      <c r="AC340" s="2" t="b">
        <f>AND(Table1938[[#This Row],[Pass-IC]]=TRUE,Table1938[[#This Row],[Pass-EC]]=TRUE)</f>
        <v>1</v>
      </c>
      <c r="AD340" s="2" t="b">
        <f>COUNTIF($D$25:D340, Table1938[[#This Row],[Title]]) = 1</f>
        <v>1</v>
      </c>
      <c r="AE340" s="2" t="b">
        <f>AND(Table1938[[#This Row],[IC + EC]:[Unique]])</f>
        <v>1</v>
      </c>
      <c r="AF340" s="2" t="b">
        <v>1</v>
      </c>
      <c r="AG340" s="2" t="b">
        <v>0</v>
      </c>
      <c r="AH340" s="2" t="b">
        <v>0</v>
      </c>
      <c r="AI340" s="2" t="b">
        <f>IF(AND(Table1938[[#This Row],[Double Check]]=TRUE,Table1938[[#This Row],[Inspected]]=TRUE,Table1938[[#This Row],[Relevant]]=TRUE),TRUE,FALSE)</f>
        <v>0</v>
      </c>
    </row>
    <row r="341" spans="1:35" ht="57.35" x14ac:dyDescent="0.5">
      <c r="A341" s="2">
        <v>340</v>
      </c>
      <c r="B341" s="20" t="s">
        <v>3</v>
      </c>
      <c r="C341" s="20" t="s">
        <v>3414</v>
      </c>
      <c r="D341" s="20" t="s">
        <v>2200</v>
      </c>
      <c r="E341" s="20" t="s">
        <v>2199</v>
      </c>
      <c r="F341" s="2" t="s">
        <v>2202</v>
      </c>
      <c r="G341" s="20" t="s">
        <v>1014</v>
      </c>
      <c r="H341" s="36">
        <v>43070</v>
      </c>
      <c r="I341" s="20">
        <v>2017</v>
      </c>
      <c r="J341" s="20" t="s">
        <v>61</v>
      </c>
      <c r="K341" s="20" t="s">
        <v>3415</v>
      </c>
      <c r="L341" s="20" t="s">
        <v>2515</v>
      </c>
      <c r="M341" s="20" t="s">
        <v>2201</v>
      </c>
      <c r="N341" s="20" t="b">
        <v>1</v>
      </c>
      <c r="O341" s="2" t="b">
        <f>IF(Table1938[[#This Row],[Title]]="",TRUE,FALSE)</f>
        <v>0</v>
      </c>
      <c r="P341" s="2" t="b">
        <f>IF(Table1938[[#This Row],[Author]]="",TRUE,FALSE)</f>
        <v>0</v>
      </c>
      <c r="Q341" s="2" t="b">
        <f>IF(Table1938[[#This Row],[DOI]]&lt;&gt;"", FALSE,TRUE)</f>
        <v>0</v>
      </c>
      <c r="R341" s="2" t="b">
        <f>IF(Table1938[[#This Row],[Abstract]]="",TRUE,FALSE)</f>
        <v>0</v>
      </c>
      <c r="S341" s="2" t="b">
        <f>IF(OR(Table1938[[#This Row],[Document Type]]="book",Table1938[[#This Row],[Document Type]]="bookSection"),TRUE,FALSE)</f>
        <v>0</v>
      </c>
      <c r="T341" s="2" t="b">
        <f>NOT(IF(OR(Table1938[[#This Row],[Language]]&lt;&gt;"en",Table1938[[#This Row],[Language]]&lt;&gt;"EN",Table1938[[#This Row],[Language]]&lt;&gt;"spa",Table1938[[#This Row],[Language]]&lt;&gt;"SPA"),TRUE,FALSE))</f>
        <v>0</v>
      </c>
      <c r="U341" s="2" t="b">
        <f>IF(AND(Table1938[[#This Row],[EC-01]]=FALSE,Table1938[[#This Row],[EC-02]]=FALSE,Table1938[[#This Row],[EC-03]]=FALSE,Table1938[[#This Row],[EC-04]]=FALSE,Table1938[[#This Row],[EC-05]]=FALSE,Table1938[[#This Row],[EC-06]]=FALSE),TRUE,FALSE)</f>
        <v>1</v>
      </c>
      <c r="V341" s="2" t="b">
        <f>IF(Table1938[[#This Row],[Date]]&lt;&gt;"",AND(YEAR(Table1938[[#This Row],[Date]])&gt;=2010, YEAR(Table1938[[#This Row],[Date]])&lt;=2024),FALSE)</f>
        <v>1</v>
      </c>
      <c r="W341" s="2" t="b">
        <f>IF(Table1938[[#This Row],[Date]]&lt;&gt;"",AND(YEAR(Table1938[[#This Row],[Date]])&gt;=2010, YEAR(Table1938[[#This Row],[Date]])&lt;=2020),FALSE)</f>
        <v>1</v>
      </c>
      <c r="X341" s="2" t="b">
        <f>IF(AND(Table1938[[#This Row],[Accesible]]=TRUE,Table1938[[#This Row],[DOI]]&lt;&gt;""),TRUE,FALSE)</f>
        <v>1</v>
      </c>
      <c r="Y341" s="2" t="b">
        <f>OR(Table1938[[#This Row],[Document Type]]="journalArticle",Table1938[[#This Row],[Document Type]]="conferencePaper",Table1938[[#This Row],[Document Type]]="review")</f>
        <v>1</v>
      </c>
      <c r="Z341" s="2" t="b" cm="1">
        <f t="array" ref="Z341">SUMPRODUCT(--ISNUMBER(SEARCH({"dimensional analysis","dimensionless coefficients","Π","Pi","theorem","software","design","tools","development","architecture","similar"}, LOWER(Table1938[[#This Row],[Title]]))))&gt;0</f>
        <v>0</v>
      </c>
      <c r="AA341" s="2" t="b" cm="1">
        <f t="array" ref="AA341">SUMPRODUCT(--ISNUMBER(SEARCH({"dimensional analysis","dimensionless coefficients","Π","Pi","theorem","software","design","tools","development","architecture","similar"}, LOWER(Table1938[[#This Row],[Abstract]]))))&gt;0</f>
        <v>1</v>
      </c>
      <c r="AB341" s="2" t="b">
        <f>AND(OR(Table1938[[#This Row],[IC-01 @2024]:[IC-01 @2020]])=TRUE,Table1938[[#This Row],[IC-02]]=TRUE,Table1938[[#This Row],[IC-03]]=TRUE,Table1938[[#This Row],[IC-04]]=TRUE,Table1938[[#This Row],[IC-05]]=TRUE)</f>
        <v>0</v>
      </c>
      <c r="AC341" s="2" t="b">
        <f>AND(Table1938[[#This Row],[Pass-IC]]=TRUE,Table1938[[#This Row],[Pass-EC]]=TRUE)</f>
        <v>0</v>
      </c>
      <c r="AD341" s="2" t="b">
        <f>COUNTIF($D$25:D341, Table1938[[#This Row],[Title]]) = 1</f>
        <v>1</v>
      </c>
      <c r="AE341" s="2" t="b">
        <f>AND(Table1938[[#This Row],[IC + EC]:[Unique]])</f>
        <v>0</v>
      </c>
      <c r="AF341" s="2" t="b">
        <v>0</v>
      </c>
      <c r="AG341" s="2" t="b">
        <v>0</v>
      </c>
      <c r="AH341" s="2" t="b">
        <v>0</v>
      </c>
      <c r="AI341" s="2" t="b">
        <f>IF(AND(Table1938[[#This Row],[Double Check]]=TRUE,Table1938[[#This Row],[Inspected]]=TRUE,Table1938[[#This Row],[Relevant]]=TRUE),TRUE,FALSE)</f>
        <v>0</v>
      </c>
    </row>
    <row r="342" spans="1:35" ht="43" x14ac:dyDescent="0.5">
      <c r="A342" s="2">
        <v>341</v>
      </c>
      <c r="B342" s="20" t="s">
        <v>3</v>
      </c>
      <c r="C342" s="20" t="s">
        <v>3416</v>
      </c>
      <c r="D342" s="20" t="s">
        <v>1983</v>
      </c>
      <c r="E342" s="20" t="s">
        <v>1982</v>
      </c>
      <c r="F342" s="2" t="s">
        <v>1985</v>
      </c>
      <c r="G342" s="20" t="s">
        <v>929</v>
      </c>
      <c r="H342" s="36">
        <v>45306</v>
      </c>
      <c r="I342" s="20">
        <v>2024</v>
      </c>
      <c r="J342" s="20" t="s">
        <v>61</v>
      </c>
      <c r="K342" s="20" t="s">
        <v>3417</v>
      </c>
      <c r="L342" s="20" t="s">
        <v>2515</v>
      </c>
      <c r="M342" s="20" t="s">
        <v>1984</v>
      </c>
      <c r="N342" s="20" t="b">
        <v>1</v>
      </c>
      <c r="O342" s="2" t="b">
        <f>IF(Table1938[[#This Row],[Title]]="",TRUE,FALSE)</f>
        <v>0</v>
      </c>
      <c r="P342" s="2" t="b">
        <f>IF(Table1938[[#This Row],[Author]]="",TRUE,FALSE)</f>
        <v>0</v>
      </c>
      <c r="Q342" s="2" t="b">
        <f>IF(Table1938[[#This Row],[DOI]]&lt;&gt;"", FALSE,TRUE)</f>
        <v>0</v>
      </c>
      <c r="R342" s="2" t="b">
        <f>IF(Table1938[[#This Row],[Abstract]]="",TRUE,FALSE)</f>
        <v>0</v>
      </c>
      <c r="S342" s="2" t="b">
        <f>IF(OR(Table1938[[#This Row],[Document Type]]="book",Table1938[[#This Row],[Document Type]]="bookSection"),TRUE,FALSE)</f>
        <v>0</v>
      </c>
      <c r="T342" s="2" t="b">
        <f>NOT(IF(OR(Table1938[[#This Row],[Language]]&lt;&gt;"en",Table1938[[#This Row],[Language]]&lt;&gt;"EN",Table1938[[#This Row],[Language]]&lt;&gt;"spa",Table1938[[#This Row],[Language]]&lt;&gt;"SPA"),TRUE,FALSE))</f>
        <v>0</v>
      </c>
      <c r="U342" s="2" t="b">
        <f>IF(AND(Table1938[[#This Row],[EC-01]]=FALSE,Table1938[[#This Row],[EC-02]]=FALSE,Table1938[[#This Row],[EC-03]]=FALSE,Table1938[[#This Row],[EC-04]]=FALSE,Table1938[[#This Row],[EC-05]]=FALSE,Table1938[[#This Row],[EC-06]]=FALSE),TRUE,FALSE)</f>
        <v>1</v>
      </c>
      <c r="V342" s="2" t="b">
        <f>IF(Table1938[[#This Row],[Date]]&lt;&gt;"",AND(YEAR(Table1938[[#This Row],[Date]])&gt;=2010, YEAR(Table1938[[#This Row],[Date]])&lt;=2024),FALSE)</f>
        <v>1</v>
      </c>
      <c r="W342" s="2" t="b">
        <f>IF(Table1938[[#This Row],[Date]]&lt;&gt;"",AND(YEAR(Table1938[[#This Row],[Date]])&gt;=2010, YEAR(Table1938[[#This Row],[Date]])&lt;=2020),FALSE)</f>
        <v>0</v>
      </c>
      <c r="X342" s="2" t="b">
        <f>IF(AND(Table1938[[#This Row],[Accesible]]=TRUE,Table1938[[#This Row],[DOI]]&lt;&gt;""),TRUE,FALSE)</f>
        <v>1</v>
      </c>
      <c r="Y342" s="2" t="b">
        <f>OR(Table1938[[#This Row],[Document Type]]="journalArticle",Table1938[[#This Row],[Document Type]]="conferencePaper",Table1938[[#This Row],[Document Type]]="review")</f>
        <v>1</v>
      </c>
      <c r="Z342" s="2" t="b" cm="1">
        <f t="array" ref="Z342">SUMPRODUCT(--ISNUMBER(SEARCH({"dimensional analysis","dimensionless coefficients","Π","Pi","theorem","software","design","tools","development","architecture","similar"}, LOWER(Table1938[[#This Row],[Title]]))))&gt;0</f>
        <v>0</v>
      </c>
      <c r="AA342" s="2" t="b" cm="1">
        <f t="array" ref="AA342">SUMPRODUCT(--ISNUMBER(SEARCH({"dimensional analysis","dimensionless coefficients","Π","Pi","theorem","software","design","tools","development","architecture","similar"}, LOWER(Table1938[[#This Row],[Abstract]]))))&gt;0</f>
        <v>1</v>
      </c>
      <c r="AB342" s="2" t="b">
        <f>AND(OR(Table1938[[#This Row],[IC-01 @2024]:[IC-01 @2020]])=TRUE,Table1938[[#This Row],[IC-02]]=TRUE,Table1938[[#This Row],[IC-03]]=TRUE,Table1938[[#This Row],[IC-04]]=TRUE,Table1938[[#This Row],[IC-05]]=TRUE)</f>
        <v>0</v>
      </c>
      <c r="AC342" s="2" t="b">
        <f>AND(Table1938[[#This Row],[Pass-IC]]=TRUE,Table1938[[#This Row],[Pass-EC]]=TRUE)</f>
        <v>0</v>
      </c>
      <c r="AD342" s="2" t="b">
        <f>COUNTIF($D$25:D342, Table1938[[#This Row],[Title]]) = 1</f>
        <v>1</v>
      </c>
      <c r="AE342" s="2" t="b">
        <f>AND(Table1938[[#This Row],[IC + EC]:[Unique]])</f>
        <v>0</v>
      </c>
      <c r="AF342" s="2" t="b">
        <v>0</v>
      </c>
      <c r="AG342" s="2" t="b">
        <v>0</v>
      </c>
      <c r="AH342" s="2" t="b">
        <v>0</v>
      </c>
      <c r="AI342" s="2" t="b">
        <f>IF(AND(Table1938[[#This Row],[Double Check]]=TRUE,Table1938[[#This Row],[Inspected]]=TRUE,Table1938[[#This Row],[Relevant]]=TRUE),TRUE,FALSE)</f>
        <v>0</v>
      </c>
    </row>
    <row r="343" spans="1:35" ht="71.7" x14ac:dyDescent="0.5">
      <c r="A343" s="2">
        <v>342</v>
      </c>
      <c r="B343" s="20" t="s">
        <v>3</v>
      </c>
      <c r="C343" s="20" t="s">
        <v>3418</v>
      </c>
      <c r="D343" s="20" t="s">
        <v>1126</v>
      </c>
      <c r="E343" s="20" t="s">
        <v>1125</v>
      </c>
      <c r="F343" s="2" t="s">
        <v>1128</v>
      </c>
      <c r="G343" s="20" t="s">
        <v>917</v>
      </c>
      <c r="H343" s="36">
        <v>44454</v>
      </c>
      <c r="I343" s="20">
        <v>2021</v>
      </c>
      <c r="J343" s="20" t="s">
        <v>61</v>
      </c>
      <c r="K343" s="20" t="s">
        <v>3419</v>
      </c>
      <c r="L343" s="20" t="s">
        <v>2515</v>
      </c>
      <c r="M343" s="20" t="s">
        <v>1127</v>
      </c>
      <c r="N343" s="20" t="b">
        <v>1</v>
      </c>
      <c r="O343" s="2" t="b">
        <f>IF(Table1938[[#This Row],[Title]]="",TRUE,FALSE)</f>
        <v>0</v>
      </c>
      <c r="P343" s="2" t="b">
        <f>IF(Table1938[[#This Row],[Author]]="",TRUE,FALSE)</f>
        <v>0</v>
      </c>
      <c r="Q343" s="2" t="b">
        <f>IF(Table1938[[#This Row],[DOI]]&lt;&gt;"", FALSE,TRUE)</f>
        <v>0</v>
      </c>
      <c r="R343" s="2" t="b">
        <f>IF(Table1938[[#This Row],[Abstract]]="",TRUE,FALSE)</f>
        <v>0</v>
      </c>
      <c r="S343" s="2" t="b">
        <f>IF(OR(Table1938[[#This Row],[Document Type]]="book",Table1938[[#This Row],[Document Type]]="bookSection"),TRUE,FALSE)</f>
        <v>0</v>
      </c>
      <c r="T343" s="2" t="b">
        <f>NOT(IF(OR(Table1938[[#This Row],[Language]]&lt;&gt;"en",Table1938[[#This Row],[Language]]&lt;&gt;"EN",Table1938[[#This Row],[Language]]&lt;&gt;"spa",Table1938[[#This Row],[Language]]&lt;&gt;"SPA"),TRUE,FALSE))</f>
        <v>0</v>
      </c>
      <c r="U343" s="2" t="b">
        <f>IF(AND(Table1938[[#This Row],[EC-01]]=FALSE,Table1938[[#This Row],[EC-02]]=FALSE,Table1938[[#This Row],[EC-03]]=FALSE,Table1938[[#This Row],[EC-04]]=FALSE,Table1938[[#This Row],[EC-05]]=FALSE,Table1938[[#This Row],[EC-06]]=FALSE),TRUE,FALSE)</f>
        <v>1</v>
      </c>
      <c r="V343" s="2" t="b">
        <f>IF(Table1938[[#This Row],[Date]]&lt;&gt;"",AND(YEAR(Table1938[[#This Row],[Date]])&gt;=2010, YEAR(Table1938[[#This Row],[Date]])&lt;=2024),FALSE)</f>
        <v>1</v>
      </c>
      <c r="W343" s="2" t="b">
        <f>IF(Table1938[[#This Row],[Date]]&lt;&gt;"",AND(YEAR(Table1938[[#This Row],[Date]])&gt;=2010, YEAR(Table1938[[#This Row],[Date]])&lt;=2020),FALSE)</f>
        <v>0</v>
      </c>
      <c r="X343" s="2" t="b">
        <f>IF(AND(Table1938[[#This Row],[Accesible]]=TRUE,Table1938[[#This Row],[DOI]]&lt;&gt;""),TRUE,FALSE)</f>
        <v>1</v>
      </c>
      <c r="Y343" s="2" t="b">
        <f>OR(Table1938[[#This Row],[Document Type]]="journalArticle",Table1938[[#This Row],[Document Type]]="conferencePaper",Table1938[[#This Row],[Document Type]]="review")</f>
        <v>1</v>
      </c>
      <c r="Z343" s="2" t="b" cm="1">
        <f t="array" ref="Z343">SUMPRODUCT(--ISNUMBER(SEARCH({"dimensional analysis","dimensionless coefficients","Π","Pi","theorem","software","design","tools","development","architecture","similar"}, LOWER(Table1938[[#This Row],[Title]]))))&gt;0</f>
        <v>0</v>
      </c>
      <c r="AA343" s="2" t="b" cm="1">
        <f t="array" ref="AA343">SUMPRODUCT(--ISNUMBER(SEARCH({"dimensional analysis","dimensionless coefficients","Π","Pi","theorem","software","design","tools","development","architecture","similar"}, LOWER(Table1938[[#This Row],[Abstract]]))))&gt;0</f>
        <v>1</v>
      </c>
      <c r="AB343" s="2" t="b">
        <f>AND(OR(Table1938[[#This Row],[IC-01 @2024]:[IC-01 @2020]])=TRUE,Table1938[[#This Row],[IC-02]]=TRUE,Table1938[[#This Row],[IC-03]]=TRUE,Table1938[[#This Row],[IC-04]]=TRUE,Table1938[[#This Row],[IC-05]]=TRUE)</f>
        <v>0</v>
      </c>
      <c r="AC343" s="2" t="b">
        <f>AND(Table1938[[#This Row],[Pass-IC]]=TRUE,Table1938[[#This Row],[Pass-EC]]=TRUE)</f>
        <v>0</v>
      </c>
      <c r="AD343" s="2" t="b">
        <f>COUNTIF($D$25:D343, Table1938[[#This Row],[Title]]) = 1</f>
        <v>1</v>
      </c>
      <c r="AE343" s="2" t="b">
        <f>AND(Table1938[[#This Row],[IC + EC]:[Unique]])</f>
        <v>0</v>
      </c>
      <c r="AF343" s="2" t="b">
        <v>0</v>
      </c>
      <c r="AG343" s="2" t="b">
        <v>0</v>
      </c>
      <c r="AH343" s="2" t="b">
        <v>0</v>
      </c>
      <c r="AI343" s="2" t="b">
        <f>IF(AND(Table1938[[#This Row],[Double Check]]=TRUE,Table1938[[#This Row],[Inspected]]=TRUE,Table1938[[#This Row],[Relevant]]=TRUE),TRUE,FALSE)</f>
        <v>0</v>
      </c>
    </row>
    <row r="344" spans="1:35" ht="86" x14ac:dyDescent="0.5">
      <c r="A344" s="2">
        <v>343</v>
      </c>
      <c r="B344" s="20" t="s">
        <v>3</v>
      </c>
      <c r="C344" s="20" t="s">
        <v>3420</v>
      </c>
      <c r="D344" s="20" t="s">
        <v>1471</v>
      </c>
      <c r="E344" s="20" t="s">
        <v>1470</v>
      </c>
      <c r="F344" s="2" t="s">
        <v>1473</v>
      </c>
      <c r="G344" s="20" t="s">
        <v>985</v>
      </c>
      <c r="H344" s="36">
        <v>42248</v>
      </c>
      <c r="I344" s="20">
        <v>2015</v>
      </c>
      <c r="J344" s="20" t="s">
        <v>61</v>
      </c>
      <c r="K344" s="20" t="s">
        <v>3421</v>
      </c>
      <c r="L344" s="20" t="s">
        <v>2515</v>
      </c>
      <c r="M344" s="20" t="s">
        <v>1472</v>
      </c>
      <c r="N344" s="20" t="b">
        <v>1</v>
      </c>
      <c r="O344" s="2" t="b">
        <f>IF(Table1938[[#This Row],[Title]]="",TRUE,FALSE)</f>
        <v>0</v>
      </c>
      <c r="P344" s="2" t="b">
        <f>IF(Table1938[[#This Row],[Author]]="",TRUE,FALSE)</f>
        <v>0</v>
      </c>
      <c r="Q344" s="2" t="b">
        <f>IF(Table1938[[#This Row],[DOI]]&lt;&gt;"", FALSE,TRUE)</f>
        <v>0</v>
      </c>
      <c r="R344" s="2" t="b">
        <f>IF(Table1938[[#This Row],[Abstract]]="",TRUE,FALSE)</f>
        <v>0</v>
      </c>
      <c r="S344" s="2" t="b">
        <f>IF(OR(Table1938[[#This Row],[Document Type]]="book",Table1938[[#This Row],[Document Type]]="bookSection"),TRUE,FALSE)</f>
        <v>0</v>
      </c>
      <c r="T344" s="2" t="b">
        <f>NOT(IF(OR(Table1938[[#This Row],[Language]]&lt;&gt;"en",Table1938[[#This Row],[Language]]&lt;&gt;"EN",Table1938[[#This Row],[Language]]&lt;&gt;"spa",Table1938[[#This Row],[Language]]&lt;&gt;"SPA"),TRUE,FALSE))</f>
        <v>0</v>
      </c>
      <c r="U344" s="2" t="b">
        <f>IF(AND(Table1938[[#This Row],[EC-01]]=FALSE,Table1938[[#This Row],[EC-02]]=FALSE,Table1938[[#This Row],[EC-03]]=FALSE,Table1938[[#This Row],[EC-04]]=FALSE,Table1938[[#This Row],[EC-05]]=FALSE,Table1938[[#This Row],[EC-06]]=FALSE),TRUE,FALSE)</f>
        <v>1</v>
      </c>
      <c r="V344" s="2" t="b">
        <f>IF(Table1938[[#This Row],[Date]]&lt;&gt;"",AND(YEAR(Table1938[[#This Row],[Date]])&gt;=2010, YEAR(Table1938[[#This Row],[Date]])&lt;=2024),FALSE)</f>
        <v>1</v>
      </c>
      <c r="W344" s="2" t="b">
        <f>IF(Table1938[[#This Row],[Date]]&lt;&gt;"",AND(YEAR(Table1938[[#This Row],[Date]])&gt;=2010, YEAR(Table1938[[#This Row],[Date]])&lt;=2020),FALSE)</f>
        <v>1</v>
      </c>
      <c r="X344" s="2" t="b">
        <f>IF(AND(Table1938[[#This Row],[Accesible]]=TRUE,Table1938[[#This Row],[DOI]]&lt;&gt;""),TRUE,FALSE)</f>
        <v>1</v>
      </c>
      <c r="Y344" s="2" t="b">
        <f>OR(Table1938[[#This Row],[Document Type]]="journalArticle",Table1938[[#This Row],[Document Type]]="conferencePaper",Table1938[[#This Row],[Document Type]]="review")</f>
        <v>1</v>
      </c>
      <c r="Z344" s="2" t="b" cm="1">
        <f t="array" ref="Z344">SUMPRODUCT(--ISNUMBER(SEARCH({"dimensional analysis","dimensionless coefficients","Π","Pi","theorem","software","design","tools","development","architecture","similar"}, LOWER(Table1938[[#This Row],[Title]]))))&gt;0</f>
        <v>1</v>
      </c>
      <c r="AA344" s="2" t="b" cm="1">
        <f t="array" ref="AA344">SUMPRODUCT(--ISNUMBER(SEARCH({"dimensional analysis","dimensionless coefficients","Π","Pi","theorem","software","design","tools","development","architecture","similar"}, LOWER(Table1938[[#This Row],[Abstract]]))))&gt;0</f>
        <v>1</v>
      </c>
      <c r="AB344" s="2" t="b">
        <f>AND(OR(Table1938[[#This Row],[IC-01 @2024]:[IC-01 @2020]])=TRUE,Table1938[[#This Row],[IC-02]]=TRUE,Table1938[[#This Row],[IC-03]]=TRUE,Table1938[[#This Row],[IC-04]]=TRUE,Table1938[[#This Row],[IC-05]]=TRUE)</f>
        <v>1</v>
      </c>
      <c r="AC344" s="2" t="b">
        <f>AND(Table1938[[#This Row],[Pass-IC]]=TRUE,Table1938[[#This Row],[Pass-EC]]=TRUE)</f>
        <v>1</v>
      </c>
      <c r="AD344" s="2" t="b">
        <f>COUNTIF($D$25:D344, Table1938[[#This Row],[Title]]) = 1</f>
        <v>1</v>
      </c>
      <c r="AE344" s="2" t="b">
        <f>AND(Table1938[[#This Row],[IC + EC]:[Unique]])</f>
        <v>1</v>
      </c>
      <c r="AF344" s="2" t="b">
        <v>1</v>
      </c>
      <c r="AG344" s="2" t="b">
        <v>0</v>
      </c>
      <c r="AH344" s="2" t="b">
        <v>0</v>
      </c>
      <c r="AI344" s="2" t="b">
        <f>IF(AND(Table1938[[#This Row],[Double Check]]=TRUE,Table1938[[#This Row],[Inspected]]=TRUE,Table1938[[#This Row],[Relevant]]=TRUE),TRUE,FALSE)</f>
        <v>0</v>
      </c>
    </row>
    <row r="345" spans="1:35" ht="43" x14ac:dyDescent="0.5">
      <c r="A345" s="2">
        <v>344</v>
      </c>
      <c r="B345" s="20" t="s">
        <v>3</v>
      </c>
      <c r="C345" s="20" t="s">
        <v>3422</v>
      </c>
      <c r="D345" s="20" t="s">
        <v>2093</v>
      </c>
      <c r="E345" s="20" t="s">
        <v>2092</v>
      </c>
      <c r="F345" s="2" t="s">
        <v>2095</v>
      </c>
      <c r="G345" s="20" t="s">
        <v>1139</v>
      </c>
      <c r="H345" s="36">
        <v>43800</v>
      </c>
      <c r="I345" s="20">
        <v>2019</v>
      </c>
      <c r="J345" s="20" t="s">
        <v>61</v>
      </c>
      <c r="K345" s="20" t="s">
        <v>3423</v>
      </c>
      <c r="L345" s="20" t="s">
        <v>2515</v>
      </c>
      <c r="M345" s="20" t="s">
        <v>2094</v>
      </c>
      <c r="N345" s="20" t="b">
        <v>1</v>
      </c>
      <c r="O345" s="2" t="b">
        <f>IF(Table1938[[#This Row],[Title]]="",TRUE,FALSE)</f>
        <v>0</v>
      </c>
      <c r="P345" s="2" t="b">
        <f>IF(Table1938[[#This Row],[Author]]="",TRUE,FALSE)</f>
        <v>0</v>
      </c>
      <c r="Q345" s="2" t="b">
        <f>IF(Table1938[[#This Row],[DOI]]&lt;&gt;"", FALSE,TRUE)</f>
        <v>0</v>
      </c>
      <c r="R345" s="2" t="b">
        <f>IF(Table1938[[#This Row],[Abstract]]="",TRUE,FALSE)</f>
        <v>0</v>
      </c>
      <c r="S345" s="2" t="b">
        <f>IF(OR(Table1938[[#This Row],[Document Type]]="book",Table1938[[#This Row],[Document Type]]="bookSection"),TRUE,FALSE)</f>
        <v>0</v>
      </c>
      <c r="T345" s="2" t="b">
        <f>NOT(IF(OR(Table1938[[#This Row],[Language]]&lt;&gt;"en",Table1938[[#This Row],[Language]]&lt;&gt;"EN",Table1938[[#This Row],[Language]]&lt;&gt;"spa",Table1938[[#This Row],[Language]]&lt;&gt;"SPA"),TRUE,FALSE))</f>
        <v>0</v>
      </c>
      <c r="U345" s="2" t="b">
        <f>IF(AND(Table1938[[#This Row],[EC-01]]=FALSE,Table1938[[#This Row],[EC-02]]=FALSE,Table1938[[#This Row],[EC-03]]=FALSE,Table1938[[#This Row],[EC-04]]=FALSE,Table1938[[#This Row],[EC-05]]=FALSE,Table1938[[#This Row],[EC-06]]=FALSE),TRUE,FALSE)</f>
        <v>1</v>
      </c>
      <c r="V345" s="2" t="b">
        <f>IF(Table1938[[#This Row],[Date]]&lt;&gt;"",AND(YEAR(Table1938[[#This Row],[Date]])&gt;=2010, YEAR(Table1938[[#This Row],[Date]])&lt;=2024),FALSE)</f>
        <v>1</v>
      </c>
      <c r="W345" s="2" t="b">
        <f>IF(Table1938[[#This Row],[Date]]&lt;&gt;"",AND(YEAR(Table1938[[#This Row],[Date]])&gt;=2010, YEAR(Table1938[[#This Row],[Date]])&lt;=2020),FALSE)</f>
        <v>1</v>
      </c>
      <c r="X345" s="2" t="b">
        <f>IF(AND(Table1938[[#This Row],[Accesible]]=TRUE,Table1938[[#This Row],[DOI]]&lt;&gt;""),TRUE,FALSE)</f>
        <v>1</v>
      </c>
      <c r="Y345" s="2" t="b">
        <f>OR(Table1938[[#This Row],[Document Type]]="journalArticle",Table1938[[#This Row],[Document Type]]="conferencePaper",Table1938[[#This Row],[Document Type]]="review")</f>
        <v>1</v>
      </c>
      <c r="Z345" s="2" t="b" cm="1">
        <f t="array" ref="Z345">SUMPRODUCT(--ISNUMBER(SEARCH({"dimensional analysis","dimensionless coefficients","Π","Pi","theorem","software","design","tools","development","architecture","similar"}, LOWER(Table1938[[#This Row],[Title]]))))&gt;0</f>
        <v>0</v>
      </c>
      <c r="AA345" s="2" t="b" cm="1">
        <f t="array" ref="AA345">SUMPRODUCT(--ISNUMBER(SEARCH({"dimensional analysis","dimensionless coefficients","Π","Pi","theorem","software","design","tools","development","architecture","similar"}, LOWER(Table1938[[#This Row],[Abstract]]))))&gt;0</f>
        <v>0</v>
      </c>
      <c r="AB345" s="2" t="b">
        <f>AND(OR(Table1938[[#This Row],[IC-01 @2024]:[IC-01 @2020]])=TRUE,Table1938[[#This Row],[IC-02]]=TRUE,Table1938[[#This Row],[IC-03]]=TRUE,Table1938[[#This Row],[IC-04]]=TRUE,Table1938[[#This Row],[IC-05]]=TRUE)</f>
        <v>0</v>
      </c>
      <c r="AC345" s="2" t="b">
        <f>AND(Table1938[[#This Row],[Pass-IC]]=TRUE,Table1938[[#This Row],[Pass-EC]]=TRUE)</f>
        <v>0</v>
      </c>
      <c r="AD345" s="2" t="b">
        <f>COUNTIF($D$25:D345, Table1938[[#This Row],[Title]]) = 1</f>
        <v>1</v>
      </c>
      <c r="AE345" s="2" t="b">
        <f>AND(Table1938[[#This Row],[IC + EC]:[Unique]])</f>
        <v>0</v>
      </c>
      <c r="AF345" s="2" t="b">
        <v>0</v>
      </c>
      <c r="AG345" s="2" t="b">
        <v>0</v>
      </c>
      <c r="AH345" s="2" t="b">
        <v>0</v>
      </c>
      <c r="AI345" s="2" t="b">
        <f>IF(AND(Table1938[[#This Row],[Double Check]]=TRUE,Table1938[[#This Row],[Inspected]]=TRUE,Table1938[[#This Row],[Relevant]]=TRUE),TRUE,FALSE)</f>
        <v>0</v>
      </c>
    </row>
    <row r="346" spans="1:35" ht="57.35" x14ac:dyDescent="0.5">
      <c r="A346" s="2">
        <v>345</v>
      </c>
      <c r="B346" s="20" t="s">
        <v>3</v>
      </c>
      <c r="C346" s="20" t="s">
        <v>3424</v>
      </c>
      <c r="D346" s="20" t="s">
        <v>2196</v>
      </c>
      <c r="E346" s="20" t="s">
        <v>2195</v>
      </c>
      <c r="F346" s="2" t="s">
        <v>2198</v>
      </c>
      <c r="G346" s="20" t="s">
        <v>941</v>
      </c>
      <c r="H346" s="36">
        <v>44593</v>
      </c>
      <c r="I346" s="20">
        <v>2022</v>
      </c>
      <c r="J346" s="20" t="s">
        <v>61</v>
      </c>
      <c r="K346" s="20" t="s">
        <v>3425</v>
      </c>
      <c r="L346" s="20" t="s">
        <v>2515</v>
      </c>
      <c r="M346" s="20" t="s">
        <v>2197</v>
      </c>
      <c r="N346" s="20" t="b">
        <v>1</v>
      </c>
      <c r="O346" s="2" t="b">
        <f>IF(Table1938[[#This Row],[Title]]="",TRUE,FALSE)</f>
        <v>0</v>
      </c>
      <c r="P346" s="2" t="b">
        <f>IF(Table1938[[#This Row],[Author]]="",TRUE,FALSE)</f>
        <v>0</v>
      </c>
      <c r="Q346" s="2" t="b">
        <f>IF(Table1938[[#This Row],[DOI]]&lt;&gt;"", FALSE,TRUE)</f>
        <v>0</v>
      </c>
      <c r="R346" s="2" t="b">
        <f>IF(Table1938[[#This Row],[Abstract]]="",TRUE,FALSE)</f>
        <v>0</v>
      </c>
      <c r="S346" s="2" t="b">
        <f>IF(OR(Table1938[[#This Row],[Document Type]]="book",Table1938[[#This Row],[Document Type]]="bookSection"),TRUE,FALSE)</f>
        <v>0</v>
      </c>
      <c r="T346" s="2" t="b">
        <f>NOT(IF(OR(Table1938[[#This Row],[Language]]&lt;&gt;"en",Table1938[[#This Row],[Language]]&lt;&gt;"EN",Table1938[[#This Row],[Language]]&lt;&gt;"spa",Table1938[[#This Row],[Language]]&lt;&gt;"SPA"),TRUE,FALSE))</f>
        <v>0</v>
      </c>
      <c r="U346" s="2" t="b">
        <f>IF(AND(Table1938[[#This Row],[EC-01]]=FALSE,Table1938[[#This Row],[EC-02]]=FALSE,Table1938[[#This Row],[EC-03]]=FALSE,Table1938[[#This Row],[EC-04]]=FALSE,Table1938[[#This Row],[EC-05]]=FALSE,Table1938[[#This Row],[EC-06]]=FALSE),TRUE,FALSE)</f>
        <v>1</v>
      </c>
      <c r="V346" s="2" t="b">
        <f>IF(Table1938[[#This Row],[Date]]&lt;&gt;"",AND(YEAR(Table1938[[#This Row],[Date]])&gt;=2010, YEAR(Table1938[[#This Row],[Date]])&lt;=2024),FALSE)</f>
        <v>1</v>
      </c>
      <c r="W346" s="2" t="b">
        <f>IF(Table1938[[#This Row],[Date]]&lt;&gt;"",AND(YEAR(Table1938[[#This Row],[Date]])&gt;=2010, YEAR(Table1938[[#This Row],[Date]])&lt;=2020),FALSE)</f>
        <v>0</v>
      </c>
      <c r="X346" s="2" t="b">
        <f>IF(AND(Table1938[[#This Row],[Accesible]]=TRUE,Table1938[[#This Row],[DOI]]&lt;&gt;""),TRUE,FALSE)</f>
        <v>1</v>
      </c>
      <c r="Y346" s="2" t="b">
        <f>OR(Table1938[[#This Row],[Document Type]]="journalArticle",Table1938[[#This Row],[Document Type]]="conferencePaper",Table1938[[#This Row],[Document Type]]="review")</f>
        <v>1</v>
      </c>
      <c r="Z346" s="2" t="b" cm="1">
        <f t="array" ref="Z346">SUMPRODUCT(--ISNUMBER(SEARCH({"dimensional analysis","dimensionless coefficients","Π","Pi","theorem","software","design","tools","development","architecture","similar"}, LOWER(Table1938[[#This Row],[Title]]))))&gt;0</f>
        <v>0</v>
      </c>
      <c r="AA346" s="2" t="b" cm="1">
        <f t="array" ref="AA346">SUMPRODUCT(--ISNUMBER(SEARCH({"dimensional analysis","dimensionless coefficients","Π","Pi","theorem","software","design","tools","development","architecture","similar"}, LOWER(Table1938[[#This Row],[Abstract]]))))&gt;0</f>
        <v>1</v>
      </c>
      <c r="AB346" s="2" t="b">
        <f>AND(OR(Table1938[[#This Row],[IC-01 @2024]:[IC-01 @2020]])=TRUE,Table1938[[#This Row],[IC-02]]=TRUE,Table1938[[#This Row],[IC-03]]=TRUE,Table1938[[#This Row],[IC-04]]=TRUE,Table1938[[#This Row],[IC-05]]=TRUE)</f>
        <v>0</v>
      </c>
      <c r="AC346" s="2" t="b">
        <f>AND(Table1938[[#This Row],[Pass-IC]]=TRUE,Table1938[[#This Row],[Pass-EC]]=TRUE)</f>
        <v>0</v>
      </c>
      <c r="AD346" s="2" t="b">
        <f>COUNTIF($D$25:D346, Table1938[[#This Row],[Title]]) = 1</f>
        <v>1</v>
      </c>
      <c r="AE346" s="2" t="b">
        <f>AND(Table1938[[#This Row],[IC + EC]:[Unique]])</f>
        <v>0</v>
      </c>
      <c r="AF346" s="2" t="b">
        <v>0</v>
      </c>
      <c r="AG346" s="2" t="b">
        <v>0</v>
      </c>
      <c r="AH346" s="2" t="b">
        <v>0</v>
      </c>
      <c r="AI346" s="2" t="b">
        <f>IF(AND(Table1938[[#This Row],[Double Check]]=TRUE,Table1938[[#This Row],[Inspected]]=TRUE,Table1938[[#This Row],[Relevant]]=TRUE),TRUE,FALSE)</f>
        <v>0</v>
      </c>
    </row>
    <row r="347" spans="1:35" ht="43" x14ac:dyDescent="0.5">
      <c r="A347" s="2">
        <v>346</v>
      </c>
      <c r="B347" s="20" t="s">
        <v>3</v>
      </c>
      <c r="C347" s="20" t="s">
        <v>3426</v>
      </c>
      <c r="D347" s="20" t="s">
        <v>1558</v>
      </c>
      <c r="E347" s="20" t="s">
        <v>3427</v>
      </c>
      <c r="F347" s="2" t="s">
        <v>123</v>
      </c>
      <c r="G347" s="20" t="s">
        <v>983</v>
      </c>
      <c r="H347" s="36">
        <v>44958</v>
      </c>
      <c r="I347" s="20">
        <v>2023</v>
      </c>
      <c r="J347" s="20" t="s">
        <v>61</v>
      </c>
      <c r="K347" s="20" t="s">
        <v>3428</v>
      </c>
      <c r="L347" s="20" t="s">
        <v>2515</v>
      </c>
      <c r="M347" s="20" t="s">
        <v>1559</v>
      </c>
      <c r="N347" s="20" t="b">
        <v>1</v>
      </c>
      <c r="O347" s="2" t="b">
        <f>IF(Table1938[[#This Row],[Title]]="",TRUE,FALSE)</f>
        <v>0</v>
      </c>
      <c r="P347" s="2" t="b">
        <f>IF(Table1938[[#This Row],[Author]]="",TRUE,FALSE)</f>
        <v>0</v>
      </c>
      <c r="Q347" s="2" t="b">
        <f>IF(Table1938[[#This Row],[DOI]]&lt;&gt;"", FALSE,TRUE)</f>
        <v>0</v>
      </c>
      <c r="R347" s="2" t="b">
        <f>IF(Table1938[[#This Row],[Abstract]]="",TRUE,FALSE)</f>
        <v>1</v>
      </c>
      <c r="S347" s="2" t="b">
        <f>IF(OR(Table1938[[#This Row],[Document Type]]="book",Table1938[[#This Row],[Document Type]]="bookSection"),TRUE,FALSE)</f>
        <v>0</v>
      </c>
      <c r="T347" s="2" t="b">
        <f>NOT(IF(OR(Table1938[[#This Row],[Language]]&lt;&gt;"en",Table1938[[#This Row],[Language]]&lt;&gt;"EN",Table1938[[#This Row],[Language]]&lt;&gt;"spa",Table1938[[#This Row],[Language]]&lt;&gt;"SPA"),TRUE,FALSE))</f>
        <v>0</v>
      </c>
      <c r="U347" s="2" t="b">
        <f>IF(AND(Table1938[[#This Row],[EC-01]]=FALSE,Table1938[[#This Row],[EC-02]]=FALSE,Table1938[[#This Row],[EC-03]]=FALSE,Table1938[[#This Row],[EC-04]]=FALSE,Table1938[[#This Row],[EC-05]]=FALSE,Table1938[[#This Row],[EC-06]]=FALSE),TRUE,FALSE)</f>
        <v>0</v>
      </c>
      <c r="V347" s="2" t="b">
        <f>IF(Table1938[[#This Row],[Date]]&lt;&gt;"",AND(YEAR(Table1938[[#This Row],[Date]])&gt;=2010, YEAR(Table1938[[#This Row],[Date]])&lt;=2024),FALSE)</f>
        <v>1</v>
      </c>
      <c r="W347" s="2" t="b">
        <f>IF(Table1938[[#This Row],[Date]]&lt;&gt;"",AND(YEAR(Table1938[[#This Row],[Date]])&gt;=2010, YEAR(Table1938[[#This Row],[Date]])&lt;=2020),FALSE)</f>
        <v>0</v>
      </c>
      <c r="X347" s="2" t="b">
        <f>IF(AND(Table1938[[#This Row],[Accesible]]=TRUE,Table1938[[#This Row],[DOI]]&lt;&gt;""),TRUE,FALSE)</f>
        <v>1</v>
      </c>
      <c r="Y347" s="2" t="b">
        <f>OR(Table1938[[#This Row],[Document Type]]="journalArticle",Table1938[[#This Row],[Document Type]]="conferencePaper",Table1938[[#This Row],[Document Type]]="review")</f>
        <v>1</v>
      </c>
      <c r="Z347" s="2" t="b" cm="1">
        <f t="array" ref="Z347">SUMPRODUCT(--ISNUMBER(SEARCH({"dimensional analysis","dimensionless coefficients","Π","Pi","theorem","software","design","tools","development","architecture","similar"}, LOWER(Table1938[[#This Row],[Title]]))))&gt;0</f>
        <v>0</v>
      </c>
      <c r="AA347" s="2" t="b" cm="1">
        <f t="array" ref="AA347">SUMPRODUCT(--ISNUMBER(SEARCH({"dimensional analysis","dimensionless coefficients","Π","Pi","theorem","software","design","tools","development","architecture","similar"}, LOWER(Table1938[[#This Row],[Abstract]]))))&gt;0</f>
        <v>0</v>
      </c>
      <c r="AB347" s="2" t="b">
        <f>AND(OR(Table1938[[#This Row],[IC-01 @2024]:[IC-01 @2020]])=TRUE,Table1938[[#This Row],[IC-02]]=TRUE,Table1938[[#This Row],[IC-03]]=TRUE,Table1938[[#This Row],[IC-04]]=TRUE,Table1938[[#This Row],[IC-05]]=TRUE)</f>
        <v>0</v>
      </c>
      <c r="AC347" s="2" t="b">
        <f>AND(Table1938[[#This Row],[Pass-IC]]=TRUE,Table1938[[#This Row],[Pass-EC]]=TRUE)</f>
        <v>0</v>
      </c>
      <c r="AD347" s="2" t="b">
        <f>COUNTIF($D$25:D347, Table1938[[#This Row],[Title]]) = 1</f>
        <v>1</v>
      </c>
      <c r="AE347" s="2" t="b">
        <f>AND(Table1938[[#This Row],[IC + EC]:[Unique]])</f>
        <v>0</v>
      </c>
      <c r="AF347" s="2" t="b">
        <v>0</v>
      </c>
      <c r="AG347" s="2" t="b">
        <v>0</v>
      </c>
      <c r="AH347" s="2" t="b">
        <v>0</v>
      </c>
      <c r="AI347" s="2" t="b">
        <f>IF(AND(Table1938[[#This Row],[Double Check]]=TRUE,Table1938[[#This Row],[Inspected]]=TRUE,Table1938[[#This Row],[Relevant]]=TRUE),TRUE,FALSE)</f>
        <v>0</v>
      </c>
    </row>
    <row r="348" spans="1:35" ht="71.7" x14ac:dyDescent="0.5">
      <c r="A348" s="2">
        <v>347</v>
      </c>
      <c r="B348" s="20" t="s">
        <v>3</v>
      </c>
      <c r="C348" s="20" t="s">
        <v>3429</v>
      </c>
      <c r="D348" s="20" t="s">
        <v>1636</v>
      </c>
      <c r="E348" s="20" t="s">
        <v>1635</v>
      </c>
      <c r="F348" s="2" t="s">
        <v>1638</v>
      </c>
      <c r="G348" s="20" t="s">
        <v>917</v>
      </c>
      <c r="H348" s="36">
        <v>44175</v>
      </c>
      <c r="I348" s="20">
        <v>2020</v>
      </c>
      <c r="J348" s="20" t="s">
        <v>61</v>
      </c>
      <c r="K348" s="20" t="s">
        <v>3430</v>
      </c>
      <c r="L348" s="20" t="s">
        <v>2515</v>
      </c>
      <c r="M348" s="20" t="s">
        <v>1637</v>
      </c>
      <c r="N348" s="20" t="b">
        <v>1</v>
      </c>
      <c r="O348" s="2" t="b">
        <f>IF(Table1938[[#This Row],[Title]]="",TRUE,FALSE)</f>
        <v>0</v>
      </c>
      <c r="P348" s="2" t="b">
        <f>IF(Table1938[[#This Row],[Author]]="",TRUE,FALSE)</f>
        <v>0</v>
      </c>
      <c r="Q348" s="2" t="b">
        <f>IF(Table1938[[#This Row],[DOI]]&lt;&gt;"", FALSE,TRUE)</f>
        <v>0</v>
      </c>
      <c r="R348" s="2" t="b">
        <f>IF(Table1938[[#This Row],[Abstract]]="",TRUE,FALSE)</f>
        <v>0</v>
      </c>
      <c r="S348" s="2" t="b">
        <f>IF(OR(Table1938[[#This Row],[Document Type]]="book",Table1938[[#This Row],[Document Type]]="bookSection"),TRUE,FALSE)</f>
        <v>0</v>
      </c>
      <c r="T348" s="2" t="b">
        <f>NOT(IF(OR(Table1938[[#This Row],[Language]]&lt;&gt;"en",Table1938[[#This Row],[Language]]&lt;&gt;"EN",Table1938[[#This Row],[Language]]&lt;&gt;"spa",Table1938[[#This Row],[Language]]&lt;&gt;"SPA"),TRUE,FALSE))</f>
        <v>0</v>
      </c>
      <c r="U348" s="2" t="b">
        <f>IF(AND(Table1938[[#This Row],[EC-01]]=FALSE,Table1938[[#This Row],[EC-02]]=FALSE,Table1938[[#This Row],[EC-03]]=FALSE,Table1938[[#This Row],[EC-04]]=FALSE,Table1938[[#This Row],[EC-05]]=FALSE,Table1938[[#This Row],[EC-06]]=FALSE),TRUE,FALSE)</f>
        <v>1</v>
      </c>
      <c r="V348" s="2" t="b">
        <f>IF(Table1938[[#This Row],[Date]]&lt;&gt;"",AND(YEAR(Table1938[[#This Row],[Date]])&gt;=2010, YEAR(Table1938[[#This Row],[Date]])&lt;=2024),FALSE)</f>
        <v>1</v>
      </c>
      <c r="W348" s="2" t="b">
        <f>IF(Table1938[[#This Row],[Date]]&lt;&gt;"",AND(YEAR(Table1938[[#This Row],[Date]])&gt;=2010, YEAR(Table1938[[#This Row],[Date]])&lt;=2020),FALSE)</f>
        <v>1</v>
      </c>
      <c r="X348" s="2" t="b">
        <f>IF(AND(Table1938[[#This Row],[Accesible]]=TRUE,Table1938[[#This Row],[DOI]]&lt;&gt;""),TRUE,FALSE)</f>
        <v>1</v>
      </c>
      <c r="Y348" s="2" t="b">
        <f>OR(Table1938[[#This Row],[Document Type]]="journalArticle",Table1938[[#This Row],[Document Type]]="conferencePaper",Table1938[[#This Row],[Document Type]]="review")</f>
        <v>1</v>
      </c>
      <c r="Z348" s="2" t="b" cm="1">
        <f t="array" ref="Z348">SUMPRODUCT(--ISNUMBER(SEARCH({"dimensional analysis","dimensionless coefficients","Π","Pi","theorem","software","design","tools","development","architecture","similar"}, LOWER(Table1938[[#This Row],[Title]]))))&gt;0</f>
        <v>0</v>
      </c>
      <c r="AA348" s="2" t="b" cm="1">
        <f t="array" ref="AA348">SUMPRODUCT(--ISNUMBER(SEARCH({"dimensional analysis","dimensionless coefficients","Π","Pi","theorem","software","design","tools","development","architecture","similar"}, LOWER(Table1938[[#This Row],[Abstract]]))))&gt;0</f>
        <v>1</v>
      </c>
      <c r="AB348" s="2" t="b">
        <f>AND(OR(Table1938[[#This Row],[IC-01 @2024]:[IC-01 @2020]])=TRUE,Table1938[[#This Row],[IC-02]]=TRUE,Table1938[[#This Row],[IC-03]]=TRUE,Table1938[[#This Row],[IC-04]]=TRUE,Table1938[[#This Row],[IC-05]]=TRUE)</f>
        <v>0</v>
      </c>
      <c r="AC348" s="2" t="b">
        <f>AND(Table1938[[#This Row],[Pass-IC]]=TRUE,Table1938[[#This Row],[Pass-EC]]=TRUE)</f>
        <v>0</v>
      </c>
      <c r="AD348" s="2" t="b">
        <f>COUNTIF($D$25:D348, Table1938[[#This Row],[Title]]) = 1</f>
        <v>1</v>
      </c>
      <c r="AE348" s="2" t="b">
        <f>AND(Table1938[[#This Row],[IC + EC]:[Unique]])</f>
        <v>0</v>
      </c>
      <c r="AF348" s="2" t="b">
        <v>0</v>
      </c>
      <c r="AG348" s="2" t="b">
        <v>0</v>
      </c>
      <c r="AH348" s="2" t="b">
        <v>0</v>
      </c>
      <c r="AI348" s="2" t="b">
        <f>IF(AND(Table1938[[#This Row],[Double Check]]=TRUE,Table1938[[#This Row],[Inspected]]=TRUE,Table1938[[#This Row],[Relevant]]=TRUE),TRUE,FALSE)</f>
        <v>0</v>
      </c>
    </row>
    <row r="349" spans="1:35" ht="71.7" x14ac:dyDescent="0.5">
      <c r="A349" s="2">
        <v>348</v>
      </c>
      <c r="B349" s="20" t="s">
        <v>3</v>
      </c>
      <c r="C349" s="20" t="s">
        <v>3431</v>
      </c>
      <c r="D349" s="20" t="s">
        <v>1000</v>
      </c>
      <c r="E349" s="20" t="s">
        <v>1001</v>
      </c>
      <c r="F349" s="2" t="s">
        <v>998</v>
      </c>
      <c r="G349" s="20" t="s">
        <v>997</v>
      </c>
      <c r="H349" s="36">
        <v>44941</v>
      </c>
      <c r="I349" s="20">
        <v>2023</v>
      </c>
      <c r="J349" s="20" t="s">
        <v>61</v>
      </c>
      <c r="K349" s="20" t="s">
        <v>3432</v>
      </c>
      <c r="L349" s="20" t="s">
        <v>2515</v>
      </c>
      <c r="M349" s="20" t="s">
        <v>999</v>
      </c>
      <c r="N349" s="20" t="b">
        <v>1</v>
      </c>
      <c r="O349" s="2" t="b">
        <f>IF(Table1938[[#This Row],[Title]]="",TRUE,FALSE)</f>
        <v>0</v>
      </c>
      <c r="P349" s="2" t="b">
        <f>IF(Table1938[[#This Row],[Author]]="",TRUE,FALSE)</f>
        <v>0</v>
      </c>
      <c r="Q349" s="2" t="b">
        <f>IF(Table1938[[#This Row],[DOI]]&lt;&gt;"", FALSE,TRUE)</f>
        <v>0</v>
      </c>
      <c r="R349" s="2" t="b">
        <f>IF(Table1938[[#This Row],[Abstract]]="",TRUE,FALSE)</f>
        <v>0</v>
      </c>
      <c r="S349" s="2" t="b">
        <f>IF(OR(Table1938[[#This Row],[Document Type]]="book",Table1938[[#This Row],[Document Type]]="bookSection"),TRUE,FALSE)</f>
        <v>0</v>
      </c>
      <c r="T349" s="2" t="b">
        <f>NOT(IF(OR(Table1938[[#This Row],[Language]]&lt;&gt;"en",Table1938[[#This Row],[Language]]&lt;&gt;"EN",Table1938[[#This Row],[Language]]&lt;&gt;"spa",Table1938[[#This Row],[Language]]&lt;&gt;"SPA"),TRUE,FALSE))</f>
        <v>0</v>
      </c>
      <c r="U349" s="2" t="b">
        <f>IF(AND(Table1938[[#This Row],[EC-01]]=FALSE,Table1938[[#This Row],[EC-02]]=FALSE,Table1938[[#This Row],[EC-03]]=FALSE,Table1938[[#This Row],[EC-04]]=FALSE,Table1938[[#This Row],[EC-05]]=FALSE,Table1938[[#This Row],[EC-06]]=FALSE),TRUE,FALSE)</f>
        <v>1</v>
      </c>
      <c r="V349" s="2" t="b">
        <f>IF(Table1938[[#This Row],[Date]]&lt;&gt;"",AND(YEAR(Table1938[[#This Row],[Date]])&gt;=2010, YEAR(Table1938[[#This Row],[Date]])&lt;=2024),FALSE)</f>
        <v>1</v>
      </c>
      <c r="W349" s="2" t="b">
        <f>IF(Table1938[[#This Row],[Date]]&lt;&gt;"",AND(YEAR(Table1938[[#This Row],[Date]])&gt;=2010, YEAR(Table1938[[#This Row],[Date]])&lt;=2020),FALSE)</f>
        <v>0</v>
      </c>
      <c r="X349" s="2" t="b">
        <f>IF(AND(Table1938[[#This Row],[Accesible]]=TRUE,Table1938[[#This Row],[DOI]]&lt;&gt;""),TRUE,FALSE)</f>
        <v>1</v>
      </c>
      <c r="Y349" s="2" t="b">
        <f>OR(Table1938[[#This Row],[Document Type]]="journalArticle",Table1938[[#This Row],[Document Type]]="conferencePaper",Table1938[[#This Row],[Document Type]]="review")</f>
        <v>1</v>
      </c>
      <c r="Z349" s="2" t="b" cm="1">
        <f t="array" ref="Z349">SUMPRODUCT(--ISNUMBER(SEARCH({"dimensional analysis","dimensionless coefficients","Π","Pi","theorem","software","design","tools","development","architecture","similar"}, LOWER(Table1938[[#This Row],[Title]]))))&gt;0</f>
        <v>0</v>
      </c>
      <c r="AA349" s="2" t="b" cm="1">
        <f t="array" ref="AA349">SUMPRODUCT(--ISNUMBER(SEARCH({"dimensional analysis","dimensionless coefficients","Π","Pi","theorem","software","design","tools","development","architecture","similar"}, LOWER(Table1938[[#This Row],[Abstract]]))))&gt;0</f>
        <v>1</v>
      </c>
      <c r="AB349" s="2" t="b">
        <f>AND(OR(Table1938[[#This Row],[IC-01 @2024]:[IC-01 @2020]])=TRUE,Table1938[[#This Row],[IC-02]]=TRUE,Table1938[[#This Row],[IC-03]]=TRUE,Table1938[[#This Row],[IC-04]]=TRUE,Table1938[[#This Row],[IC-05]]=TRUE)</f>
        <v>0</v>
      </c>
      <c r="AC349" s="2" t="b">
        <f>AND(Table1938[[#This Row],[Pass-IC]]=TRUE,Table1938[[#This Row],[Pass-EC]]=TRUE)</f>
        <v>0</v>
      </c>
      <c r="AD349" s="2" t="b">
        <f>COUNTIF($D$25:D349, Table1938[[#This Row],[Title]]) = 1</f>
        <v>1</v>
      </c>
      <c r="AE349" s="2" t="b">
        <f>AND(Table1938[[#This Row],[IC + EC]:[Unique]])</f>
        <v>0</v>
      </c>
      <c r="AF349" s="2" t="b">
        <v>0</v>
      </c>
      <c r="AG349" s="2" t="b">
        <v>0</v>
      </c>
      <c r="AH349" s="2" t="b">
        <v>0</v>
      </c>
      <c r="AI349" s="2" t="b">
        <f>IF(AND(Table1938[[#This Row],[Double Check]]=TRUE,Table1938[[#This Row],[Inspected]]=TRUE,Table1938[[#This Row],[Relevant]]=TRUE),TRUE,FALSE)</f>
        <v>0</v>
      </c>
    </row>
    <row r="350" spans="1:35" ht="86" x14ac:dyDescent="0.5">
      <c r="A350" s="2">
        <v>349</v>
      </c>
      <c r="B350" s="20" t="s">
        <v>3</v>
      </c>
      <c r="C350" s="20" t="s">
        <v>3433</v>
      </c>
      <c r="D350" s="20" t="s">
        <v>2226</v>
      </c>
      <c r="E350" s="20" t="s">
        <v>2225</v>
      </c>
      <c r="F350" s="2" t="s">
        <v>2229</v>
      </c>
      <c r="G350" s="20" t="s">
        <v>2227</v>
      </c>
      <c r="H350" s="36">
        <v>43313</v>
      </c>
      <c r="I350" s="20">
        <v>2018</v>
      </c>
      <c r="J350" s="20" t="s">
        <v>61</v>
      </c>
      <c r="K350" s="20" t="s">
        <v>3434</v>
      </c>
      <c r="L350" s="20" t="s">
        <v>2515</v>
      </c>
      <c r="M350" s="20" t="s">
        <v>2228</v>
      </c>
      <c r="N350" s="20" t="b">
        <v>1</v>
      </c>
      <c r="O350" s="2" t="b">
        <f>IF(Table1938[[#This Row],[Title]]="",TRUE,FALSE)</f>
        <v>0</v>
      </c>
      <c r="P350" s="2" t="b">
        <f>IF(Table1938[[#This Row],[Author]]="",TRUE,FALSE)</f>
        <v>0</v>
      </c>
      <c r="Q350" s="2" t="b">
        <f>IF(Table1938[[#This Row],[DOI]]&lt;&gt;"", FALSE,TRUE)</f>
        <v>0</v>
      </c>
      <c r="R350" s="2" t="b">
        <f>IF(Table1938[[#This Row],[Abstract]]="",TRUE,FALSE)</f>
        <v>0</v>
      </c>
      <c r="S350" s="2" t="b">
        <f>IF(OR(Table1938[[#This Row],[Document Type]]="book",Table1938[[#This Row],[Document Type]]="bookSection"),TRUE,FALSE)</f>
        <v>0</v>
      </c>
      <c r="T350" s="2" t="b">
        <f>NOT(IF(OR(Table1938[[#This Row],[Language]]&lt;&gt;"en",Table1938[[#This Row],[Language]]&lt;&gt;"EN",Table1938[[#This Row],[Language]]&lt;&gt;"spa",Table1938[[#This Row],[Language]]&lt;&gt;"SPA"),TRUE,FALSE))</f>
        <v>0</v>
      </c>
      <c r="U350" s="2" t="b">
        <f>IF(AND(Table1938[[#This Row],[EC-01]]=FALSE,Table1938[[#This Row],[EC-02]]=FALSE,Table1938[[#This Row],[EC-03]]=FALSE,Table1938[[#This Row],[EC-04]]=FALSE,Table1938[[#This Row],[EC-05]]=FALSE,Table1938[[#This Row],[EC-06]]=FALSE),TRUE,FALSE)</f>
        <v>1</v>
      </c>
      <c r="V350" s="2" t="b">
        <f>IF(Table1938[[#This Row],[Date]]&lt;&gt;"",AND(YEAR(Table1938[[#This Row],[Date]])&gt;=2010, YEAR(Table1938[[#This Row],[Date]])&lt;=2024),FALSE)</f>
        <v>1</v>
      </c>
      <c r="W350" s="2" t="b">
        <f>IF(Table1938[[#This Row],[Date]]&lt;&gt;"",AND(YEAR(Table1938[[#This Row],[Date]])&gt;=2010, YEAR(Table1938[[#This Row],[Date]])&lt;=2020),FALSE)</f>
        <v>1</v>
      </c>
      <c r="X350" s="2" t="b">
        <f>IF(AND(Table1938[[#This Row],[Accesible]]=TRUE,Table1938[[#This Row],[DOI]]&lt;&gt;""),TRUE,FALSE)</f>
        <v>1</v>
      </c>
      <c r="Y350" s="2" t="b">
        <f>OR(Table1938[[#This Row],[Document Type]]="journalArticle",Table1938[[#This Row],[Document Type]]="conferencePaper",Table1938[[#This Row],[Document Type]]="review")</f>
        <v>1</v>
      </c>
      <c r="Z350" s="2" t="b" cm="1">
        <f t="array" ref="Z350">SUMPRODUCT(--ISNUMBER(SEARCH({"dimensional analysis","dimensionless coefficients","Π","Pi","theorem","software","design","tools","development","architecture","similar"}, LOWER(Table1938[[#This Row],[Title]]))))&gt;0</f>
        <v>0</v>
      </c>
      <c r="AA350" s="2" t="b" cm="1">
        <f t="array" ref="AA350">SUMPRODUCT(--ISNUMBER(SEARCH({"dimensional analysis","dimensionless coefficients","Π","Pi","theorem","software","design","tools","development","architecture","similar"}, LOWER(Table1938[[#This Row],[Abstract]]))))&gt;0</f>
        <v>0</v>
      </c>
      <c r="AB350" s="2" t="b">
        <f>AND(OR(Table1938[[#This Row],[IC-01 @2024]:[IC-01 @2020]])=TRUE,Table1938[[#This Row],[IC-02]]=TRUE,Table1938[[#This Row],[IC-03]]=TRUE,Table1938[[#This Row],[IC-04]]=TRUE,Table1938[[#This Row],[IC-05]]=TRUE)</f>
        <v>0</v>
      </c>
      <c r="AC350" s="2" t="b">
        <f>AND(Table1938[[#This Row],[Pass-IC]]=TRUE,Table1938[[#This Row],[Pass-EC]]=TRUE)</f>
        <v>0</v>
      </c>
      <c r="AD350" s="2" t="b">
        <f>COUNTIF($D$25:D350, Table1938[[#This Row],[Title]]) = 1</f>
        <v>1</v>
      </c>
      <c r="AE350" s="2" t="b">
        <f>AND(Table1938[[#This Row],[IC + EC]:[Unique]])</f>
        <v>0</v>
      </c>
      <c r="AF350" s="2" t="b">
        <v>0</v>
      </c>
      <c r="AG350" s="2" t="b">
        <v>0</v>
      </c>
      <c r="AH350" s="2" t="b">
        <v>0</v>
      </c>
      <c r="AI350" s="2" t="b">
        <f>IF(AND(Table1938[[#This Row],[Double Check]]=TRUE,Table1938[[#This Row],[Inspected]]=TRUE,Table1938[[#This Row],[Relevant]]=TRUE),TRUE,FALSE)</f>
        <v>0</v>
      </c>
    </row>
    <row r="351" spans="1:35" ht="43" x14ac:dyDescent="0.5">
      <c r="A351" s="2">
        <v>350</v>
      </c>
      <c r="B351" s="20" t="s">
        <v>3</v>
      </c>
      <c r="C351" s="20" t="s">
        <v>3435</v>
      </c>
      <c r="D351" s="20" t="s">
        <v>2343</v>
      </c>
      <c r="E351" s="20" t="s">
        <v>2342</v>
      </c>
      <c r="F351" s="2" t="s">
        <v>2345</v>
      </c>
      <c r="G351" s="20" t="s">
        <v>951</v>
      </c>
      <c r="H351" s="36">
        <v>43952</v>
      </c>
      <c r="I351" s="20">
        <v>2020</v>
      </c>
      <c r="J351" s="20" t="s">
        <v>61</v>
      </c>
      <c r="K351" s="20" t="s">
        <v>3436</v>
      </c>
      <c r="L351" s="20" t="s">
        <v>2515</v>
      </c>
      <c r="M351" s="20" t="s">
        <v>2344</v>
      </c>
      <c r="N351" s="20" t="b">
        <v>1</v>
      </c>
      <c r="O351" s="2" t="b">
        <f>IF(Table1938[[#This Row],[Title]]="",TRUE,FALSE)</f>
        <v>0</v>
      </c>
      <c r="P351" s="2" t="b">
        <f>IF(Table1938[[#This Row],[Author]]="",TRUE,FALSE)</f>
        <v>0</v>
      </c>
      <c r="Q351" s="2" t="b">
        <f>IF(Table1938[[#This Row],[DOI]]&lt;&gt;"", FALSE,TRUE)</f>
        <v>0</v>
      </c>
      <c r="R351" s="2" t="b">
        <f>IF(Table1938[[#This Row],[Abstract]]="",TRUE,FALSE)</f>
        <v>0</v>
      </c>
      <c r="S351" s="2" t="b">
        <f>IF(OR(Table1938[[#This Row],[Document Type]]="book",Table1938[[#This Row],[Document Type]]="bookSection"),TRUE,FALSE)</f>
        <v>0</v>
      </c>
      <c r="T351" s="2" t="b">
        <f>NOT(IF(OR(Table1938[[#This Row],[Language]]&lt;&gt;"en",Table1938[[#This Row],[Language]]&lt;&gt;"EN",Table1938[[#This Row],[Language]]&lt;&gt;"spa",Table1938[[#This Row],[Language]]&lt;&gt;"SPA"),TRUE,FALSE))</f>
        <v>0</v>
      </c>
      <c r="U351" s="2" t="b">
        <f>IF(AND(Table1938[[#This Row],[EC-01]]=FALSE,Table1938[[#This Row],[EC-02]]=FALSE,Table1938[[#This Row],[EC-03]]=FALSE,Table1938[[#This Row],[EC-04]]=FALSE,Table1938[[#This Row],[EC-05]]=FALSE,Table1938[[#This Row],[EC-06]]=FALSE),TRUE,FALSE)</f>
        <v>1</v>
      </c>
      <c r="V351" s="2" t="b">
        <f>IF(Table1938[[#This Row],[Date]]&lt;&gt;"",AND(YEAR(Table1938[[#This Row],[Date]])&gt;=2010, YEAR(Table1938[[#This Row],[Date]])&lt;=2024),FALSE)</f>
        <v>1</v>
      </c>
      <c r="W351" s="2" t="b">
        <f>IF(Table1938[[#This Row],[Date]]&lt;&gt;"",AND(YEAR(Table1938[[#This Row],[Date]])&gt;=2010, YEAR(Table1938[[#This Row],[Date]])&lt;=2020),FALSE)</f>
        <v>1</v>
      </c>
      <c r="X351" s="2" t="b">
        <f>IF(AND(Table1938[[#This Row],[Accesible]]=TRUE,Table1938[[#This Row],[DOI]]&lt;&gt;""),TRUE,FALSE)</f>
        <v>1</v>
      </c>
      <c r="Y351" s="2" t="b">
        <f>OR(Table1938[[#This Row],[Document Type]]="journalArticle",Table1938[[#This Row],[Document Type]]="conferencePaper",Table1938[[#This Row],[Document Type]]="review")</f>
        <v>1</v>
      </c>
      <c r="Z351" s="2" t="b" cm="1">
        <f t="array" ref="Z351">SUMPRODUCT(--ISNUMBER(SEARCH({"dimensional analysis","dimensionless coefficients","Π","Pi","theorem","software","design","tools","development","architecture","similar"}, LOWER(Table1938[[#This Row],[Title]]))))&gt;0</f>
        <v>0</v>
      </c>
      <c r="AA351" s="2" t="b" cm="1">
        <f t="array" ref="AA351">SUMPRODUCT(--ISNUMBER(SEARCH({"dimensional analysis","dimensionless coefficients","Π","Pi","theorem","software","design","tools","development","architecture","similar"}, LOWER(Table1938[[#This Row],[Abstract]]))))&gt;0</f>
        <v>1</v>
      </c>
      <c r="AB351" s="2" t="b">
        <f>AND(OR(Table1938[[#This Row],[IC-01 @2024]:[IC-01 @2020]])=TRUE,Table1938[[#This Row],[IC-02]]=TRUE,Table1938[[#This Row],[IC-03]]=TRUE,Table1938[[#This Row],[IC-04]]=TRUE,Table1938[[#This Row],[IC-05]]=TRUE)</f>
        <v>0</v>
      </c>
      <c r="AC351" s="2" t="b">
        <f>AND(Table1938[[#This Row],[Pass-IC]]=TRUE,Table1938[[#This Row],[Pass-EC]]=TRUE)</f>
        <v>0</v>
      </c>
      <c r="AD351" s="2" t="b">
        <f>COUNTIF($D$25:D351, Table1938[[#This Row],[Title]]) = 1</f>
        <v>1</v>
      </c>
      <c r="AE351" s="2" t="b">
        <f>AND(Table1938[[#This Row],[IC + EC]:[Unique]])</f>
        <v>0</v>
      </c>
      <c r="AF351" s="2" t="b">
        <v>0</v>
      </c>
      <c r="AG351" s="2" t="b">
        <v>0</v>
      </c>
      <c r="AH351" s="2" t="b">
        <v>0</v>
      </c>
      <c r="AI351" s="2" t="b">
        <f>IF(AND(Table1938[[#This Row],[Double Check]]=TRUE,Table1938[[#This Row],[Inspected]]=TRUE,Table1938[[#This Row],[Relevant]]=TRUE),TRUE,FALSE)</f>
        <v>0</v>
      </c>
    </row>
    <row r="352" spans="1:35" ht="43" x14ac:dyDescent="0.5">
      <c r="A352" s="2">
        <v>351</v>
      </c>
      <c r="B352" s="20" t="s">
        <v>3</v>
      </c>
      <c r="C352" s="20" t="s">
        <v>3437</v>
      </c>
      <c r="D352" s="20" t="s">
        <v>1970</v>
      </c>
      <c r="E352" s="20" t="s">
        <v>1969</v>
      </c>
      <c r="F352" s="2" t="s">
        <v>1972</v>
      </c>
      <c r="G352" s="20" t="s">
        <v>945</v>
      </c>
      <c r="H352" s="36">
        <v>45017</v>
      </c>
      <c r="I352" s="20">
        <v>2023</v>
      </c>
      <c r="J352" s="20" t="s">
        <v>61</v>
      </c>
      <c r="K352" s="20" t="s">
        <v>3438</v>
      </c>
      <c r="L352" s="20" t="s">
        <v>2515</v>
      </c>
      <c r="M352" s="20" t="s">
        <v>1971</v>
      </c>
      <c r="N352" s="20" t="b">
        <v>1</v>
      </c>
      <c r="O352" s="2" t="b">
        <f>IF(Table1938[[#This Row],[Title]]="",TRUE,FALSE)</f>
        <v>0</v>
      </c>
      <c r="P352" s="2" t="b">
        <f>IF(Table1938[[#This Row],[Author]]="",TRUE,FALSE)</f>
        <v>0</v>
      </c>
      <c r="Q352" s="2" t="b">
        <f>IF(Table1938[[#This Row],[DOI]]&lt;&gt;"", FALSE,TRUE)</f>
        <v>0</v>
      </c>
      <c r="R352" s="2" t="b">
        <f>IF(Table1938[[#This Row],[Abstract]]="",TRUE,FALSE)</f>
        <v>0</v>
      </c>
      <c r="S352" s="2" t="b">
        <f>IF(OR(Table1938[[#This Row],[Document Type]]="book",Table1938[[#This Row],[Document Type]]="bookSection"),TRUE,FALSE)</f>
        <v>0</v>
      </c>
      <c r="T352" s="2" t="b">
        <f>NOT(IF(OR(Table1938[[#This Row],[Language]]&lt;&gt;"en",Table1938[[#This Row],[Language]]&lt;&gt;"EN",Table1938[[#This Row],[Language]]&lt;&gt;"spa",Table1938[[#This Row],[Language]]&lt;&gt;"SPA"),TRUE,FALSE))</f>
        <v>0</v>
      </c>
      <c r="U352" s="2" t="b">
        <f>IF(AND(Table1938[[#This Row],[EC-01]]=FALSE,Table1938[[#This Row],[EC-02]]=FALSE,Table1938[[#This Row],[EC-03]]=FALSE,Table1938[[#This Row],[EC-04]]=FALSE,Table1938[[#This Row],[EC-05]]=FALSE,Table1938[[#This Row],[EC-06]]=FALSE),TRUE,FALSE)</f>
        <v>1</v>
      </c>
      <c r="V352" s="2" t="b">
        <f>IF(Table1938[[#This Row],[Date]]&lt;&gt;"",AND(YEAR(Table1938[[#This Row],[Date]])&gt;=2010, YEAR(Table1938[[#This Row],[Date]])&lt;=2024),FALSE)</f>
        <v>1</v>
      </c>
      <c r="W352" s="2" t="b">
        <f>IF(Table1938[[#This Row],[Date]]&lt;&gt;"",AND(YEAR(Table1938[[#This Row],[Date]])&gt;=2010, YEAR(Table1938[[#This Row],[Date]])&lt;=2020),FALSE)</f>
        <v>0</v>
      </c>
      <c r="X352" s="2" t="b">
        <f>IF(AND(Table1938[[#This Row],[Accesible]]=TRUE,Table1938[[#This Row],[DOI]]&lt;&gt;""),TRUE,FALSE)</f>
        <v>1</v>
      </c>
      <c r="Y352" s="2" t="b">
        <f>OR(Table1938[[#This Row],[Document Type]]="journalArticle",Table1938[[#This Row],[Document Type]]="conferencePaper",Table1938[[#This Row],[Document Type]]="review")</f>
        <v>1</v>
      </c>
      <c r="Z352" s="2" t="b" cm="1">
        <f t="array" ref="Z352">SUMPRODUCT(--ISNUMBER(SEARCH({"dimensional analysis","dimensionless coefficients","Π","Pi","theorem","software","design","tools","development","architecture","similar"}, LOWER(Table1938[[#This Row],[Title]]))))&gt;0</f>
        <v>0</v>
      </c>
      <c r="AA352" s="2" t="b" cm="1">
        <f t="array" ref="AA352">SUMPRODUCT(--ISNUMBER(SEARCH({"dimensional analysis","dimensionless coefficients","Π","Pi","theorem","software","design","tools","development","architecture","similar"}, LOWER(Table1938[[#This Row],[Abstract]]))))&gt;0</f>
        <v>0</v>
      </c>
      <c r="AB352" s="2" t="b">
        <f>AND(OR(Table1938[[#This Row],[IC-01 @2024]:[IC-01 @2020]])=TRUE,Table1938[[#This Row],[IC-02]]=TRUE,Table1938[[#This Row],[IC-03]]=TRUE,Table1938[[#This Row],[IC-04]]=TRUE,Table1938[[#This Row],[IC-05]]=TRUE)</f>
        <v>0</v>
      </c>
      <c r="AC352" s="2" t="b">
        <f>AND(Table1938[[#This Row],[Pass-IC]]=TRUE,Table1938[[#This Row],[Pass-EC]]=TRUE)</f>
        <v>0</v>
      </c>
      <c r="AD352" s="2" t="b">
        <f>COUNTIF($D$25:D352, Table1938[[#This Row],[Title]]) = 1</f>
        <v>1</v>
      </c>
      <c r="AE352" s="2" t="b">
        <f>AND(Table1938[[#This Row],[IC + EC]:[Unique]])</f>
        <v>0</v>
      </c>
      <c r="AF352" s="2" t="b">
        <v>0</v>
      </c>
      <c r="AG352" s="2" t="b">
        <v>0</v>
      </c>
      <c r="AH352" s="2" t="b">
        <v>0</v>
      </c>
      <c r="AI352" s="2" t="b">
        <f>IF(AND(Table1938[[#This Row],[Double Check]]=TRUE,Table1938[[#This Row],[Inspected]]=TRUE,Table1938[[#This Row],[Relevant]]=TRUE),TRUE,FALSE)</f>
        <v>0</v>
      </c>
    </row>
    <row r="353" spans="1:35" ht="57.35" x14ac:dyDescent="0.5">
      <c r="A353" s="2">
        <v>352</v>
      </c>
      <c r="B353" s="20" t="s">
        <v>3</v>
      </c>
      <c r="C353" s="20" t="s">
        <v>3439</v>
      </c>
      <c r="D353" s="20" t="s">
        <v>1108</v>
      </c>
      <c r="E353" s="20" t="s">
        <v>1107</v>
      </c>
      <c r="F353" s="2" t="s">
        <v>1110</v>
      </c>
      <c r="G353" s="20" t="s">
        <v>922</v>
      </c>
      <c r="H353" s="36">
        <v>42004</v>
      </c>
      <c r="I353" s="20">
        <v>2014</v>
      </c>
      <c r="J353" s="20" t="s">
        <v>61</v>
      </c>
      <c r="K353" s="20" t="s">
        <v>3440</v>
      </c>
      <c r="L353" s="20" t="s">
        <v>2515</v>
      </c>
      <c r="M353" s="20" t="s">
        <v>1109</v>
      </c>
      <c r="N353" s="20" t="b">
        <v>1</v>
      </c>
      <c r="O353" s="2" t="b">
        <f>IF(Table1938[[#This Row],[Title]]="",TRUE,FALSE)</f>
        <v>0</v>
      </c>
      <c r="P353" s="2" t="b">
        <f>IF(Table1938[[#This Row],[Author]]="",TRUE,FALSE)</f>
        <v>0</v>
      </c>
      <c r="Q353" s="2" t="b">
        <f>IF(Table1938[[#This Row],[DOI]]&lt;&gt;"", FALSE,TRUE)</f>
        <v>0</v>
      </c>
      <c r="R353" s="2" t="b">
        <f>IF(Table1938[[#This Row],[Abstract]]="",TRUE,FALSE)</f>
        <v>0</v>
      </c>
      <c r="S353" s="2" t="b">
        <f>IF(OR(Table1938[[#This Row],[Document Type]]="book",Table1938[[#This Row],[Document Type]]="bookSection"),TRUE,FALSE)</f>
        <v>0</v>
      </c>
      <c r="T353" s="2" t="b">
        <f>NOT(IF(OR(Table1938[[#This Row],[Language]]&lt;&gt;"en",Table1938[[#This Row],[Language]]&lt;&gt;"EN",Table1938[[#This Row],[Language]]&lt;&gt;"spa",Table1938[[#This Row],[Language]]&lt;&gt;"SPA"),TRUE,FALSE))</f>
        <v>0</v>
      </c>
      <c r="U353" s="2" t="b">
        <f>IF(AND(Table1938[[#This Row],[EC-01]]=FALSE,Table1938[[#This Row],[EC-02]]=FALSE,Table1938[[#This Row],[EC-03]]=FALSE,Table1938[[#This Row],[EC-04]]=FALSE,Table1938[[#This Row],[EC-05]]=FALSE,Table1938[[#This Row],[EC-06]]=FALSE),TRUE,FALSE)</f>
        <v>1</v>
      </c>
      <c r="V353" s="2" t="b">
        <f>IF(Table1938[[#This Row],[Date]]&lt;&gt;"",AND(YEAR(Table1938[[#This Row],[Date]])&gt;=2010, YEAR(Table1938[[#This Row],[Date]])&lt;=2024),FALSE)</f>
        <v>1</v>
      </c>
      <c r="W353" s="2" t="b">
        <f>IF(Table1938[[#This Row],[Date]]&lt;&gt;"",AND(YEAR(Table1938[[#This Row],[Date]])&gt;=2010, YEAR(Table1938[[#This Row],[Date]])&lt;=2020),FALSE)</f>
        <v>1</v>
      </c>
      <c r="X353" s="2" t="b">
        <f>IF(AND(Table1938[[#This Row],[Accesible]]=TRUE,Table1938[[#This Row],[DOI]]&lt;&gt;""),TRUE,FALSE)</f>
        <v>1</v>
      </c>
      <c r="Y353" s="2" t="b">
        <f>OR(Table1938[[#This Row],[Document Type]]="journalArticle",Table1938[[#This Row],[Document Type]]="conferencePaper",Table1938[[#This Row],[Document Type]]="review")</f>
        <v>1</v>
      </c>
      <c r="Z353" s="2" t="b" cm="1">
        <f t="array" ref="Z353">SUMPRODUCT(--ISNUMBER(SEARCH({"dimensional analysis","dimensionless coefficients","Π","Pi","theorem","software","design","tools","development","architecture","similar"}, LOWER(Table1938[[#This Row],[Title]]))))&gt;0</f>
        <v>0</v>
      </c>
      <c r="AA353" s="2" t="b" cm="1">
        <f t="array" ref="AA353">SUMPRODUCT(--ISNUMBER(SEARCH({"dimensional analysis","dimensionless coefficients","Π","Pi","theorem","software","design","tools","development","architecture","similar"}, LOWER(Table1938[[#This Row],[Abstract]]))))&gt;0</f>
        <v>1</v>
      </c>
      <c r="AB353" s="2" t="b">
        <f>AND(OR(Table1938[[#This Row],[IC-01 @2024]:[IC-01 @2020]])=TRUE,Table1938[[#This Row],[IC-02]]=TRUE,Table1938[[#This Row],[IC-03]]=TRUE,Table1938[[#This Row],[IC-04]]=TRUE,Table1938[[#This Row],[IC-05]]=TRUE)</f>
        <v>0</v>
      </c>
      <c r="AC353" s="2" t="b">
        <f>AND(Table1938[[#This Row],[Pass-IC]]=TRUE,Table1938[[#This Row],[Pass-EC]]=TRUE)</f>
        <v>0</v>
      </c>
      <c r="AD353" s="2" t="b">
        <f>COUNTIF($D$25:D353, Table1938[[#This Row],[Title]]) = 1</f>
        <v>1</v>
      </c>
      <c r="AE353" s="2" t="b">
        <f>AND(Table1938[[#This Row],[IC + EC]:[Unique]])</f>
        <v>0</v>
      </c>
      <c r="AF353" s="2" t="b">
        <v>0</v>
      </c>
      <c r="AG353" s="2" t="b">
        <v>0</v>
      </c>
      <c r="AH353" s="2" t="b">
        <v>0</v>
      </c>
      <c r="AI353" s="2" t="b">
        <f>IF(AND(Table1938[[#This Row],[Double Check]]=TRUE,Table1938[[#This Row],[Inspected]]=TRUE,Table1938[[#This Row],[Relevant]]=TRUE),TRUE,FALSE)</f>
        <v>0</v>
      </c>
    </row>
    <row r="354" spans="1:35" ht="57.35" x14ac:dyDescent="0.5">
      <c r="A354" s="2">
        <v>353</v>
      </c>
      <c r="B354" s="20" t="s">
        <v>3</v>
      </c>
      <c r="C354" s="20" t="s">
        <v>3441</v>
      </c>
      <c r="D354" s="20" t="s">
        <v>1112</v>
      </c>
      <c r="E354" s="20" t="s">
        <v>1111</v>
      </c>
      <c r="F354" s="2" t="s">
        <v>1115</v>
      </c>
      <c r="G354" s="20" t="s">
        <v>1113</v>
      </c>
      <c r="H354" s="36">
        <v>44180</v>
      </c>
      <c r="I354" s="20">
        <v>2020</v>
      </c>
      <c r="J354" s="20" t="s">
        <v>61</v>
      </c>
      <c r="K354" s="20" t="s">
        <v>3442</v>
      </c>
      <c r="L354" s="20" t="s">
        <v>2515</v>
      </c>
      <c r="M354" s="20" t="s">
        <v>1114</v>
      </c>
      <c r="N354" s="20" t="b">
        <v>1</v>
      </c>
      <c r="O354" s="2" t="b">
        <f>IF(Table1938[[#This Row],[Title]]="",TRUE,FALSE)</f>
        <v>0</v>
      </c>
      <c r="P354" s="2" t="b">
        <f>IF(Table1938[[#This Row],[Author]]="",TRUE,FALSE)</f>
        <v>0</v>
      </c>
      <c r="Q354" s="2" t="b">
        <f>IF(Table1938[[#This Row],[DOI]]&lt;&gt;"", FALSE,TRUE)</f>
        <v>0</v>
      </c>
      <c r="R354" s="2" t="b">
        <f>IF(Table1938[[#This Row],[Abstract]]="",TRUE,FALSE)</f>
        <v>0</v>
      </c>
      <c r="S354" s="2" t="b">
        <f>IF(OR(Table1938[[#This Row],[Document Type]]="book",Table1938[[#This Row],[Document Type]]="bookSection"),TRUE,FALSE)</f>
        <v>0</v>
      </c>
      <c r="T354" s="2" t="b">
        <f>NOT(IF(OR(Table1938[[#This Row],[Language]]&lt;&gt;"en",Table1938[[#This Row],[Language]]&lt;&gt;"EN",Table1938[[#This Row],[Language]]&lt;&gt;"spa",Table1938[[#This Row],[Language]]&lt;&gt;"SPA"),TRUE,FALSE))</f>
        <v>0</v>
      </c>
      <c r="U354" s="2" t="b">
        <f>IF(AND(Table1938[[#This Row],[EC-01]]=FALSE,Table1938[[#This Row],[EC-02]]=FALSE,Table1938[[#This Row],[EC-03]]=FALSE,Table1938[[#This Row],[EC-04]]=FALSE,Table1938[[#This Row],[EC-05]]=FALSE,Table1938[[#This Row],[EC-06]]=FALSE),TRUE,FALSE)</f>
        <v>1</v>
      </c>
      <c r="V354" s="2" t="b">
        <f>IF(Table1938[[#This Row],[Date]]&lt;&gt;"",AND(YEAR(Table1938[[#This Row],[Date]])&gt;=2010, YEAR(Table1938[[#This Row],[Date]])&lt;=2024),FALSE)</f>
        <v>1</v>
      </c>
      <c r="W354" s="2" t="b">
        <f>IF(Table1938[[#This Row],[Date]]&lt;&gt;"",AND(YEAR(Table1938[[#This Row],[Date]])&gt;=2010, YEAR(Table1938[[#This Row],[Date]])&lt;=2020),FALSE)</f>
        <v>1</v>
      </c>
      <c r="X354" s="2" t="b">
        <f>IF(AND(Table1938[[#This Row],[Accesible]]=TRUE,Table1938[[#This Row],[DOI]]&lt;&gt;""),TRUE,FALSE)</f>
        <v>1</v>
      </c>
      <c r="Y354" s="2" t="b">
        <f>OR(Table1938[[#This Row],[Document Type]]="journalArticle",Table1938[[#This Row],[Document Type]]="conferencePaper",Table1938[[#This Row],[Document Type]]="review")</f>
        <v>1</v>
      </c>
      <c r="Z354" s="2" t="b" cm="1">
        <f t="array" ref="Z354">SUMPRODUCT(--ISNUMBER(SEARCH({"dimensional analysis","dimensionless coefficients","Π","Pi","theorem","software","design","tools","development","architecture","similar"}, LOWER(Table1938[[#This Row],[Title]]))))&gt;0</f>
        <v>1</v>
      </c>
      <c r="AA354" s="2" t="b" cm="1">
        <f t="array" ref="AA354">SUMPRODUCT(--ISNUMBER(SEARCH({"dimensional analysis","dimensionless coefficients","Π","Pi","theorem","software","design","tools","development","architecture","similar"}, LOWER(Table1938[[#This Row],[Abstract]]))))&gt;0</f>
        <v>1</v>
      </c>
      <c r="AB354" s="2" t="b">
        <f>AND(OR(Table1938[[#This Row],[IC-01 @2024]:[IC-01 @2020]])=TRUE,Table1938[[#This Row],[IC-02]]=TRUE,Table1938[[#This Row],[IC-03]]=TRUE,Table1938[[#This Row],[IC-04]]=TRUE,Table1938[[#This Row],[IC-05]]=TRUE)</f>
        <v>1</v>
      </c>
      <c r="AC354" s="2" t="b">
        <f>AND(Table1938[[#This Row],[Pass-IC]]=TRUE,Table1938[[#This Row],[Pass-EC]]=TRUE)</f>
        <v>1</v>
      </c>
      <c r="AD354" s="2" t="b">
        <f>COUNTIF($D$25:D354, Table1938[[#This Row],[Title]]) = 1</f>
        <v>1</v>
      </c>
      <c r="AE354" s="2" t="b">
        <f>AND(Table1938[[#This Row],[IC + EC]:[Unique]])</f>
        <v>1</v>
      </c>
      <c r="AF354" s="2" t="b">
        <v>1</v>
      </c>
      <c r="AG354" s="2" t="b">
        <v>0</v>
      </c>
      <c r="AH354" s="2" t="b">
        <v>0</v>
      </c>
      <c r="AI354" s="2" t="b">
        <f>IF(AND(Table1938[[#This Row],[Double Check]]=TRUE,Table1938[[#This Row],[Inspected]]=TRUE,Table1938[[#This Row],[Relevant]]=TRUE),TRUE,FALSE)</f>
        <v>0</v>
      </c>
    </row>
    <row r="355" spans="1:35" ht="57.35" x14ac:dyDescent="0.5">
      <c r="A355" s="2">
        <v>354</v>
      </c>
      <c r="B355" s="20" t="s">
        <v>3</v>
      </c>
      <c r="C355" s="20" t="s">
        <v>3443</v>
      </c>
      <c r="D355" s="20" t="s">
        <v>311</v>
      </c>
      <c r="E355" s="20" t="s">
        <v>336</v>
      </c>
      <c r="F355" s="2" t="s">
        <v>361</v>
      </c>
      <c r="G355" s="20" t="s">
        <v>937</v>
      </c>
      <c r="H355" s="36">
        <v>43556</v>
      </c>
      <c r="I355" s="20">
        <v>2019</v>
      </c>
      <c r="J355" s="20" t="s">
        <v>61</v>
      </c>
      <c r="K355" s="20" t="s">
        <v>3444</v>
      </c>
      <c r="L355" s="20" t="s">
        <v>2515</v>
      </c>
      <c r="M355" s="20" t="s">
        <v>386</v>
      </c>
      <c r="N355" s="20" t="b">
        <v>1</v>
      </c>
      <c r="O355" s="2" t="b">
        <f>IF(Table1938[[#This Row],[Title]]="",TRUE,FALSE)</f>
        <v>0</v>
      </c>
      <c r="P355" s="2" t="b">
        <f>IF(Table1938[[#This Row],[Author]]="",TRUE,FALSE)</f>
        <v>0</v>
      </c>
      <c r="Q355" s="2" t="b">
        <f>IF(Table1938[[#This Row],[DOI]]&lt;&gt;"", FALSE,TRUE)</f>
        <v>0</v>
      </c>
      <c r="R355" s="2" t="b">
        <f>IF(Table1938[[#This Row],[Abstract]]="",TRUE,FALSE)</f>
        <v>0</v>
      </c>
      <c r="S355" s="2" t="b">
        <f>IF(OR(Table1938[[#This Row],[Document Type]]="book",Table1938[[#This Row],[Document Type]]="bookSection"),TRUE,FALSE)</f>
        <v>0</v>
      </c>
      <c r="T355" s="2" t="b">
        <f>NOT(IF(OR(Table1938[[#This Row],[Language]]&lt;&gt;"en",Table1938[[#This Row],[Language]]&lt;&gt;"EN",Table1938[[#This Row],[Language]]&lt;&gt;"spa",Table1938[[#This Row],[Language]]&lt;&gt;"SPA"),TRUE,FALSE))</f>
        <v>0</v>
      </c>
      <c r="U355" s="2" t="b">
        <f>IF(AND(Table1938[[#This Row],[EC-01]]=FALSE,Table1938[[#This Row],[EC-02]]=FALSE,Table1938[[#This Row],[EC-03]]=FALSE,Table1938[[#This Row],[EC-04]]=FALSE,Table1938[[#This Row],[EC-05]]=FALSE,Table1938[[#This Row],[EC-06]]=FALSE),TRUE,FALSE)</f>
        <v>1</v>
      </c>
      <c r="V355" s="2" t="b">
        <f>IF(Table1938[[#This Row],[Date]]&lt;&gt;"",AND(YEAR(Table1938[[#This Row],[Date]])&gt;=2010, YEAR(Table1938[[#This Row],[Date]])&lt;=2024),FALSE)</f>
        <v>1</v>
      </c>
      <c r="W355" s="2" t="b">
        <f>IF(Table1938[[#This Row],[Date]]&lt;&gt;"",AND(YEAR(Table1938[[#This Row],[Date]])&gt;=2010, YEAR(Table1938[[#This Row],[Date]])&lt;=2020),FALSE)</f>
        <v>1</v>
      </c>
      <c r="X355" s="2" t="b">
        <f>IF(AND(Table1938[[#This Row],[Accesible]]=TRUE,Table1938[[#This Row],[DOI]]&lt;&gt;""),TRUE,FALSE)</f>
        <v>1</v>
      </c>
      <c r="Y355" s="2" t="b">
        <f>OR(Table1938[[#This Row],[Document Type]]="journalArticle",Table1938[[#This Row],[Document Type]]="conferencePaper",Table1938[[#This Row],[Document Type]]="review")</f>
        <v>1</v>
      </c>
      <c r="Z355" s="2" t="b" cm="1">
        <f t="array" ref="Z355">SUMPRODUCT(--ISNUMBER(SEARCH({"dimensional analysis","dimensionless coefficients","Π","Pi","theorem","software","design","tools","development","architecture","similar"}, LOWER(Table1938[[#This Row],[Title]]))))&gt;0</f>
        <v>0</v>
      </c>
      <c r="AA355" s="2" t="b" cm="1">
        <f t="array" ref="AA355">SUMPRODUCT(--ISNUMBER(SEARCH({"dimensional analysis","dimensionless coefficients","Π","Pi","theorem","software","design","tools","development","architecture","similar"}, LOWER(Table1938[[#This Row],[Abstract]]))))&gt;0</f>
        <v>1</v>
      </c>
      <c r="AB355" s="2" t="b">
        <f>AND(OR(Table1938[[#This Row],[IC-01 @2024]:[IC-01 @2020]])=TRUE,Table1938[[#This Row],[IC-02]]=TRUE,Table1938[[#This Row],[IC-03]]=TRUE,Table1938[[#This Row],[IC-04]]=TRUE,Table1938[[#This Row],[IC-05]]=TRUE)</f>
        <v>0</v>
      </c>
      <c r="AC355" s="2" t="b">
        <f>AND(Table1938[[#This Row],[Pass-IC]]=TRUE,Table1938[[#This Row],[Pass-EC]]=TRUE)</f>
        <v>0</v>
      </c>
      <c r="AD355" s="2" t="b">
        <f>COUNTIF($D$25:D355, Table1938[[#This Row],[Title]]) = 1</f>
        <v>1</v>
      </c>
      <c r="AE355" s="2" t="b">
        <f>AND(Table1938[[#This Row],[IC + EC]:[Unique]])</f>
        <v>0</v>
      </c>
      <c r="AF355" s="2" t="b">
        <v>0</v>
      </c>
      <c r="AG355" s="2" t="b">
        <v>0</v>
      </c>
      <c r="AH355" s="2" t="b">
        <v>0</v>
      </c>
      <c r="AI355" s="2" t="b">
        <f>IF(AND(Table1938[[#This Row],[Double Check]]=TRUE,Table1938[[#This Row],[Inspected]]=TRUE,Table1938[[#This Row],[Relevant]]=TRUE),TRUE,FALSE)</f>
        <v>0</v>
      </c>
    </row>
    <row r="356" spans="1:35" ht="100.35" x14ac:dyDescent="0.5">
      <c r="A356" s="2">
        <v>355</v>
      </c>
      <c r="B356" s="20" t="s">
        <v>3</v>
      </c>
      <c r="C356" s="20" t="s">
        <v>3445</v>
      </c>
      <c r="D356" s="20" t="s">
        <v>1086</v>
      </c>
      <c r="E356" s="20" t="s">
        <v>1085</v>
      </c>
      <c r="F356" s="2" t="s">
        <v>1089</v>
      </c>
      <c r="G356" s="20" t="s">
        <v>1087</v>
      </c>
      <c r="H356" s="36">
        <v>41214</v>
      </c>
      <c r="I356" s="20">
        <v>2012</v>
      </c>
      <c r="J356" s="20" t="s">
        <v>61</v>
      </c>
      <c r="K356" s="20" t="s">
        <v>3446</v>
      </c>
      <c r="L356" s="20" t="s">
        <v>2515</v>
      </c>
      <c r="M356" s="20" t="s">
        <v>1088</v>
      </c>
      <c r="N356" s="20" t="b">
        <v>1</v>
      </c>
      <c r="O356" s="2" t="b">
        <f>IF(Table1938[[#This Row],[Title]]="",TRUE,FALSE)</f>
        <v>0</v>
      </c>
      <c r="P356" s="2" t="b">
        <f>IF(Table1938[[#This Row],[Author]]="",TRUE,FALSE)</f>
        <v>0</v>
      </c>
      <c r="Q356" s="2" t="b">
        <f>IF(Table1938[[#This Row],[DOI]]&lt;&gt;"", FALSE,TRUE)</f>
        <v>0</v>
      </c>
      <c r="R356" s="2" t="b">
        <f>IF(Table1938[[#This Row],[Abstract]]="",TRUE,FALSE)</f>
        <v>0</v>
      </c>
      <c r="S356" s="2" t="b">
        <f>IF(OR(Table1938[[#This Row],[Document Type]]="book",Table1938[[#This Row],[Document Type]]="bookSection"),TRUE,FALSE)</f>
        <v>0</v>
      </c>
      <c r="T356" s="2" t="b">
        <f>NOT(IF(OR(Table1938[[#This Row],[Language]]&lt;&gt;"en",Table1938[[#This Row],[Language]]&lt;&gt;"EN",Table1938[[#This Row],[Language]]&lt;&gt;"spa",Table1938[[#This Row],[Language]]&lt;&gt;"SPA"),TRUE,FALSE))</f>
        <v>0</v>
      </c>
      <c r="U356" s="2" t="b">
        <f>IF(AND(Table1938[[#This Row],[EC-01]]=FALSE,Table1938[[#This Row],[EC-02]]=FALSE,Table1938[[#This Row],[EC-03]]=FALSE,Table1938[[#This Row],[EC-04]]=FALSE,Table1938[[#This Row],[EC-05]]=FALSE,Table1938[[#This Row],[EC-06]]=FALSE),TRUE,FALSE)</f>
        <v>1</v>
      </c>
      <c r="V356" s="2" t="b">
        <f>IF(Table1938[[#This Row],[Date]]&lt;&gt;"",AND(YEAR(Table1938[[#This Row],[Date]])&gt;=2010, YEAR(Table1938[[#This Row],[Date]])&lt;=2024),FALSE)</f>
        <v>1</v>
      </c>
      <c r="W356" s="2" t="b">
        <f>IF(Table1938[[#This Row],[Date]]&lt;&gt;"",AND(YEAR(Table1938[[#This Row],[Date]])&gt;=2010, YEAR(Table1938[[#This Row],[Date]])&lt;=2020),FALSE)</f>
        <v>1</v>
      </c>
      <c r="X356" s="2" t="b">
        <f>IF(AND(Table1938[[#This Row],[Accesible]]=TRUE,Table1938[[#This Row],[DOI]]&lt;&gt;""),TRUE,FALSE)</f>
        <v>1</v>
      </c>
      <c r="Y356" s="2" t="b">
        <f>OR(Table1938[[#This Row],[Document Type]]="journalArticle",Table1938[[#This Row],[Document Type]]="conferencePaper",Table1938[[#This Row],[Document Type]]="review")</f>
        <v>1</v>
      </c>
      <c r="Z356" s="2" t="b" cm="1">
        <f t="array" ref="Z356">SUMPRODUCT(--ISNUMBER(SEARCH({"dimensional analysis","dimensionless coefficients","Π","Pi","theorem","software","design","tools","development","architecture","similar"}, LOWER(Table1938[[#This Row],[Title]]))))&gt;0</f>
        <v>0</v>
      </c>
      <c r="AA356" s="2" t="b" cm="1">
        <f t="array" ref="AA356">SUMPRODUCT(--ISNUMBER(SEARCH({"dimensional analysis","dimensionless coefficients","Π","Pi","theorem","software","design","tools","development","architecture","similar"}, LOWER(Table1938[[#This Row],[Abstract]]))))&gt;0</f>
        <v>1</v>
      </c>
      <c r="AB356" s="2" t="b">
        <f>AND(OR(Table1938[[#This Row],[IC-01 @2024]:[IC-01 @2020]])=TRUE,Table1938[[#This Row],[IC-02]]=TRUE,Table1938[[#This Row],[IC-03]]=TRUE,Table1938[[#This Row],[IC-04]]=TRUE,Table1938[[#This Row],[IC-05]]=TRUE)</f>
        <v>0</v>
      </c>
      <c r="AC356" s="2" t="b">
        <f>AND(Table1938[[#This Row],[Pass-IC]]=TRUE,Table1938[[#This Row],[Pass-EC]]=TRUE)</f>
        <v>0</v>
      </c>
      <c r="AD356" s="2" t="b">
        <f>COUNTIF($D$25:D356, Table1938[[#This Row],[Title]]) = 1</f>
        <v>1</v>
      </c>
      <c r="AE356" s="2" t="b">
        <f>AND(Table1938[[#This Row],[IC + EC]:[Unique]])</f>
        <v>0</v>
      </c>
      <c r="AF356" s="2" t="b">
        <v>0</v>
      </c>
      <c r="AG356" s="2" t="b">
        <v>0</v>
      </c>
      <c r="AH356" s="2" t="b">
        <v>0</v>
      </c>
      <c r="AI356" s="2" t="b">
        <f>IF(AND(Table1938[[#This Row],[Double Check]]=TRUE,Table1938[[#This Row],[Inspected]]=TRUE,Table1938[[#This Row],[Relevant]]=TRUE),TRUE,FALSE)</f>
        <v>0</v>
      </c>
    </row>
    <row r="357" spans="1:35" ht="71.7" x14ac:dyDescent="0.5">
      <c r="A357" s="2">
        <v>356</v>
      </c>
      <c r="B357" s="20" t="s">
        <v>3</v>
      </c>
      <c r="C357" s="20" t="s">
        <v>3447</v>
      </c>
      <c r="D357" s="20" t="s">
        <v>1360</v>
      </c>
      <c r="E357" s="20" t="s">
        <v>1359</v>
      </c>
      <c r="F357" s="2" t="s">
        <v>1363</v>
      </c>
      <c r="G357" s="20" t="s">
        <v>1361</v>
      </c>
      <c r="H357" s="36">
        <v>45437</v>
      </c>
      <c r="I357" s="20">
        <v>2024</v>
      </c>
      <c r="J357" s="20" t="s">
        <v>61</v>
      </c>
      <c r="K357" s="20" t="s">
        <v>3448</v>
      </c>
      <c r="L357" s="20" t="s">
        <v>2515</v>
      </c>
      <c r="M357" s="20" t="s">
        <v>1362</v>
      </c>
      <c r="N357" s="20" t="b">
        <v>1</v>
      </c>
      <c r="O357" s="2" t="b">
        <f>IF(Table1938[[#This Row],[Title]]="",TRUE,FALSE)</f>
        <v>0</v>
      </c>
      <c r="P357" s="2" t="b">
        <f>IF(Table1938[[#This Row],[Author]]="",TRUE,FALSE)</f>
        <v>0</v>
      </c>
      <c r="Q357" s="2" t="b">
        <f>IF(Table1938[[#This Row],[DOI]]&lt;&gt;"", FALSE,TRUE)</f>
        <v>0</v>
      </c>
      <c r="R357" s="2" t="b">
        <f>IF(Table1938[[#This Row],[Abstract]]="",TRUE,FALSE)</f>
        <v>0</v>
      </c>
      <c r="S357" s="2" t="b">
        <f>IF(OR(Table1938[[#This Row],[Document Type]]="book",Table1938[[#This Row],[Document Type]]="bookSection"),TRUE,FALSE)</f>
        <v>0</v>
      </c>
      <c r="T357" s="2" t="b">
        <f>NOT(IF(OR(Table1938[[#This Row],[Language]]&lt;&gt;"en",Table1938[[#This Row],[Language]]&lt;&gt;"EN",Table1938[[#This Row],[Language]]&lt;&gt;"spa",Table1938[[#This Row],[Language]]&lt;&gt;"SPA"),TRUE,FALSE))</f>
        <v>0</v>
      </c>
      <c r="U357" s="2" t="b">
        <f>IF(AND(Table1938[[#This Row],[EC-01]]=FALSE,Table1938[[#This Row],[EC-02]]=FALSE,Table1938[[#This Row],[EC-03]]=FALSE,Table1938[[#This Row],[EC-04]]=FALSE,Table1938[[#This Row],[EC-05]]=FALSE,Table1938[[#This Row],[EC-06]]=FALSE),TRUE,FALSE)</f>
        <v>1</v>
      </c>
      <c r="V357" s="2" t="b">
        <f>IF(Table1938[[#This Row],[Date]]&lt;&gt;"",AND(YEAR(Table1938[[#This Row],[Date]])&gt;=2010, YEAR(Table1938[[#This Row],[Date]])&lt;=2024),FALSE)</f>
        <v>1</v>
      </c>
      <c r="W357" s="2" t="b">
        <f>IF(Table1938[[#This Row],[Date]]&lt;&gt;"",AND(YEAR(Table1938[[#This Row],[Date]])&gt;=2010, YEAR(Table1938[[#This Row],[Date]])&lt;=2020),FALSE)</f>
        <v>0</v>
      </c>
      <c r="X357" s="2" t="b">
        <f>IF(AND(Table1938[[#This Row],[Accesible]]=TRUE,Table1938[[#This Row],[DOI]]&lt;&gt;""),TRUE,FALSE)</f>
        <v>1</v>
      </c>
      <c r="Y357" s="2" t="b">
        <f>OR(Table1938[[#This Row],[Document Type]]="journalArticle",Table1938[[#This Row],[Document Type]]="conferencePaper",Table1938[[#This Row],[Document Type]]="review")</f>
        <v>1</v>
      </c>
      <c r="Z357" s="2" t="b" cm="1">
        <f t="array" ref="Z357">SUMPRODUCT(--ISNUMBER(SEARCH({"dimensional analysis","dimensionless coefficients","Π","Pi","theorem","software","design","tools","development","architecture","similar"}, LOWER(Table1938[[#This Row],[Title]]))))&gt;0</f>
        <v>1</v>
      </c>
      <c r="AA357" s="2" t="b" cm="1">
        <f t="array" ref="AA357">SUMPRODUCT(--ISNUMBER(SEARCH({"dimensional analysis","dimensionless coefficients","Π","Pi","theorem","software","design","tools","development","architecture","similar"}, LOWER(Table1938[[#This Row],[Abstract]]))))&gt;0</f>
        <v>1</v>
      </c>
      <c r="AB357" s="2" t="b">
        <f>AND(OR(Table1938[[#This Row],[IC-01 @2024]:[IC-01 @2020]])=TRUE,Table1938[[#This Row],[IC-02]]=TRUE,Table1938[[#This Row],[IC-03]]=TRUE,Table1938[[#This Row],[IC-04]]=TRUE,Table1938[[#This Row],[IC-05]]=TRUE)</f>
        <v>1</v>
      </c>
      <c r="AC357" s="2" t="b">
        <f>AND(Table1938[[#This Row],[Pass-IC]]=TRUE,Table1938[[#This Row],[Pass-EC]]=TRUE)</f>
        <v>1</v>
      </c>
      <c r="AD357" s="2" t="b">
        <f>COUNTIF($D$25:D357, Table1938[[#This Row],[Title]]) = 1</f>
        <v>1</v>
      </c>
      <c r="AE357" s="2" t="b">
        <f>AND(Table1938[[#This Row],[IC + EC]:[Unique]])</f>
        <v>1</v>
      </c>
      <c r="AF357" s="2" t="b">
        <v>1</v>
      </c>
      <c r="AG357" s="2" t="b">
        <v>0</v>
      </c>
      <c r="AH357" s="2" t="b">
        <v>0</v>
      </c>
      <c r="AI357" s="2" t="b">
        <f>IF(AND(Table1938[[#This Row],[Double Check]]=TRUE,Table1938[[#This Row],[Inspected]]=TRUE,Table1938[[#This Row],[Relevant]]=TRUE),TRUE,FALSE)</f>
        <v>0</v>
      </c>
    </row>
    <row r="358" spans="1:35" ht="57.35" x14ac:dyDescent="0.5">
      <c r="A358" s="2">
        <v>357</v>
      </c>
      <c r="B358" s="20" t="s">
        <v>3</v>
      </c>
      <c r="C358" s="20" t="s">
        <v>3449</v>
      </c>
      <c r="D358" s="20" t="s">
        <v>1833</v>
      </c>
      <c r="E358" s="20" t="s">
        <v>1832</v>
      </c>
      <c r="F358" s="2" t="s">
        <v>1835</v>
      </c>
      <c r="G358" s="20" t="s">
        <v>953</v>
      </c>
      <c r="H358" s="36">
        <v>44835</v>
      </c>
      <c r="I358" s="20">
        <v>2022</v>
      </c>
      <c r="J358" s="20" t="s">
        <v>61</v>
      </c>
      <c r="K358" s="20" t="s">
        <v>3450</v>
      </c>
      <c r="L358" s="20" t="s">
        <v>2515</v>
      </c>
      <c r="M358" s="20" t="s">
        <v>1834</v>
      </c>
      <c r="N358" s="20" t="b">
        <v>1</v>
      </c>
      <c r="O358" s="2" t="b">
        <f>IF(Table1938[[#This Row],[Title]]="",TRUE,FALSE)</f>
        <v>0</v>
      </c>
      <c r="P358" s="2" t="b">
        <f>IF(Table1938[[#This Row],[Author]]="",TRUE,FALSE)</f>
        <v>0</v>
      </c>
      <c r="Q358" s="2" t="b">
        <f>IF(Table1938[[#This Row],[DOI]]&lt;&gt;"", FALSE,TRUE)</f>
        <v>0</v>
      </c>
      <c r="R358" s="2" t="b">
        <f>IF(Table1938[[#This Row],[Abstract]]="",TRUE,FALSE)</f>
        <v>0</v>
      </c>
      <c r="S358" s="2" t="b">
        <f>IF(OR(Table1938[[#This Row],[Document Type]]="book",Table1938[[#This Row],[Document Type]]="bookSection"),TRUE,FALSE)</f>
        <v>0</v>
      </c>
      <c r="T358" s="2" t="b">
        <f>NOT(IF(OR(Table1938[[#This Row],[Language]]&lt;&gt;"en",Table1938[[#This Row],[Language]]&lt;&gt;"EN",Table1938[[#This Row],[Language]]&lt;&gt;"spa",Table1938[[#This Row],[Language]]&lt;&gt;"SPA"),TRUE,FALSE))</f>
        <v>0</v>
      </c>
      <c r="U358" s="2" t="b">
        <f>IF(AND(Table1938[[#This Row],[EC-01]]=FALSE,Table1938[[#This Row],[EC-02]]=FALSE,Table1938[[#This Row],[EC-03]]=FALSE,Table1938[[#This Row],[EC-04]]=FALSE,Table1938[[#This Row],[EC-05]]=FALSE,Table1938[[#This Row],[EC-06]]=FALSE),TRUE,FALSE)</f>
        <v>1</v>
      </c>
      <c r="V358" s="2" t="b">
        <f>IF(Table1938[[#This Row],[Date]]&lt;&gt;"",AND(YEAR(Table1938[[#This Row],[Date]])&gt;=2010, YEAR(Table1938[[#This Row],[Date]])&lt;=2024),FALSE)</f>
        <v>1</v>
      </c>
      <c r="W358" s="2" t="b">
        <f>IF(Table1938[[#This Row],[Date]]&lt;&gt;"",AND(YEAR(Table1938[[#This Row],[Date]])&gt;=2010, YEAR(Table1938[[#This Row],[Date]])&lt;=2020),FALSE)</f>
        <v>0</v>
      </c>
      <c r="X358" s="2" t="b">
        <f>IF(AND(Table1938[[#This Row],[Accesible]]=TRUE,Table1938[[#This Row],[DOI]]&lt;&gt;""),TRUE,FALSE)</f>
        <v>1</v>
      </c>
      <c r="Y358" s="2" t="b">
        <f>OR(Table1938[[#This Row],[Document Type]]="journalArticle",Table1938[[#This Row],[Document Type]]="conferencePaper",Table1938[[#This Row],[Document Type]]="review")</f>
        <v>1</v>
      </c>
      <c r="Z358" s="2" t="b" cm="1">
        <f t="array" ref="Z358">SUMPRODUCT(--ISNUMBER(SEARCH({"dimensional analysis","dimensionless coefficients","Π","Pi","theorem","software","design","tools","development","architecture","similar"}, LOWER(Table1938[[#This Row],[Title]]))))&gt;0</f>
        <v>0</v>
      </c>
      <c r="AA358" s="2" t="b" cm="1">
        <f t="array" ref="AA358">SUMPRODUCT(--ISNUMBER(SEARCH({"dimensional analysis","dimensionless coefficients","Π","Pi","theorem","software","design","tools","development","architecture","similar"}, LOWER(Table1938[[#This Row],[Abstract]]))))&gt;0</f>
        <v>1</v>
      </c>
      <c r="AB358" s="2" t="b">
        <f>AND(OR(Table1938[[#This Row],[IC-01 @2024]:[IC-01 @2020]])=TRUE,Table1938[[#This Row],[IC-02]]=TRUE,Table1938[[#This Row],[IC-03]]=TRUE,Table1938[[#This Row],[IC-04]]=TRUE,Table1938[[#This Row],[IC-05]]=TRUE)</f>
        <v>0</v>
      </c>
      <c r="AC358" s="2" t="b">
        <f>AND(Table1938[[#This Row],[Pass-IC]]=TRUE,Table1938[[#This Row],[Pass-EC]]=TRUE)</f>
        <v>0</v>
      </c>
      <c r="AD358" s="2" t="b">
        <f>COUNTIF($D$25:D358, Table1938[[#This Row],[Title]]) = 1</f>
        <v>1</v>
      </c>
      <c r="AE358" s="2" t="b">
        <f>AND(Table1938[[#This Row],[IC + EC]:[Unique]])</f>
        <v>0</v>
      </c>
      <c r="AF358" s="2" t="b">
        <v>0</v>
      </c>
      <c r="AG358" s="2" t="b">
        <v>0</v>
      </c>
      <c r="AH358" s="2" t="b">
        <v>0</v>
      </c>
      <c r="AI358" s="2" t="b">
        <f>IF(AND(Table1938[[#This Row],[Double Check]]=TRUE,Table1938[[#This Row],[Inspected]]=TRUE,Table1938[[#This Row],[Relevant]]=TRUE),TRUE,FALSE)</f>
        <v>0</v>
      </c>
    </row>
    <row r="359" spans="1:35" ht="71.7" x14ac:dyDescent="0.5">
      <c r="A359" s="2">
        <v>358</v>
      </c>
      <c r="B359" s="20" t="s">
        <v>3</v>
      </c>
      <c r="C359" s="20" t="s">
        <v>3451</v>
      </c>
      <c r="D359" s="20" t="s">
        <v>1966</v>
      </c>
      <c r="E359" s="20" t="s">
        <v>1965</v>
      </c>
      <c r="F359" s="2" t="s">
        <v>1968</v>
      </c>
      <c r="G359" s="20" t="s">
        <v>937</v>
      </c>
      <c r="H359" s="36">
        <v>41000</v>
      </c>
      <c r="I359" s="20">
        <v>2012</v>
      </c>
      <c r="J359" s="20" t="s">
        <v>61</v>
      </c>
      <c r="K359" s="20" t="s">
        <v>3452</v>
      </c>
      <c r="L359" s="20" t="s">
        <v>2515</v>
      </c>
      <c r="M359" s="20" t="s">
        <v>1967</v>
      </c>
      <c r="N359" s="20" t="b">
        <v>1</v>
      </c>
      <c r="O359" s="2" t="b">
        <f>IF(Table1938[[#This Row],[Title]]="",TRUE,FALSE)</f>
        <v>0</v>
      </c>
      <c r="P359" s="2" t="b">
        <f>IF(Table1938[[#This Row],[Author]]="",TRUE,FALSE)</f>
        <v>0</v>
      </c>
      <c r="Q359" s="2" t="b">
        <f>IF(Table1938[[#This Row],[DOI]]&lt;&gt;"", FALSE,TRUE)</f>
        <v>0</v>
      </c>
      <c r="R359" s="2" t="b">
        <f>IF(Table1938[[#This Row],[Abstract]]="",TRUE,FALSE)</f>
        <v>0</v>
      </c>
      <c r="S359" s="2" t="b">
        <f>IF(OR(Table1938[[#This Row],[Document Type]]="book",Table1938[[#This Row],[Document Type]]="bookSection"),TRUE,FALSE)</f>
        <v>0</v>
      </c>
      <c r="T359" s="2" t="b">
        <f>NOT(IF(OR(Table1938[[#This Row],[Language]]&lt;&gt;"en",Table1938[[#This Row],[Language]]&lt;&gt;"EN",Table1938[[#This Row],[Language]]&lt;&gt;"spa",Table1938[[#This Row],[Language]]&lt;&gt;"SPA"),TRUE,FALSE))</f>
        <v>0</v>
      </c>
      <c r="U359" s="2" t="b">
        <f>IF(AND(Table1938[[#This Row],[EC-01]]=FALSE,Table1938[[#This Row],[EC-02]]=FALSE,Table1938[[#This Row],[EC-03]]=FALSE,Table1938[[#This Row],[EC-04]]=FALSE,Table1938[[#This Row],[EC-05]]=FALSE,Table1938[[#This Row],[EC-06]]=FALSE),TRUE,FALSE)</f>
        <v>1</v>
      </c>
      <c r="V359" s="2" t="b">
        <f>IF(Table1938[[#This Row],[Date]]&lt;&gt;"",AND(YEAR(Table1938[[#This Row],[Date]])&gt;=2010, YEAR(Table1938[[#This Row],[Date]])&lt;=2024),FALSE)</f>
        <v>1</v>
      </c>
      <c r="W359" s="2" t="b">
        <f>IF(Table1938[[#This Row],[Date]]&lt;&gt;"",AND(YEAR(Table1938[[#This Row],[Date]])&gt;=2010, YEAR(Table1938[[#This Row],[Date]])&lt;=2020),FALSE)</f>
        <v>1</v>
      </c>
      <c r="X359" s="2" t="b">
        <f>IF(AND(Table1938[[#This Row],[Accesible]]=TRUE,Table1938[[#This Row],[DOI]]&lt;&gt;""),TRUE,FALSE)</f>
        <v>1</v>
      </c>
      <c r="Y359" s="2" t="b">
        <f>OR(Table1938[[#This Row],[Document Type]]="journalArticle",Table1938[[#This Row],[Document Type]]="conferencePaper",Table1938[[#This Row],[Document Type]]="review")</f>
        <v>1</v>
      </c>
      <c r="Z359" s="2" t="b" cm="1">
        <f t="array" ref="Z359">SUMPRODUCT(--ISNUMBER(SEARCH({"dimensional analysis","dimensionless coefficients","Π","Pi","theorem","software","design","tools","development","architecture","similar"}, LOWER(Table1938[[#This Row],[Title]]))))&gt;0</f>
        <v>0</v>
      </c>
      <c r="AA359" s="2" t="b" cm="1">
        <f t="array" ref="AA359">SUMPRODUCT(--ISNUMBER(SEARCH({"dimensional analysis","dimensionless coefficients","Π","Pi","theorem","software","design","tools","development","architecture","similar"}, LOWER(Table1938[[#This Row],[Abstract]]))))&gt;0</f>
        <v>1</v>
      </c>
      <c r="AB359" s="2" t="b">
        <f>AND(OR(Table1938[[#This Row],[IC-01 @2024]:[IC-01 @2020]])=TRUE,Table1938[[#This Row],[IC-02]]=TRUE,Table1938[[#This Row],[IC-03]]=TRUE,Table1938[[#This Row],[IC-04]]=TRUE,Table1938[[#This Row],[IC-05]]=TRUE)</f>
        <v>0</v>
      </c>
      <c r="AC359" s="2" t="b">
        <f>AND(Table1938[[#This Row],[Pass-IC]]=TRUE,Table1938[[#This Row],[Pass-EC]]=TRUE)</f>
        <v>0</v>
      </c>
      <c r="AD359" s="2" t="b">
        <f>COUNTIF($D$25:D359, Table1938[[#This Row],[Title]]) = 1</f>
        <v>1</v>
      </c>
      <c r="AE359" s="2" t="b">
        <f>AND(Table1938[[#This Row],[IC + EC]:[Unique]])</f>
        <v>0</v>
      </c>
      <c r="AF359" s="2" t="b">
        <v>0</v>
      </c>
      <c r="AG359" s="2" t="b">
        <v>0</v>
      </c>
      <c r="AH359" s="2" t="b">
        <v>0</v>
      </c>
      <c r="AI359" s="2" t="b">
        <f>IF(AND(Table1938[[#This Row],[Double Check]]=TRUE,Table1938[[#This Row],[Inspected]]=TRUE,Table1938[[#This Row],[Relevant]]=TRUE),TRUE,FALSE)</f>
        <v>0</v>
      </c>
    </row>
    <row r="360" spans="1:35" ht="57.35" x14ac:dyDescent="0.5">
      <c r="A360" s="2">
        <v>359</v>
      </c>
      <c r="B360" s="20" t="s">
        <v>3</v>
      </c>
      <c r="C360" s="20" t="s">
        <v>3453</v>
      </c>
      <c r="D360" s="20" t="s">
        <v>1466</v>
      </c>
      <c r="E360" s="20" t="s">
        <v>1465</v>
      </c>
      <c r="F360" s="2" t="s">
        <v>1469</v>
      </c>
      <c r="G360" s="20" t="s">
        <v>1467</v>
      </c>
      <c r="H360" s="36">
        <v>43800</v>
      </c>
      <c r="I360" s="20">
        <v>2019</v>
      </c>
      <c r="J360" s="20" t="s">
        <v>61</v>
      </c>
      <c r="K360" s="20" t="s">
        <v>3454</v>
      </c>
      <c r="L360" s="20" t="s">
        <v>2515</v>
      </c>
      <c r="M360" s="20" t="s">
        <v>1468</v>
      </c>
      <c r="N360" s="20" t="b">
        <v>1</v>
      </c>
      <c r="O360" s="2" t="b">
        <f>IF(Table1938[[#This Row],[Title]]="",TRUE,FALSE)</f>
        <v>0</v>
      </c>
      <c r="P360" s="2" t="b">
        <f>IF(Table1938[[#This Row],[Author]]="",TRUE,FALSE)</f>
        <v>0</v>
      </c>
      <c r="Q360" s="2" t="b">
        <f>IF(Table1938[[#This Row],[DOI]]&lt;&gt;"", FALSE,TRUE)</f>
        <v>0</v>
      </c>
      <c r="R360" s="2" t="b">
        <f>IF(Table1938[[#This Row],[Abstract]]="",TRUE,FALSE)</f>
        <v>0</v>
      </c>
      <c r="S360" s="2" t="b">
        <f>IF(OR(Table1938[[#This Row],[Document Type]]="book",Table1938[[#This Row],[Document Type]]="bookSection"),TRUE,FALSE)</f>
        <v>0</v>
      </c>
      <c r="T360" s="2" t="b">
        <f>NOT(IF(OR(Table1938[[#This Row],[Language]]&lt;&gt;"en",Table1938[[#This Row],[Language]]&lt;&gt;"EN",Table1938[[#This Row],[Language]]&lt;&gt;"spa",Table1938[[#This Row],[Language]]&lt;&gt;"SPA"),TRUE,FALSE))</f>
        <v>0</v>
      </c>
      <c r="U360" s="2" t="b">
        <f>IF(AND(Table1938[[#This Row],[EC-01]]=FALSE,Table1938[[#This Row],[EC-02]]=FALSE,Table1938[[#This Row],[EC-03]]=FALSE,Table1938[[#This Row],[EC-04]]=FALSE,Table1938[[#This Row],[EC-05]]=FALSE,Table1938[[#This Row],[EC-06]]=FALSE),TRUE,FALSE)</f>
        <v>1</v>
      </c>
      <c r="V360" s="2" t="b">
        <f>IF(Table1938[[#This Row],[Date]]&lt;&gt;"",AND(YEAR(Table1938[[#This Row],[Date]])&gt;=2010, YEAR(Table1938[[#This Row],[Date]])&lt;=2024),FALSE)</f>
        <v>1</v>
      </c>
      <c r="W360" s="2" t="b">
        <f>IF(Table1938[[#This Row],[Date]]&lt;&gt;"",AND(YEAR(Table1938[[#This Row],[Date]])&gt;=2010, YEAR(Table1938[[#This Row],[Date]])&lt;=2020),FALSE)</f>
        <v>1</v>
      </c>
      <c r="X360" s="2" t="b">
        <f>IF(AND(Table1938[[#This Row],[Accesible]]=TRUE,Table1938[[#This Row],[DOI]]&lt;&gt;""),TRUE,FALSE)</f>
        <v>1</v>
      </c>
      <c r="Y360" s="2" t="b">
        <f>OR(Table1938[[#This Row],[Document Type]]="journalArticle",Table1938[[#This Row],[Document Type]]="conferencePaper",Table1938[[#This Row],[Document Type]]="review")</f>
        <v>1</v>
      </c>
      <c r="Z360" s="2" t="b" cm="1">
        <f t="array" ref="Z360">SUMPRODUCT(--ISNUMBER(SEARCH({"dimensional analysis","dimensionless coefficients","Π","Pi","theorem","software","design","tools","development","architecture","similar"}, LOWER(Table1938[[#This Row],[Title]]))))&gt;0</f>
        <v>1</v>
      </c>
      <c r="AA360" s="2" t="b" cm="1">
        <f t="array" ref="AA360">SUMPRODUCT(--ISNUMBER(SEARCH({"dimensional analysis","dimensionless coefficients","Π","Pi","theorem","software","design","tools","development","architecture","similar"}, LOWER(Table1938[[#This Row],[Abstract]]))))&gt;0</f>
        <v>1</v>
      </c>
      <c r="AB360" s="2" t="b">
        <f>AND(OR(Table1938[[#This Row],[IC-01 @2024]:[IC-01 @2020]])=TRUE,Table1938[[#This Row],[IC-02]]=TRUE,Table1938[[#This Row],[IC-03]]=TRUE,Table1938[[#This Row],[IC-04]]=TRUE,Table1938[[#This Row],[IC-05]]=TRUE)</f>
        <v>1</v>
      </c>
      <c r="AC360" s="2" t="b">
        <f>AND(Table1938[[#This Row],[Pass-IC]]=TRUE,Table1938[[#This Row],[Pass-EC]]=TRUE)</f>
        <v>1</v>
      </c>
      <c r="AD360" s="2" t="b">
        <f>COUNTIF($D$25:D360, Table1938[[#This Row],[Title]]) = 1</f>
        <v>1</v>
      </c>
      <c r="AE360" s="2" t="b">
        <f>AND(Table1938[[#This Row],[IC + EC]:[Unique]])</f>
        <v>1</v>
      </c>
      <c r="AF360" s="2" t="b">
        <v>1</v>
      </c>
      <c r="AG360" s="2" t="b">
        <v>0</v>
      </c>
      <c r="AH360" s="2" t="b">
        <v>0</v>
      </c>
      <c r="AI360" s="2" t="b">
        <f>IF(AND(Table1938[[#This Row],[Double Check]]=TRUE,Table1938[[#This Row],[Inspected]]=TRUE,Table1938[[#This Row],[Relevant]]=TRUE),TRUE,FALSE)</f>
        <v>0</v>
      </c>
    </row>
    <row r="361" spans="1:35" ht="43" x14ac:dyDescent="0.5">
      <c r="A361" s="2">
        <v>360</v>
      </c>
      <c r="B361" s="20" t="s">
        <v>3</v>
      </c>
      <c r="C361" s="20" t="s">
        <v>3455</v>
      </c>
      <c r="D361" s="20" t="s">
        <v>1143</v>
      </c>
      <c r="E361" s="20" t="s">
        <v>1142</v>
      </c>
      <c r="F361" s="2" t="s">
        <v>1146</v>
      </c>
      <c r="G361" s="20" t="s">
        <v>1144</v>
      </c>
      <c r="H361" s="36">
        <v>44562</v>
      </c>
      <c r="I361" s="20">
        <v>2022</v>
      </c>
      <c r="J361" s="20" t="s">
        <v>61</v>
      </c>
      <c r="K361" s="20" t="s">
        <v>3456</v>
      </c>
      <c r="L361" s="20" t="s">
        <v>2515</v>
      </c>
      <c r="M361" s="20" t="s">
        <v>1145</v>
      </c>
      <c r="N361" s="20" t="b">
        <v>1</v>
      </c>
      <c r="O361" s="2" t="b">
        <f>IF(Table1938[[#This Row],[Title]]="",TRUE,FALSE)</f>
        <v>0</v>
      </c>
      <c r="P361" s="2" t="b">
        <f>IF(Table1938[[#This Row],[Author]]="",TRUE,FALSE)</f>
        <v>0</v>
      </c>
      <c r="Q361" s="2" t="b">
        <f>IF(Table1938[[#This Row],[DOI]]&lt;&gt;"", FALSE,TRUE)</f>
        <v>0</v>
      </c>
      <c r="R361" s="2" t="b">
        <f>IF(Table1938[[#This Row],[Abstract]]="",TRUE,FALSE)</f>
        <v>0</v>
      </c>
      <c r="S361" s="2" t="b">
        <f>IF(OR(Table1938[[#This Row],[Document Type]]="book",Table1938[[#This Row],[Document Type]]="bookSection"),TRUE,FALSE)</f>
        <v>0</v>
      </c>
      <c r="T361" s="2" t="b">
        <f>NOT(IF(OR(Table1938[[#This Row],[Language]]&lt;&gt;"en",Table1938[[#This Row],[Language]]&lt;&gt;"EN",Table1938[[#This Row],[Language]]&lt;&gt;"spa",Table1938[[#This Row],[Language]]&lt;&gt;"SPA"),TRUE,FALSE))</f>
        <v>0</v>
      </c>
      <c r="U361" s="2" t="b">
        <f>IF(AND(Table1938[[#This Row],[EC-01]]=FALSE,Table1938[[#This Row],[EC-02]]=FALSE,Table1938[[#This Row],[EC-03]]=FALSE,Table1938[[#This Row],[EC-04]]=FALSE,Table1938[[#This Row],[EC-05]]=FALSE,Table1938[[#This Row],[EC-06]]=FALSE),TRUE,FALSE)</f>
        <v>1</v>
      </c>
      <c r="V361" s="2" t="b">
        <f>IF(Table1938[[#This Row],[Date]]&lt;&gt;"",AND(YEAR(Table1938[[#This Row],[Date]])&gt;=2010, YEAR(Table1938[[#This Row],[Date]])&lt;=2024),FALSE)</f>
        <v>1</v>
      </c>
      <c r="W361" s="2" t="b">
        <f>IF(Table1938[[#This Row],[Date]]&lt;&gt;"",AND(YEAR(Table1938[[#This Row],[Date]])&gt;=2010, YEAR(Table1938[[#This Row],[Date]])&lt;=2020),FALSE)</f>
        <v>0</v>
      </c>
      <c r="X361" s="2" t="b">
        <f>IF(AND(Table1938[[#This Row],[Accesible]]=TRUE,Table1938[[#This Row],[DOI]]&lt;&gt;""),TRUE,FALSE)</f>
        <v>1</v>
      </c>
      <c r="Y361" s="2" t="b">
        <f>OR(Table1938[[#This Row],[Document Type]]="journalArticle",Table1938[[#This Row],[Document Type]]="conferencePaper",Table1938[[#This Row],[Document Type]]="review")</f>
        <v>1</v>
      </c>
      <c r="Z361" s="2" t="b" cm="1">
        <f t="array" ref="Z361">SUMPRODUCT(--ISNUMBER(SEARCH({"dimensional analysis","dimensionless coefficients","Π","Pi","theorem","software","design","tools","development","architecture","similar"}, LOWER(Table1938[[#This Row],[Title]]))))&gt;0</f>
        <v>1</v>
      </c>
      <c r="AA361" s="2" t="b" cm="1">
        <f t="array" ref="AA361">SUMPRODUCT(--ISNUMBER(SEARCH({"dimensional analysis","dimensionless coefficients","Π","Pi","theorem","software","design","tools","development","architecture","similar"}, LOWER(Table1938[[#This Row],[Abstract]]))))&gt;0</f>
        <v>1</v>
      </c>
      <c r="AB361" s="2" t="b">
        <f>AND(OR(Table1938[[#This Row],[IC-01 @2024]:[IC-01 @2020]])=TRUE,Table1938[[#This Row],[IC-02]]=TRUE,Table1938[[#This Row],[IC-03]]=TRUE,Table1938[[#This Row],[IC-04]]=TRUE,Table1938[[#This Row],[IC-05]]=TRUE)</f>
        <v>1</v>
      </c>
      <c r="AC361" s="2" t="b">
        <f>AND(Table1938[[#This Row],[Pass-IC]]=TRUE,Table1938[[#This Row],[Pass-EC]]=TRUE)</f>
        <v>1</v>
      </c>
      <c r="AD361" s="2" t="b">
        <f>COUNTIF($D$25:D361, Table1938[[#This Row],[Title]]) = 1</f>
        <v>1</v>
      </c>
      <c r="AE361" s="2" t="b">
        <f>AND(Table1938[[#This Row],[IC + EC]:[Unique]])</f>
        <v>1</v>
      </c>
      <c r="AF361" s="2" t="b">
        <v>1</v>
      </c>
      <c r="AG361" s="2" t="b">
        <v>0</v>
      </c>
      <c r="AH361" s="2" t="b">
        <v>0</v>
      </c>
      <c r="AI361" s="2" t="b">
        <f>IF(AND(Table1938[[#This Row],[Double Check]]=TRUE,Table1938[[#This Row],[Inspected]]=TRUE,Table1938[[#This Row],[Relevant]]=TRUE),TRUE,FALSE)</f>
        <v>0</v>
      </c>
    </row>
    <row r="362" spans="1:35" ht="43" x14ac:dyDescent="0.5">
      <c r="A362" s="2">
        <v>361</v>
      </c>
      <c r="B362" s="20" t="s">
        <v>3</v>
      </c>
      <c r="C362" s="20" t="s">
        <v>3457</v>
      </c>
      <c r="D362" s="20" t="s">
        <v>2106</v>
      </c>
      <c r="E362" s="20" t="s">
        <v>2105</v>
      </c>
      <c r="F362" s="2" t="s">
        <v>2108</v>
      </c>
      <c r="G362" s="20" t="s">
        <v>921</v>
      </c>
      <c r="H362" s="36">
        <v>44044</v>
      </c>
      <c r="I362" s="20">
        <v>2020</v>
      </c>
      <c r="J362" s="20" t="s">
        <v>61</v>
      </c>
      <c r="K362" s="20" t="s">
        <v>3458</v>
      </c>
      <c r="L362" s="20" t="s">
        <v>2515</v>
      </c>
      <c r="M362" s="20" t="s">
        <v>2107</v>
      </c>
      <c r="N362" s="20" t="b">
        <v>1</v>
      </c>
      <c r="O362" s="2" t="b">
        <f>IF(Table1938[[#This Row],[Title]]="",TRUE,FALSE)</f>
        <v>0</v>
      </c>
      <c r="P362" s="2" t="b">
        <f>IF(Table1938[[#This Row],[Author]]="",TRUE,FALSE)</f>
        <v>0</v>
      </c>
      <c r="Q362" s="2" t="b">
        <f>IF(Table1938[[#This Row],[DOI]]&lt;&gt;"", FALSE,TRUE)</f>
        <v>0</v>
      </c>
      <c r="R362" s="2" t="b">
        <f>IF(Table1938[[#This Row],[Abstract]]="",TRUE,FALSE)</f>
        <v>0</v>
      </c>
      <c r="S362" s="2" t="b">
        <f>IF(OR(Table1938[[#This Row],[Document Type]]="book",Table1938[[#This Row],[Document Type]]="bookSection"),TRUE,FALSE)</f>
        <v>0</v>
      </c>
      <c r="T362" s="2" t="b">
        <f>NOT(IF(OR(Table1938[[#This Row],[Language]]&lt;&gt;"en",Table1938[[#This Row],[Language]]&lt;&gt;"EN",Table1938[[#This Row],[Language]]&lt;&gt;"spa",Table1938[[#This Row],[Language]]&lt;&gt;"SPA"),TRUE,FALSE))</f>
        <v>0</v>
      </c>
      <c r="U362" s="2" t="b">
        <f>IF(AND(Table1938[[#This Row],[EC-01]]=FALSE,Table1938[[#This Row],[EC-02]]=FALSE,Table1938[[#This Row],[EC-03]]=FALSE,Table1938[[#This Row],[EC-04]]=FALSE,Table1938[[#This Row],[EC-05]]=FALSE,Table1938[[#This Row],[EC-06]]=FALSE),TRUE,FALSE)</f>
        <v>1</v>
      </c>
      <c r="V362" s="2" t="b">
        <f>IF(Table1938[[#This Row],[Date]]&lt;&gt;"",AND(YEAR(Table1938[[#This Row],[Date]])&gt;=2010, YEAR(Table1938[[#This Row],[Date]])&lt;=2024),FALSE)</f>
        <v>1</v>
      </c>
      <c r="W362" s="2" t="b">
        <f>IF(Table1938[[#This Row],[Date]]&lt;&gt;"",AND(YEAR(Table1938[[#This Row],[Date]])&gt;=2010, YEAR(Table1938[[#This Row],[Date]])&lt;=2020),FALSE)</f>
        <v>1</v>
      </c>
      <c r="X362" s="2" t="b">
        <f>IF(AND(Table1938[[#This Row],[Accesible]]=TRUE,Table1938[[#This Row],[DOI]]&lt;&gt;""),TRUE,FALSE)</f>
        <v>1</v>
      </c>
      <c r="Y362" s="2" t="b">
        <f>OR(Table1938[[#This Row],[Document Type]]="journalArticle",Table1938[[#This Row],[Document Type]]="conferencePaper",Table1938[[#This Row],[Document Type]]="review")</f>
        <v>1</v>
      </c>
      <c r="Z362" s="2" t="b" cm="1">
        <f t="array" ref="Z362">SUMPRODUCT(--ISNUMBER(SEARCH({"dimensional analysis","dimensionless coefficients","Π","Pi","theorem","software","design","tools","development","architecture","similar"}, LOWER(Table1938[[#This Row],[Title]]))))&gt;0</f>
        <v>0</v>
      </c>
      <c r="AA362" s="2" t="b" cm="1">
        <f t="array" ref="AA362">SUMPRODUCT(--ISNUMBER(SEARCH({"dimensional analysis","dimensionless coefficients","Π","Pi","theorem","software","design","tools","development","architecture","similar"}, LOWER(Table1938[[#This Row],[Abstract]]))))&gt;0</f>
        <v>1</v>
      </c>
      <c r="AB362" s="2" t="b">
        <f>AND(OR(Table1938[[#This Row],[IC-01 @2024]:[IC-01 @2020]])=TRUE,Table1938[[#This Row],[IC-02]]=TRUE,Table1938[[#This Row],[IC-03]]=TRUE,Table1938[[#This Row],[IC-04]]=TRUE,Table1938[[#This Row],[IC-05]]=TRUE)</f>
        <v>0</v>
      </c>
      <c r="AC362" s="2" t="b">
        <f>AND(Table1938[[#This Row],[Pass-IC]]=TRUE,Table1938[[#This Row],[Pass-EC]]=TRUE)</f>
        <v>0</v>
      </c>
      <c r="AD362" s="2" t="b">
        <f>COUNTIF($D$25:D362, Table1938[[#This Row],[Title]]) = 1</f>
        <v>1</v>
      </c>
      <c r="AE362" s="2" t="b">
        <f>AND(Table1938[[#This Row],[IC + EC]:[Unique]])</f>
        <v>0</v>
      </c>
      <c r="AF362" s="2" t="b">
        <v>0</v>
      </c>
      <c r="AG362" s="2" t="b">
        <v>0</v>
      </c>
      <c r="AH362" s="2" t="b">
        <v>0</v>
      </c>
      <c r="AI362" s="2" t="b">
        <f>IF(AND(Table1938[[#This Row],[Double Check]]=TRUE,Table1938[[#This Row],[Inspected]]=TRUE,Table1938[[#This Row],[Relevant]]=TRUE),TRUE,FALSE)</f>
        <v>0</v>
      </c>
    </row>
    <row r="363" spans="1:35" ht="57.35" x14ac:dyDescent="0.5">
      <c r="A363" s="2">
        <v>362</v>
      </c>
      <c r="B363" s="20" t="s">
        <v>3</v>
      </c>
      <c r="C363" s="20" t="s">
        <v>3459</v>
      </c>
      <c r="D363" s="20" t="s">
        <v>2222</v>
      </c>
      <c r="E363" s="20" t="s">
        <v>2221</v>
      </c>
      <c r="F363" s="2" t="s">
        <v>2224</v>
      </c>
      <c r="G363" s="20" t="s">
        <v>919</v>
      </c>
      <c r="H363" s="36">
        <v>44331</v>
      </c>
      <c r="I363" s="20">
        <v>2021</v>
      </c>
      <c r="J363" s="20" t="s">
        <v>61</v>
      </c>
      <c r="K363" s="20" t="s">
        <v>3460</v>
      </c>
      <c r="L363" s="20" t="s">
        <v>2515</v>
      </c>
      <c r="M363" s="20" t="s">
        <v>2223</v>
      </c>
      <c r="N363" s="20" t="b">
        <v>1</v>
      </c>
      <c r="O363" s="2" t="b">
        <f>IF(Table1938[[#This Row],[Title]]="",TRUE,FALSE)</f>
        <v>0</v>
      </c>
      <c r="P363" s="2" t="b">
        <f>IF(Table1938[[#This Row],[Author]]="",TRUE,FALSE)</f>
        <v>0</v>
      </c>
      <c r="Q363" s="2" t="b">
        <f>IF(Table1938[[#This Row],[DOI]]&lt;&gt;"", FALSE,TRUE)</f>
        <v>0</v>
      </c>
      <c r="R363" s="2" t="b">
        <f>IF(Table1938[[#This Row],[Abstract]]="",TRUE,FALSE)</f>
        <v>0</v>
      </c>
      <c r="S363" s="2" t="b">
        <f>IF(OR(Table1938[[#This Row],[Document Type]]="book",Table1938[[#This Row],[Document Type]]="bookSection"),TRUE,FALSE)</f>
        <v>0</v>
      </c>
      <c r="T363" s="2" t="b">
        <f>NOT(IF(OR(Table1938[[#This Row],[Language]]&lt;&gt;"en",Table1938[[#This Row],[Language]]&lt;&gt;"EN",Table1938[[#This Row],[Language]]&lt;&gt;"spa",Table1938[[#This Row],[Language]]&lt;&gt;"SPA"),TRUE,FALSE))</f>
        <v>0</v>
      </c>
      <c r="U363" s="2" t="b">
        <f>IF(AND(Table1938[[#This Row],[EC-01]]=FALSE,Table1938[[#This Row],[EC-02]]=FALSE,Table1938[[#This Row],[EC-03]]=FALSE,Table1938[[#This Row],[EC-04]]=FALSE,Table1938[[#This Row],[EC-05]]=FALSE,Table1938[[#This Row],[EC-06]]=FALSE),TRUE,FALSE)</f>
        <v>1</v>
      </c>
      <c r="V363" s="2" t="b">
        <f>IF(Table1938[[#This Row],[Date]]&lt;&gt;"",AND(YEAR(Table1938[[#This Row],[Date]])&gt;=2010, YEAR(Table1938[[#This Row],[Date]])&lt;=2024),FALSE)</f>
        <v>1</v>
      </c>
      <c r="W363" s="2" t="b">
        <f>IF(Table1938[[#This Row],[Date]]&lt;&gt;"",AND(YEAR(Table1938[[#This Row],[Date]])&gt;=2010, YEAR(Table1938[[#This Row],[Date]])&lt;=2020),FALSE)</f>
        <v>0</v>
      </c>
      <c r="X363" s="2" t="b">
        <f>IF(AND(Table1938[[#This Row],[Accesible]]=TRUE,Table1938[[#This Row],[DOI]]&lt;&gt;""),TRUE,FALSE)</f>
        <v>1</v>
      </c>
      <c r="Y363" s="2" t="b">
        <f>OR(Table1938[[#This Row],[Document Type]]="journalArticle",Table1938[[#This Row],[Document Type]]="conferencePaper",Table1938[[#This Row],[Document Type]]="review")</f>
        <v>1</v>
      </c>
      <c r="Z363" s="2" t="b" cm="1">
        <f t="array" ref="Z363">SUMPRODUCT(--ISNUMBER(SEARCH({"dimensional analysis","dimensionless coefficients","Π","Pi","theorem","software","design","tools","development","architecture","similar"}, LOWER(Table1938[[#This Row],[Title]]))))&gt;0</f>
        <v>0</v>
      </c>
      <c r="AA363" s="2" t="b" cm="1">
        <f t="array" ref="AA363">SUMPRODUCT(--ISNUMBER(SEARCH({"dimensional analysis","dimensionless coefficients","Π","Pi","theorem","software","design","tools","development","architecture","similar"}, LOWER(Table1938[[#This Row],[Abstract]]))))&gt;0</f>
        <v>1</v>
      </c>
      <c r="AB363" s="2" t="b">
        <f>AND(OR(Table1938[[#This Row],[IC-01 @2024]:[IC-01 @2020]])=TRUE,Table1938[[#This Row],[IC-02]]=TRUE,Table1938[[#This Row],[IC-03]]=TRUE,Table1938[[#This Row],[IC-04]]=TRUE,Table1938[[#This Row],[IC-05]]=TRUE)</f>
        <v>0</v>
      </c>
      <c r="AC363" s="2" t="b">
        <f>AND(Table1938[[#This Row],[Pass-IC]]=TRUE,Table1938[[#This Row],[Pass-EC]]=TRUE)</f>
        <v>0</v>
      </c>
      <c r="AD363" s="2" t="b">
        <f>COUNTIF($D$25:D363, Table1938[[#This Row],[Title]]) = 1</f>
        <v>1</v>
      </c>
      <c r="AE363" s="2" t="b">
        <f>AND(Table1938[[#This Row],[IC + EC]:[Unique]])</f>
        <v>0</v>
      </c>
      <c r="AF363" s="2" t="b">
        <v>0</v>
      </c>
      <c r="AG363" s="2" t="b">
        <v>0</v>
      </c>
      <c r="AH363" s="2" t="b">
        <v>0</v>
      </c>
      <c r="AI363" s="2" t="b">
        <f>IF(AND(Table1938[[#This Row],[Double Check]]=TRUE,Table1938[[#This Row],[Inspected]]=TRUE,Table1938[[#This Row],[Relevant]]=TRUE),TRUE,FALSE)</f>
        <v>0</v>
      </c>
    </row>
    <row r="364" spans="1:35" ht="57.35" x14ac:dyDescent="0.5">
      <c r="A364" s="2">
        <v>363</v>
      </c>
      <c r="B364" s="20" t="s">
        <v>3</v>
      </c>
      <c r="C364" s="20" t="s">
        <v>3461</v>
      </c>
      <c r="D364" s="20" t="s">
        <v>1717</v>
      </c>
      <c r="E364" s="20" t="s">
        <v>1716</v>
      </c>
      <c r="F364" s="2" t="s">
        <v>1719</v>
      </c>
      <c r="G364" s="20" t="s">
        <v>941</v>
      </c>
      <c r="H364" s="36">
        <v>45397</v>
      </c>
      <c r="I364" s="20">
        <v>2024</v>
      </c>
      <c r="J364" s="20" t="s">
        <v>61</v>
      </c>
      <c r="K364" s="20" t="s">
        <v>3462</v>
      </c>
      <c r="L364" s="20" t="s">
        <v>2515</v>
      </c>
      <c r="M364" s="20" t="s">
        <v>1718</v>
      </c>
      <c r="N364" s="20" t="b">
        <v>1</v>
      </c>
      <c r="O364" s="2" t="b">
        <f>IF(Table1938[[#This Row],[Title]]="",TRUE,FALSE)</f>
        <v>0</v>
      </c>
      <c r="P364" s="2" t="b">
        <f>IF(Table1938[[#This Row],[Author]]="",TRUE,FALSE)</f>
        <v>0</v>
      </c>
      <c r="Q364" s="2" t="b">
        <f>IF(Table1938[[#This Row],[DOI]]&lt;&gt;"", FALSE,TRUE)</f>
        <v>0</v>
      </c>
      <c r="R364" s="2" t="b">
        <f>IF(Table1938[[#This Row],[Abstract]]="",TRUE,FALSE)</f>
        <v>0</v>
      </c>
      <c r="S364" s="2" t="b">
        <f>IF(OR(Table1938[[#This Row],[Document Type]]="book",Table1938[[#This Row],[Document Type]]="bookSection"),TRUE,FALSE)</f>
        <v>0</v>
      </c>
      <c r="T364" s="2" t="b">
        <f>NOT(IF(OR(Table1938[[#This Row],[Language]]&lt;&gt;"en",Table1938[[#This Row],[Language]]&lt;&gt;"EN",Table1938[[#This Row],[Language]]&lt;&gt;"spa",Table1938[[#This Row],[Language]]&lt;&gt;"SPA"),TRUE,FALSE))</f>
        <v>0</v>
      </c>
      <c r="U364" s="2" t="b">
        <f>IF(AND(Table1938[[#This Row],[EC-01]]=FALSE,Table1938[[#This Row],[EC-02]]=FALSE,Table1938[[#This Row],[EC-03]]=FALSE,Table1938[[#This Row],[EC-04]]=FALSE,Table1938[[#This Row],[EC-05]]=FALSE,Table1938[[#This Row],[EC-06]]=FALSE),TRUE,FALSE)</f>
        <v>1</v>
      </c>
      <c r="V364" s="2" t="b">
        <f>IF(Table1938[[#This Row],[Date]]&lt;&gt;"",AND(YEAR(Table1938[[#This Row],[Date]])&gt;=2010, YEAR(Table1938[[#This Row],[Date]])&lt;=2024),FALSE)</f>
        <v>1</v>
      </c>
      <c r="W364" s="2" t="b">
        <f>IF(Table1938[[#This Row],[Date]]&lt;&gt;"",AND(YEAR(Table1938[[#This Row],[Date]])&gt;=2010, YEAR(Table1938[[#This Row],[Date]])&lt;=2020),FALSE)</f>
        <v>0</v>
      </c>
      <c r="X364" s="2" t="b">
        <f>IF(AND(Table1938[[#This Row],[Accesible]]=TRUE,Table1938[[#This Row],[DOI]]&lt;&gt;""),TRUE,FALSE)</f>
        <v>1</v>
      </c>
      <c r="Y364" s="2" t="b">
        <f>OR(Table1938[[#This Row],[Document Type]]="journalArticle",Table1938[[#This Row],[Document Type]]="conferencePaper",Table1938[[#This Row],[Document Type]]="review")</f>
        <v>1</v>
      </c>
      <c r="Z364" s="2" t="b" cm="1">
        <f t="array" ref="Z364">SUMPRODUCT(--ISNUMBER(SEARCH({"dimensional analysis","dimensionless coefficients","Π","Pi","theorem","software","design","tools","development","architecture","similar"}, LOWER(Table1938[[#This Row],[Title]]))))&gt;0</f>
        <v>0</v>
      </c>
      <c r="AA364" s="2" t="b" cm="1">
        <f t="array" ref="AA364">SUMPRODUCT(--ISNUMBER(SEARCH({"dimensional analysis","dimensionless coefficients","Π","Pi","theorem","software","design","tools","development","architecture","similar"}, LOWER(Table1938[[#This Row],[Abstract]]))))&gt;0</f>
        <v>0</v>
      </c>
      <c r="AB364" s="2" t="b">
        <f>AND(OR(Table1938[[#This Row],[IC-01 @2024]:[IC-01 @2020]])=TRUE,Table1938[[#This Row],[IC-02]]=TRUE,Table1938[[#This Row],[IC-03]]=TRUE,Table1938[[#This Row],[IC-04]]=TRUE,Table1938[[#This Row],[IC-05]]=TRUE)</f>
        <v>0</v>
      </c>
      <c r="AC364" s="2" t="b">
        <f>AND(Table1938[[#This Row],[Pass-IC]]=TRUE,Table1938[[#This Row],[Pass-EC]]=TRUE)</f>
        <v>0</v>
      </c>
      <c r="AD364" s="2" t="b">
        <f>COUNTIF($D$25:D364, Table1938[[#This Row],[Title]]) = 1</f>
        <v>1</v>
      </c>
      <c r="AE364" s="2" t="b">
        <f>AND(Table1938[[#This Row],[IC + EC]:[Unique]])</f>
        <v>0</v>
      </c>
      <c r="AF364" s="2" t="b">
        <v>0</v>
      </c>
      <c r="AG364" s="2" t="b">
        <v>0</v>
      </c>
      <c r="AH364" s="2" t="b">
        <v>0</v>
      </c>
      <c r="AI364" s="2" t="b">
        <f>IF(AND(Table1938[[#This Row],[Double Check]]=TRUE,Table1938[[#This Row],[Inspected]]=TRUE,Table1938[[#This Row],[Relevant]]=TRUE),TRUE,FALSE)</f>
        <v>0</v>
      </c>
    </row>
    <row r="365" spans="1:35" ht="71.7" x14ac:dyDescent="0.5">
      <c r="A365" s="2">
        <v>364</v>
      </c>
      <c r="B365" s="20" t="s">
        <v>3</v>
      </c>
      <c r="C365" s="20" t="s">
        <v>3463</v>
      </c>
      <c r="D365" s="20" t="s">
        <v>1365</v>
      </c>
      <c r="E365" s="20" t="s">
        <v>1364</v>
      </c>
      <c r="F365" s="2" t="s">
        <v>1367</v>
      </c>
      <c r="G365" s="20" t="s">
        <v>954</v>
      </c>
      <c r="H365" s="36">
        <v>45601</v>
      </c>
      <c r="I365" s="20">
        <v>2024</v>
      </c>
      <c r="J365" s="20" t="s">
        <v>61</v>
      </c>
      <c r="K365" s="20" t="s">
        <v>3464</v>
      </c>
      <c r="L365" s="20" t="s">
        <v>2515</v>
      </c>
      <c r="M365" s="20" t="s">
        <v>1366</v>
      </c>
      <c r="N365" s="20" t="b">
        <v>1</v>
      </c>
      <c r="O365" s="2" t="b">
        <f>IF(Table1938[[#This Row],[Title]]="",TRUE,FALSE)</f>
        <v>0</v>
      </c>
      <c r="P365" s="2" t="b">
        <f>IF(Table1938[[#This Row],[Author]]="",TRUE,FALSE)</f>
        <v>0</v>
      </c>
      <c r="Q365" s="2" t="b">
        <f>IF(Table1938[[#This Row],[DOI]]&lt;&gt;"", FALSE,TRUE)</f>
        <v>0</v>
      </c>
      <c r="R365" s="2" t="b">
        <f>IF(Table1938[[#This Row],[Abstract]]="",TRUE,FALSE)</f>
        <v>0</v>
      </c>
      <c r="S365" s="2" t="b">
        <f>IF(OR(Table1938[[#This Row],[Document Type]]="book",Table1938[[#This Row],[Document Type]]="bookSection"),TRUE,FALSE)</f>
        <v>0</v>
      </c>
      <c r="T365" s="2" t="b">
        <f>NOT(IF(OR(Table1938[[#This Row],[Language]]&lt;&gt;"en",Table1938[[#This Row],[Language]]&lt;&gt;"EN",Table1938[[#This Row],[Language]]&lt;&gt;"spa",Table1938[[#This Row],[Language]]&lt;&gt;"SPA"),TRUE,FALSE))</f>
        <v>0</v>
      </c>
      <c r="U365" s="2" t="b">
        <f>IF(AND(Table1938[[#This Row],[EC-01]]=FALSE,Table1938[[#This Row],[EC-02]]=FALSE,Table1938[[#This Row],[EC-03]]=FALSE,Table1938[[#This Row],[EC-04]]=FALSE,Table1938[[#This Row],[EC-05]]=FALSE,Table1938[[#This Row],[EC-06]]=FALSE),TRUE,FALSE)</f>
        <v>1</v>
      </c>
      <c r="V365" s="2" t="b">
        <f>IF(Table1938[[#This Row],[Date]]&lt;&gt;"",AND(YEAR(Table1938[[#This Row],[Date]])&gt;=2010, YEAR(Table1938[[#This Row],[Date]])&lt;=2024),FALSE)</f>
        <v>1</v>
      </c>
      <c r="W365" s="2" t="b">
        <f>IF(Table1938[[#This Row],[Date]]&lt;&gt;"",AND(YEAR(Table1938[[#This Row],[Date]])&gt;=2010, YEAR(Table1938[[#This Row],[Date]])&lt;=2020),FALSE)</f>
        <v>0</v>
      </c>
      <c r="X365" s="2" t="b">
        <f>IF(AND(Table1938[[#This Row],[Accesible]]=TRUE,Table1938[[#This Row],[DOI]]&lt;&gt;""),TRUE,FALSE)</f>
        <v>1</v>
      </c>
      <c r="Y365" s="2" t="b">
        <f>OR(Table1938[[#This Row],[Document Type]]="journalArticle",Table1938[[#This Row],[Document Type]]="conferencePaper",Table1938[[#This Row],[Document Type]]="review")</f>
        <v>1</v>
      </c>
      <c r="Z365" s="2" t="b" cm="1">
        <f t="array" ref="Z365">SUMPRODUCT(--ISNUMBER(SEARCH({"dimensional analysis","dimensionless coefficients","Π","Pi","theorem","software","design","tools","development","architecture","similar"}, LOWER(Table1938[[#This Row],[Title]]))))&gt;0</f>
        <v>1</v>
      </c>
      <c r="AA365" s="2" t="b" cm="1">
        <f t="array" ref="AA365">SUMPRODUCT(--ISNUMBER(SEARCH({"dimensional analysis","dimensionless coefficients","Π","Pi","theorem","software","design","tools","development","architecture","similar"}, LOWER(Table1938[[#This Row],[Abstract]]))))&gt;0</f>
        <v>1</v>
      </c>
      <c r="AB365" s="2" t="b">
        <f>AND(OR(Table1938[[#This Row],[IC-01 @2024]:[IC-01 @2020]])=TRUE,Table1938[[#This Row],[IC-02]]=TRUE,Table1938[[#This Row],[IC-03]]=TRUE,Table1938[[#This Row],[IC-04]]=TRUE,Table1938[[#This Row],[IC-05]]=TRUE)</f>
        <v>1</v>
      </c>
      <c r="AC365" s="2" t="b">
        <f>AND(Table1938[[#This Row],[Pass-IC]]=TRUE,Table1938[[#This Row],[Pass-EC]]=TRUE)</f>
        <v>1</v>
      </c>
      <c r="AD365" s="2" t="b">
        <f>COUNTIF($D$25:D365, Table1938[[#This Row],[Title]]) = 1</f>
        <v>1</v>
      </c>
      <c r="AE365" s="2" t="b">
        <f>AND(Table1938[[#This Row],[IC + EC]:[Unique]])</f>
        <v>1</v>
      </c>
      <c r="AF365" s="2" t="b">
        <v>1</v>
      </c>
      <c r="AG365" s="2" t="b">
        <v>0</v>
      </c>
      <c r="AH365" s="2" t="b">
        <v>0</v>
      </c>
      <c r="AI365" s="2" t="b">
        <f>IF(AND(Table1938[[#This Row],[Double Check]]=TRUE,Table1938[[#This Row],[Inspected]]=TRUE,Table1938[[#This Row],[Relevant]]=TRUE),TRUE,FALSE)</f>
        <v>0</v>
      </c>
    </row>
    <row r="366" spans="1:35" ht="57.35" x14ac:dyDescent="0.5">
      <c r="A366" s="2">
        <v>365</v>
      </c>
      <c r="B366" s="20" t="s">
        <v>3</v>
      </c>
      <c r="C366" s="20" t="s">
        <v>3465</v>
      </c>
      <c r="D366" s="20" t="s">
        <v>1369</v>
      </c>
      <c r="E366" s="20" t="s">
        <v>1368</v>
      </c>
      <c r="F366" s="2" t="s">
        <v>1371</v>
      </c>
      <c r="G366" s="20" t="s">
        <v>1113</v>
      </c>
      <c r="H366" s="36">
        <v>42705</v>
      </c>
      <c r="I366" s="20">
        <v>2016</v>
      </c>
      <c r="J366" s="20" t="s">
        <v>61</v>
      </c>
      <c r="K366" s="20" t="s">
        <v>3466</v>
      </c>
      <c r="L366" s="20" t="s">
        <v>2515</v>
      </c>
      <c r="M366" s="20" t="s">
        <v>1370</v>
      </c>
      <c r="N366" s="20" t="b">
        <v>1</v>
      </c>
      <c r="O366" s="2" t="b">
        <f>IF(Table1938[[#This Row],[Title]]="",TRUE,FALSE)</f>
        <v>0</v>
      </c>
      <c r="P366" s="2" t="b">
        <f>IF(Table1938[[#This Row],[Author]]="",TRUE,FALSE)</f>
        <v>0</v>
      </c>
      <c r="Q366" s="2" t="b">
        <f>IF(Table1938[[#This Row],[DOI]]&lt;&gt;"", FALSE,TRUE)</f>
        <v>0</v>
      </c>
      <c r="R366" s="2" t="b">
        <f>IF(Table1938[[#This Row],[Abstract]]="",TRUE,FALSE)</f>
        <v>0</v>
      </c>
      <c r="S366" s="2" t="b">
        <f>IF(OR(Table1938[[#This Row],[Document Type]]="book",Table1938[[#This Row],[Document Type]]="bookSection"),TRUE,FALSE)</f>
        <v>0</v>
      </c>
      <c r="T366" s="2" t="b">
        <f>NOT(IF(OR(Table1938[[#This Row],[Language]]&lt;&gt;"en",Table1938[[#This Row],[Language]]&lt;&gt;"EN",Table1938[[#This Row],[Language]]&lt;&gt;"spa",Table1938[[#This Row],[Language]]&lt;&gt;"SPA"),TRUE,FALSE))</f>
        <v>0</v>
      </c>
      <c r="U366" s="2" t="b">
        <f>IF(AND(Table1938[[#This Row],[EC-01]]=FALSE,Table1938[[#This Row],[EC-02]]=FALSE,Table1938[[#This Row],[EC-03]]=FALSE,Table1938[[#This Row],[EC-04]]=FALSE,Table1938[[#This Row],[EC-05]]=FALSE,Table1938[[#This Row],[EC-06]]=FALSE),TRUE,FALSE)</f>
        <v>1</v>
      </c>
      <c r="V366" s="2" t="b">
        <f>IF(Table1938[[#This Row],[Date]]&lt;&gt;"",AND(YEAR(Table1938[[#This Row],[Date]])&gt;=2010, YEAR(Table1938[[#This Row],[Date]])&lt;=2024),FALSE)</f>
        <v>1</v>
      </c>
      <c r="W366" s="2" t="b">
        <f>IF(Table1938[[#This Row],[Date]]&lt;&gt;"",AND(YEAR(Table1938[[#This Row],[Date]])&gt;=2010, YEAR(Table1938[[#This Row],[Date]])&lt;=2020),FALSE)</f>
        <v>1</v>
      </c>
      <c r="X366" s="2" t="b">
        <f>IF(AND(Table1938[[#This Row],[Accesible]]=TRUE,Table1938[[#This Row],[DOI]]&lt;&gt;""),TRUE,FALSE)</f>
        <v>1</v>
      </c>
      <c r="Y366" s="2" t="b">
        <f>OR(Table1938[[#This Row],[Document Type]]="journalArticle",Table1938[[#This Row],[Document Type]]="conferencePaper",Table1938[[#This Row],[Document Type]]="review")</f>
        <v>1</v>
      </c>
      <c r="Z366" s="2" t="b" cm="1">
        <f t="array" ref="Z366">SUMPRODUCT(--ISNUMBER(SEARCH({"dimensional analysis","dimensionless coefficients","Π","Pi","theorem","software","design","tools","development","architecture","similar"}, LOWER(Table1938[[#This Row],[Title]]))))&gt;0</f>
        <v>1</v>
      </c>
      <c r="AA366" s="2" t="b" cm="1">
        <f t="array" ref="AA366">SUMPRODUCT(--ISNUMBER(SEARCH({"dimensional analysis","dimensionless coefficients","Π","Pi","theorem","software","design","tools","development","architecture","similar"}, LOWER(Table1938[[#This Row],[Abstract]]))))&gt;0</f>
        <v>1</v>
      </c>
      <c r="AB366" s="2" t="b">
        <f>AND(OR(Table1938[[#This Row],[IC-01 @2024]:[IC-01 @2020]])=TRUE,Table1938[[#This Row],[IC-02]]=TRUE,Table1938[[#This Row],[IC-03]]=TRUE,Table1938[[#This Row],[IC-04]]=TRUE,Table1938[[#This Row],[IC-05]]=TRUE)</f>
        <v>1</v>
      </c>
      <c r="AC366" s="2" t="b">
        <f>AND(Table1938[[#This Row],[Pass-IC]]=TRUE,Table1938[[#This Row],[Pass-EC]]=TRUE)</f>
        <v>1</v>
      </c>
      <c r="AD366" s="2" t="b">
        <f>COUNTIF($D$25:D366, Table1938[[#This Row],[Title]]) = 1</f>
        <v>1</v>
      </c>
      <c r="AE366" s="2" t="b">
        <f>AND(Table1938[[#This Row],[IC + EC]:[Unique]])</f>
        <v>1</v>
      </c>
      <c r="AF366" s="2" t="b">
        <v>1</v>
      </c>
      <c r="AG366" s="2" t="b">
        <v>0</v>
      </c>
      <c r="AH366" s="2" t="b">
        <v>0</v>
      </c>
      <c r="AI366" s="2" t="b">
        <f>IF(AND(Table1938[[#This Row],[Double Check]]=TRUE,Table1938[[#This Row],[Inspected]]=TRUE,Table1938[[#This Row],[Relevant]]=TRUE),TRUE,FALSE)</f>
        <v>0</v>
      </c>
    </row>
    <row r="367" spans="1:35" ht="28.7" x14ac:dyDescent="0.5">
      <c r="A367" s="2">
        <v>366</v>
      </c>
      <c r="B367" s="20" t="s">
        <v>3</v>
      </c>
      <c r="C367" s="20" t="s">
        <v>3467</v>
      </c>
      <c r="D367" s="20" t="s">
        <v>2240</v>
      </c>
      <c r="E367" s="20" t="s">
        <v>2239</v>
      </c>
      <c r="F367" s="2" t="s">
        <v>2242</v>
      </c>
      <c r="G367" s="20" t="s">
        <v>1014</v>
      </c>
      <c r="H367" s="36">
        <v>41883</v>
      </c>
      <c r="I367" s="20">
        <v>2014</v>
      </c>
      <c r="J367" s="20" t="s">
        <v>61</v>
      </c>
      <c r="K367" s="20" t="s">
        <v>3468</v>
      </c>
      <c r="L367" s="20" t="s">
        <v>2515</v>
      </c>
      <c r="M367" s="20" t="s">
        <v>2241</v>
      </c>
      <c r="N367" s="20" t="b">
        <v>1</v>
      </c>
      <c r="O367" s="2" t="b">
        <f>IF(Table1938[[#This Row],[Title]]="",TRUE,FALSE)</f>
        <v>0</v>
      </c>
      <c r="P367" s="2" t="b">
        <f>IF(Table1938[[#This Row],[Author]]="",TRUE,FALSE)</f>
        <v>0</v>
      </c>
      <c r="Q367" s="2" t="b">
        <f>IF(Table1938[[#This Row],[DOI]]&lt;&gt;"", FALSE,TRUE)</f>
        <v>0</v>
      </c>
      <c r="R367" s="2" t="b">
        <f>IF(Table1938[[#This Row],[Abstract]]="",TRUE,FALSE)</f>
        <v>0</v>
      </c>
      <c r="S367" s="2" t="b">
        <f>IF(OR(Table1938[[#This Row],[Document Type]]="book",Table1938[[#This Row],[Document Type]]="bookSection"),TRUE,FALSE)</f>
        <v>0</v>
      </c>
      <c r="T367" s="2" t="b">
        <f>NOT(IF(OR(Table1938[[#This Row],[Language]]&lt;&gt;"en",Table1938[[#This Row],[Language]]&lt;&gt;"EN",Table1938[[#This Row],[Language]]&lt;&gt;"spa",Table1938[[#This Row],[Language]]&lt;&gt;"SPA"),TRUE,FALSE))</f>
        <v>0</v>
      </c>
      <c r="U367" s="2" t="b">
        <f>IF(AND(Table1938[[#This Row],[EC-01]]=FALSE,Table1938[[#This Row],[EC-02]]=FALSE,Table1938[[#This Row],[EC-03]]=FALSE,Table1938[[#This Row],[EC-04]]=FALSE,Table1938[[#This Row],[EC-05]]=FALSE,Table1938[[#This Row],[EC-06]]=FALSE),TRUE,FALSE)</f>
        <v>1</v>
      </c>
      <c r="V367" s="2" t="b">
        <f>IF(Table1938[[#This Row],[Date]]&lt;&gt;"",AND(YEAR(Table1938[[#This Row],[Date]])&gt;=2010, YEAR(Table1938[[#This Row],[Date]])&lt;=2024),FALSE)</f>
        <v>1</v>
      </c>
      <c r="W367" s="2" t="b">
        <f>IF(Table1938[[#This Row],[Date]]&lt;&gt;"",AND(YEAR(Table1938[[#This Row],[Date]])&gt;=2010, YEAR(Table1938[[#This Row],[Date]])&lt;=2020),FALSE)</f>
        <v>1</v>
      </c>
      <c r="X367" s="2" t="b">
        <f>IF(AND(Table1938[[#This Row],[Accesible]]=TRUE,Table1938[[#This Row],[DOI]]&lt;&gt;""),TRUE,FALSE)</f>
        <v>1</v>
      </c>
      <c r="Y367" s="2" t="b">
        <f>OR(Table1938[[#This Row],[Document Type]]="journalArticle",Table1938[[#This Row],[Document Type]]="conferencePaper",Table1938[[#This Row],[Document Type]]="review")</f>
        <v>1</v>
      </c>
      <c r="Z367" s="2" t="b" cm="1">
        <f t="array" ref="Z367">SUMPRODUCT(--ISNUMBER(SEARCH({"dimensional analysis","dimensionless coefficients","Π","Pi","theorem","software","design","tools","development","architecture","similar"}, LOWER(Table1938[[#This Row],[Title]]))))&gt;0</f>
        <v>0</v>
      </c>
      <c r="AA367" s="2" t="b" cm="1">
        <f t="array" ref="AA367">SUMPRODUCT(--ISNUMBER(SEARCH({"dimensional analysis","dimensionless coefficients","Π","Pi","theorem","software","design","tools","development","architecture","similar"}, LOWER(Table1938[[#This Row],[Abstract]]))))&gt;0</f>
        <v>1</v>
      </c>
      <c r="AB367" s="2" t="b">
        <f>AND(OR(Table1938[[#This Row],[IC-01 @2024]:[IC-01 @2020]])=TRUE,Table1938[[#This Row],[IC-02]]=TRUE,Table1938[[#This Row],[IC-03]]=TRUE,Table1938[[#This Row],[IC-04]]=TRUE,Table1938[[#This Row],[IC-05]]=TRUE)</f>
        <v>0</v>
      </c>
      <c r="AC367" s="2" t="b">
        <f>AND(Table1938[[#This Row],[Pass-IC]]=TRUE,Table1938[[#This Row],[Pass-EC]]=TRUE)</f>
        <v>0</v>
      </c>
      <c r="AD367" s="2" t="b">
        <f>COUNTIF($D$25:D367, Table1938[[#This Row],[Title]]) = 1</f>
        <v>1</v>
      </c>
      <c r="AE367" s="2" t="b">
        <f>AND(Table1938[[#This Row],[IC + EC]:[Unique]])</f>
        <v>0</v>
      </c>
      <c r="AF367" s="2" t="b">
        <v>0</v>
      </c>
      <c r="AG367" s="2" t="b">
        <v>0</v>
      </c>
      <c r="AH367" s="2" t="b">
        <v>0</v>
      </c>
      <c r="AI367" s="2" t="b">
        <f>IF(AND(Table1938[[#This Row],[Double Check]]=TRUE,Table1938[[#This Row],[Inspected]]=TRUE,Table1938[[#This Row],[Relevant]]=TRUE),TRUE,FALSE)</f>
        <v>0</v>
      </c>
    </row>
    <row r="368" spans="1:35" ht="57.35" x14ac:dyDescent="0.5">
      <c r="A368" s="2">
        <v>367</v>
      </c>
      <c r="B368" s="20" t="s">
        <v>3</v>
      </c>
      <c r="C368" s="20" t="s">
        <v>3469</v>
      </c>
      <c r="D368" s="20" t="s">
        <v>1611</v>
      </c>
      <c r="E368" s="20" t="s">
        <v>1610</v>
      </c>
      <c r="F368" s="2" t="s">
        <v>1613</v>
      </c>
      <c r="G368" s="20" t="s">
        <v>996</v>
      </c>
      <c r="H368" s="36">
        <v>45627</v>
      </c>
      <c r="I368" s="20">
        <v>2024</v>
      </c>
      <c r="J368" s="20" t="s">
        <v>61</v>
      </c>
      <c r="K368" s="20" t="s">
        <v>3470</v>
      </c>
      <c r="L368" s="20" t="s">
        <v>2515</v>
      </c>
      <c r="M368" s="20" t="s">
        <v>1612</v>
      </c>
      <c r="N368" s="20" t="b">
        <v>1</v>
      </c>
      <c r="O368" s="2" t="b">
        <f>IF(Table1938[[#This Row],[Title]]="",TRUE,FALSE)</f>
        <v>0</v>
      </c>
      <c r="P368" s="2" t="b">
        <f>IF(Table1938[[#This Row],[Author]]="",TRUE,FALSE)</f>
        <v>0</v>
      </c>
      <c r="Q368" s="2" t="b">
        <f>IF(Table1938[[#This Row],[DOI]]&lt;&gt;"", FALSE,TRUE)</f>
        <v>0</v>
      </c>
      <c r="R368" s="2" t="b">
        <f>IF(Table1938[[#This Row],[Abstract]]="",TRUE,FALSE)</f>
        <v>0</v>
      </c>
      <c r="S368" s="2" t="b">
        <f>IF(OR(Table1938[[#This Row],[Document Type]]="book",Table1938[[#This Row],[Document Type]]="bookSection"),TRUE,FALSE)</f>
        <v>0</v>
      </c>
      <c r="T368" s="2" t="b">
        <f>NOT(IF(OR(Table1938[[#This Row],[Language]]&lt;&gt;"en",Table1938[[#This Row],[Language]]&lt;&gt;"EN",Table1938[[#This Row],[Language]]&lt;&gt;"spa",Table1938[[#This Row],[Language]]&lt;&gt;"SPA"),TRUE,FALSE))</f>
        <v>0</v>
      </c>
      <c r="U368" s="2" t="b">
        <f>IF(AND(Table1938[[#This Row],[EC-01]]=FALSE,Table1938[[#This Row],[EC-02]]=FALSE,Table1938[[#This Row],[EC-03]]=FALSE,Table1938[[#This Row],[EC-04]]=FALSE,Table1938[[#This Row],[EC-05]]=FALSE,Table1938[[#This Row],[EC-06]]=FALSE),TRUE,FALSE)</f>
        <v>1</v>
      </c>
      <c r="V368" s="2" t="b">
        <f>IF(Table1938[[#This Row],[Date]]&lt;&gt;"",AND(YEAR(Table1938[[#This Row],[Date]])&gt;=2010, YEAR(Table1938[[#This Row],[Date]])&lt;=2024),FALSE)</f>
        <v>1</v>
      </c>
      <c r="W368" s="2" t="b">
        <f>IF(Table1938[[#This Row],[Date]]&lt;&gt;"",AND(YEAR(Table1938[[#This Row],[Date]])&gt;=2010, YEAR(Table1938[[#This Row],[Date]])&lt;=2020),FALSE)</f>
        <v>0</v>
      </c>
      <c r="X368" s="2" t="b">
        <f>IF(AND(Table1938[[#This Row],[Accesible]]=TRUE,Table1938[[#This Row],[DOI]]&lt;&gt;""),TRUE,FALSE)</f>
        <v>1</v>
      </c>
      <c r="Y368" s="2" t="b">
        <f>OR(Table1938[[#This Row],[Document Type]]="journalArticle",Table1938[[#This Row],[Document Type]]="conferencePaper",Table1938[[#This Row],[Document Type]]="review")</f>
        <v>1</v>
      </c>
      <c r="Z368" s="2" t="b" cm="1">
        <f t="array" ref="Z368">SUMPRODUCT(--ISNUMBER(SEARCH({"dimensional analysis","dimensionless coefficients","Π","Pi","theorem","software","design","tools","development","architecture","similar"}, LOWER(Table1938[[#This Row],[Title]]))))&gt;0</f>
        <v>0</v>
      </c>
      <c r="AA368" s="2" t="b" cm="1">
        <f t="array" ref="AA368">SUMPRODUCT(--ISNUMBER(SEARCH({"dimensional analysis","dimensionless coefficients","Π","Pi","theorem","software","design","tools","development","architecture","similar"}, LOWER(Table1938[[#This Row],[Abstract]]))))&gt;0</f>
        <v>0</v>
      </c>
      <c r="AB368" s="2" t="b">
        <f>AND(OR(Table1938[[#This Row],[IC-01 @2024]:[IC-01 @2020]])=TRUE,Table1938[[#This Row],[IC-02]]=TRUE,Table1938[[#This Row],[IC-03]]=TRUE,Table1938[[#This Row],[IC-04]]=TRUE,Table1938[[#This Row],[IC-05]]=TRUE)</f>
        <v>0</v>
      </c>
      <c r="AC368" s="2" t="b">
        <f>AND(Table1938[[#This Row],[Pass-IC]]=TRUE,Table1938[[#This Row],[Pass-EC]]=TRUE)</f>
        <v>0</v>
      </c>
      <c r="AD368" s="2" t="b">
        <f>COUNTIF($D$25:D368, Table1938[[#This Row],[Title]]) = 1</f>
        <v>1</v>
      </c>
      <c r="AE368" s="2" t="b">
        <f>AND(Table1938[[#This Row],[IC + EC]:[Unique]])</f>
        <v>0</v>
      </c>
      <c r="AF368" s="2" t="b">
        <v>0</v>
      </c>
      <c r="AG368" s="2" t="b">
        <v>0</v>
      </c>
      <c r="AH368" s="2" t="b">
        <v>0</v>
      </c>
      <c r="AI368" s="2" t="b">
        <f>IF(AND(Table1938[[#This Row],[Double Check]]=TRUE,Table1938[[#This Row],[Inspected]]=TRUE,Table1938[[#This Row],[Relevant]]=TRUE),TRUE,FALSE)</f>
        <v>0</v>
      </c>
    </row>
    <row r="369" spans="1:35" ht="71.7" x14ac:dyDescent="0.5">
      <c r="A369" s="2">
        <v>368</v>
      </c>
      <c r="B369" s="20" t="s">
        <v>3</v>
      </c>
      <c r="C369" s="20" t="s">
        <v>3471</v>
      </c>
      <c r="D369" s="20" t="s">
        <v>1905</v>
      </c>
      <c r="E369" s="20" t="s">
        <v>1904</v>
      </c>
      <c r="F369" s="2" t="s">
        <v>1907</v>
      </c>
      <c r="G369" s="20" t="s">
        <v>1113</v>
      </c>
      <c r="H369" s="36">
        <v>45245</v>
      </c>
      <c r="I369" s="20">
        <v>2023</v>
      </c>
      <c r="J369" s="20" t="s">
        <v>61</v>
      </c>
      <c r="K369" s="20" t="s">
        <v>3472</v>
      </c>
      <c r="L369" s="20" t="s">
        <v>2515</v>
      </c>
      <c r="M369" s="20" t="s">
        <v>1906</v>
      </c>
      <c r="N369" s="20" t="b">
        <v>1</v>
      </c>
      <c r="O369" s="2" t="b">
        <f>IF(Table1938[[#This Row],[Title]]="",TRUE,FALSE)</f>
        <v>0</v>
      </c>
      <c r="P369" s="2" t="b">
        <f>IF(Table1938[[#This Row],[Author]]="",TRUE,FALSE)</f>
        <v>0</v>
      </c>
      <c r="Q369" s="2" t="b">
        <f>IF(Table1938[[#This Row],[DOI]]&lt;&gt;"", FALSE,TRUE)</f>
        <v>0</v>
      </c>
      <c r="R369" s="2" t="b">
        <f>IF(Table1938[[#This Row],[Abstract]]="",TRUE,FALSE)</f>
        <v>0</v>
      </c>
      <c r="S369" s="2" t="b">
        <f>IF(OR(Table1938[[#This Row],[Document Type]]="book",Table1938[[#This Row],[Document Type]]="bookSection"),TRUE,FALSE)</f>
        <v>0</v>
      </c>
      <c r="T369" s="2" t="b">
        <f>NOT(IF(OR(Table1938[[#This Row],[Language]]&lt;&gt;"en",Table1938[[#This Row],[Language]]&lt;&gt;"EN",Table1938[[#This Row],[Language]]&lt;&gt;"spa",Table1938[[#This Row],[Language]]&lt;&gt;"SPA"),TRUE,FALSE))</f>
        <v>0</v>
      </c>
      <c r="U369" s="2" t="b">
        <f>IF(AND(Table1938[[#This Row],[EC-01]]=FALSE,Table1938[[#This Row],[EC-02]]=FALSE,Table1938[[#This Row],[EC-03]]=FALSE,Table1938[[#This Row],[EC-04]]=FALSE,Table1938[[#This Row],[EC-05]]=FALSE,Table1938[[#This Row],[EC-06]]=FALSE),TRUE,FALSE)</f>
        <v>1</v>
      </c>
      <c r="V369" s="2" t="b">
        <f>IF(Table1938[[#This Row],[Date]]&lt;&gt;"",AND(YEAR(Table1938[[#This Row],[Date]])&gt;=2010, YEAR(Table1938[[#This Row],[Date]])&lt;=2024),FALSE)</f>
        <v>1</v>
      </c>
      <c r="W369" s="2" t="b">
        <f>IF(Table1938[[#This Row],[Date]]&lt;&gt;"",AND(YEAR(Table1938[[#This Row],[Date]])&gt;=2010, YEAR(Table1938[[#This Row],[Date]])&lt;=2020),FALSE)</f>
        <v>0</v>
      </c>
      <c r="X369" s="2" t="b">
        <f>IF(AND(Table1938[[#This Row],[Accesible]]=TRUE,Table1938[[#This Row],[DOI]]&lt;&gt;""),TRUE,FALSE)</f>
        <v>1</v>
      </c>
      <c r="Y369" s="2" t="b">
        <f>OR(Table1938[[#This Row],[Document Type]]="journalArticle",Table1938[[#This Row],[Document Type]]="conferencePaper",Table1938[[#This Row],[Document Type]]="review")</f>
        <v>1</v>
      </c>
      <c r="Z369" s="2" t="b" cm="1">
        <f t="array" ref="Z369">SUMPRODUCT(--ISNUMBER(SEARCH({"dimensional analysis","dimensionless coefficients","Π","Pi","theorem","software","design","tools","development","architecture","similar"}, LOWER(Table1938[[#This Row],[Title]]))))&gt;0</f>
        <v>0</v>
      </c>
      <c r="AA369" s="2" t="b" cm="1">
        <f t="array" ref="AA369">SUMPRODUCT(--ISNUMBER(SEARCH({"dimensional analysis","dimensionless coefficients","Π","Pi","theorem","software","design","tools","development","architecture","similar"}, LOWER(Table1938[[#This Row],[Abstract]]))))&gt;0</f>
        <v>1</v>
      </c>
      <c r="AB369" s="2" t="b">
        <f>AND(OR(Table1938[[#This Row],[IC-01 @2024]:[IC-01 @2020]])=TRUE,Table1938[[#This Row],[IC-02]]=TRUE,Table1938[[#This Row],[IC-03]]=TRUE,Table1938[[#This Row],[IC-04]]=TRUE,Table1938[[#This Row],[IC-05]]=TRUE)</f>
        <v>0</v>
      </c>
      <c r="AC369" s="2" t="b">
        <f>AND(Table1938[[#This Row],[Pass-IC]]=TRUE,Table1938[[#This Row],[Pass-EC]]=TRUE)</f>
        <v>0</v>
      </c>
      <c r="AD369" s="2" t="b">
        <f>COUNTIF($D$25:D369, Table1938[[#This Row],[Title]]) = 1</f>
        <v>1</v>
      </c>
      <c r="AE369" s="2" t="b">
        <f>AND(Table1938[[#This Row],[IC + EC]:[Unique]])</f>
        <v>0</v>
      </c>
      <c r="AF369" s="2" t="b">
        <v>0</v>
      </c>
      <c r="AG369" s="2" t="b">
        <v>0</v>
      </c>
      <c r="AH369" s="2" t="b">
        <v>0</v>
      </c>
      <c r="AI369" s="2" t="b">
        <f>IF(AND(Table1938[[#This Row],[Double Check]]=TRUE,Table1938[[#This Row],[Inspected]]=TRUE,Table1938[[#This Row],[Relevant]]=TRUE),TRUE,FALSE)</f>
        <v>0</v>
      </c>
    </row>
    <row r="370" spans="1:35" ht="57.35" x14ac:dyDescent="0.5">
      <c r="A370" s="2">
        <v>369</v>
      </c>
      <c r="B370" s="20" t="s">
        <v>3</v>
      </c>
      <c r="C370" s="20" t="s">
        <v>3473</v>
      </c>
      <c r="D370" s="20" t="s">
        <v>2080</v>
      </c>
      <c r="E370" s="20" t="s">
        <v>2079</v>
      </c>
      <c r="F370" s="2" t="s">
        <v>2082</v>
      </c>
      <c r="G370" s="20" t="s">
        <v>1122</v>
      </c>
      <c r="H370" s="36">
        <v>43800</v>
      </c>
      <c r="I370" s="20">
        <v>2019</v>
      </c>
      <c r="J370" s="20" t="s">
        <v>61</v>
      </c>
      <c r="K370" s="20" t="s">
        <v>3474</v>
      </c>
      <c r="L370" s="20" t="s">
        <v>2515</v>
      </c>
      <c r="M370" s="20" t="s">
        <v>2081</v>
      </c>
      <c r="N370" s="20" t="b">
        <v>1</v>
      </c>
      <c r="O370" s="2" t="b">
        <f>IF(Table1938[[#This Row],[Title]]="",TRUE,FALSE)</f>
        <v>0</v>
      </c>
      <c r="P370" s="2" t="b">
        <f>IF(Table1938[[#This Row],[Author]]="",TRUE,FALSE)</f>
        <v>0</v>
      </c>
      <c r="Q370" s="2" t="b">
        <f>IF(Table1938[[#This Row],[DOI]]&lt;&gt;"", FALSE,TRUE)</f>
        <v>0</v>
      </c>
      <c r="R370" s="2" t="b">
        <f>IF(Table1938[[#This Row],[Abstract]]="",TRUE,FALSE)</f>
        <v>0</v>
      </c>
      <c r="S370" s="2" t="b">
        <f>IF(OR(Table1938[[#This Row],[Document Type]]="book",Table1938[[#This Row],[Document Type]]="bookSection"),TRUE,FALSE)</f>
        <v>0</v>
      </c>
      <c r="T370" s="2" t="b">
        <f>NOT(IF(OR(Table1938[[#This Row],[Language]]&lt;&gt;"en",Table1938[[#This Row],[Language]]&lt;&gt;"EN",Table1938[[#This Row],[Language]]&lt;&gt;"spa",Table1938[[#This Row],[Language]]&lt;&gt;"SPA"),TRUE,FALSE))</f>
        <v>0</v>
      </c>
      <c r="U370" s="2" t="b">
        <f>IF(AND(Table1938[[#This Row],[EC-01]]=FALSE,Table1938[[#This Row],[EC-02]]=FALSE,Table1938[[#This Row],[EC-03]]=FALSE,Table1938[[#This Row],[EC-04]]=FALSE,Table1938[[#This Row],[EC-05]]=FALSE,Table1938[[#This Row],[EC-06]]=FALSE),TRUE,FALSE)</f>
        <v>1</v>
      </c>
      <c r="V370" s="2" t="b">
        <f>IF(Table1938[[#This Row],[Date]]&lt;&gt;"",AND(YEAR(Table1938[[#This Row],[Date]])&gt;=2010, YEAR(Table1938[[#This Row],[Date]])&lt;=2024),FALSE)</f>
        <v>1</v>
      </c>
      <c r="W370" s="2" t="b">
        <f>IF(Table1938[[#This Row],[Date]]&lt;&gt;"",AND(YEAR(Table1938[[#This Row],[Date]])&gt;=2010, YEAR(Table1938[[#This Row],[Date]])&lt;=2020),FALSE)</f>
        <v>1</v>
      </c>
      <c r="X370" s="2" t="b">
        <f>IF(AND(Table1938[[#This Row],[Accesible]]=TRUE,Table1938[[#This Row],[DOI]]&lt;&gt;""),TRUE,FALSE)</f>
        <v>1</v>
      </c>
      <c r="Y370" s="2" t="b">
        <f>OR(Table1938[[#This Row],[Document Type]]="journalArticle",Table1938[[#This Row],[Document Type]]="conferencePaper",Table1938[[#This Row],[Document Type]]="review")</f>
        <v>1</v>
      </c>
      <c r="Z370" s="2" t="b" cm="1">
        <f t="array" ref="Z370">SUMPRODUCT(--ISNUMBER(SEARCH({"dimensional analysis","dimensionless coefficients","Π","Pi","theorem","software","design","tools","development","architecture","similar"}, LOWER(Table1938[[#This Row],[Title]]))))&gt;0</f>
        <v>0</v>
      </c>
      <c r="AA370" s="2" t="b" cm="1">
        <f t="array" ref="AA370">SUMPRODUCT(--ISNUMBER(SEARCH({"dimensional analysis","dimensionless coefficients","Π","Pi","theorem","software","design","tools","development","architecture","similar"}, LOWER(Table1938[[#This Row],[Abstract]]))))&gt;0</f>
        <v>0</v>
      </c>
      <c r="AB370" s="2" t="b">
        <f>AND(OR(Table1938[[#This Row],[IC-01 @2024]:[IC-01 @2020]])=TRUE,Table1938[[#This Row],[IC-02]]=TRUE,Table1938[[#This Row],[IC-03]]=TRUE,Table1938[[#This Row],[IC-04]]=TRUE,Table1938[[#This Row],[IC-05]]=TRUE)</f>
        <v>0</v>
      </c>
      <c r="AC370" s="2" t="b">
        <f>AND(Table1938[[#This Row],[Pass-IC]]=TRUE,Table1938[[#This Row],[Pass-EC]]=TRUE)</f>
        <v>0</v>
      </c>
      <c r="AD370" s="2" t="b">
        <f>COUNTIF($D$25:D370, Table1938[[#This Row],[Title]]) = 1</f>
        <v>1</v>
      </c>
      <c r="AE370" s="2" t="b">
        <f>AND(Table1938[[#This Row],[IC + EC]:[Unique]])</f>
        <v>0</v>
      </c>
      <c r="AF370" s="2" t="b">
        <v>0</v>
      </c>
      <c r="AG370" s="2" t="b">
        <v>0</v>
      </c>
      <c r="AH370" s="2" t="b">
        <v>0</v>
      </c>
      <c r="AI370" s="2" t="b">
        <f>IF(AND(Table1938[[#This Row],[Double Check]]=TRUE,Table1938[[#This Row],[Inspected]]=TRUE,Table1938[[#This Row],[Relevant]]=TRUE),TRUE,FALSE)</f>
        <v>0</v>
      </c>
    </row>
    <row r="371" spans="1:35" ht="86" x14ac:dyDescent="0.5">
      <c r="A371" s="2">
        <v>370</v>
      </c>
      <c r="B371" s="20" t="s">
        <v>3</v>
      </c>
      <c r="C371" s="20" t="s">
        <v>3475</v>
      </c>
      <c r="D371" s="20" t="s">
        <v>1768</v>
      </c>
      <c r="E371" s="20" t="s">
        <v>1767</v>
      </c>
      <c r="F371" s="2" t="s">
        <v>1770</v>
      </c>
      <c r="G371" s="20" t="s">
        <v>1052</v>
      </c>
      <c r="H371" s="36">
        <v>45112</v>
      </c>
      <c r="I371" s="20">
        <v>2023</v>
      </c>
      <c r="J371" s="20" t="s">
        <v>61</v>
      </c>
      <c r="K371" s="20" t="s">
        <v>3476</v>
      </c>
      <c r="L371" s="20" t="s">
        <v>2515</v>
      </c>
      <c r="M371" s="20" t="s">
        <v>1769</v>
      </c>
      <c r="N371" s="20" t="b">
        <v>1</v>
      </c>
      <c r="O371" s="2" t="b">
        <f>IF(Table1938[[#This Row],[Title]]="",TRUE,FALSE)</f>
        <v>0</v>
      </c>
      <c r="P371" s="2" t="b">
        <f>IF(Table1938[[#This Row],[Author]]="",TRUE,FALSE)</f>
        <v>0</v>
      </c>
      <c r="Q371" s="2" t="b">
        <f>IF(Table1938[[#This Row],[DOI]]&lt;&gt;"", FALSE,TRUE)</f>
        <v>0</v>
      </c>
      <c r="R371" s="2" t="b">
        <f>IF(Table1938[[#This Row],[Abstract]]="",TRUE,FALSE)</f>
        <v>0</v>
      </c>
      <c r="S371" s="2" t="b">
        <f>IF(OR(Table1938[[#This Row],[Document Type]]="book",Table1938[[#This Row],[Document Type]]="bookSection"),TRUE,FALSE)</f>
        <v>0</v>
      </c>
      <c r="T371" s="2" t="b">
        <f>NOT(IF(OR(Table1938[[#This Row],[Language]]&lt;&gt;"en",Table1938[[#This Row],[Language]]&lt;&gt;"EN",Table1938[[#This Row],[Language]]&lt;&gt;"spa",Table1938[[#This Row],[Language]]&lt;&gt;"SPA"),TRUE,FALSE))</f>
        <v>0</v>
      </c>
      <c r="U371" s="2" t="b">
        <f>IF(AND(Table1938[[#This Row],[EC-01]]=FALSE,Table1938[[#This Row],[EC-02]]=FALSE,Table1938[[#This Row],[EC-03]]=FALSE,Table1938[[#This Row],[EC-04]]=FALSE,Table1938[[#This Row],[EC-05]]=FALSE,Table1938[[#This Row],[EC-06]]=FALSE),TRUE,FALSE)</f>
        <v>1</v>
      </c>
      <c r="V371" s="2" t="b">
        <f>IF(Table1938[[#This Row],[Date]]&lt;&gt;"",AND(YEAR(Table1938[[#This Row],[Date]])&gt;=2010, YEAR(Table1938[[#This Row],[Date]])&lt;=2024),FALSE)</f>
        <v>1</v>
      </c>
      <c r="W371" s="2" t="b">
        <f>IF(Table1938[[#This Row],[Date]]&lt;&gt;"",AND(YEAR(Table1938[[#This Row],[Date]])&gt;=2010, YEAR(Table1938[[#This Row],[Date]])&lt;=2020),FALSE)</f>
        <v>0</v>
      </c>
      <c r="X371" s="2" t="b">
        <f>IF(AND(Table1938[[#This Row],[Accesible]]=TRUE,Table1938[[#This Row],[DOI]]&lt;&gt;""),TRUE,FALSE)</f>
        <v>1</v>
      </c>
      <c r="Y371" s="2" t="b">
        <f>OR(Table1938[[#This Row],[Document Type]]="journalArticle",Table1938[[#This Row],[Document Type]]="conferencePaper",Table1938[[#This Row],[Document Type]]="review")</f>
        <v>1</v>
      </c>
      <c r="Z371" s="2" t="b" cm="1">
        <f t="array" ref="Z371">SUMPRODUCT(--ISNUMBER(SEARCH({"dimensional analysis","dimensionless coefficients","Π","Pi","theorem","software","design","tools","development","architecture","similar"}, LOWER(Table1938[[#This Row],[Title]]))))&gt;0</f>
        <v>0</v>
      </c>
      <c r="AA371" s="2" t="b" cm="1">
        <f t="array" ref="AA371">SUMPRODUCT(--ISNUMBER(SEARCH({"dimensional analysis","dimensionless coefficients","Π","Pi","theorem","software","design","tools","development","architecture","similar"}, LOWER(Table1938[[#This Row],[Abstract]]))))&gt;0</f>
        <v>0</v>
      </c>
      <c r="AB371" s="2" t="b">
        <f>AND(OR(Table1938[[#This Row],[IC-01 @2024]:[IC-01 @2020]])=TRUE,Table1938[[#This Row],[IC-02]]=TRUE,Table1938[[#This Row],[IC-03]]=TRUE,Table1938[[#This Row],[IC-04]]=TRUE,Table1938[[#This Row],[IC-05]]=TRUE)</f>
        <v>0</v>
      </c>
      <c r="AC371" s="2" t="b">
        <f>AND(Table1938[[#This Row],[Pass-IC]]=TRUE,Table1938[[#This Row],[Pass-EC]]=TRUE)</f>
        <v>0</v>
      </c>
      <c r="AD371" s="2" t="b">
        <f>COUNTIF($D$25:D371, Table1938[[#This Row],[Title]]) = 1</f>
        <v>1</v>
      </c>
      <c r="AE371" s="2" t="b">
        <f>AND(Table1938[[#This Row],[IC + EC]:[Unique]])</f>
        <v>0</v>
      </c>
      <c r="AF371" s="2" t="b">
        <v>0</v>
      </c>
      <c r="AG371" s="2" t="b">
        <v>0</v>
      </c>
      <c r="AH371" s="2" t="b">
        <v>0</v>
      </c>
      <c r="AI371" s="2" t="b">
        <f>IF(AND(Table1938[[#This Row],[Double Check]]=TRUE,Table1938[[#This Row],[Inspected]]=TRUE,Table1938[[#This Row],[Relevant]]=TRUE),TRUE,FALSE)</f>
        <v>0</v>
      </c>
    </row>
    <row r="372" spans="1:35" ht="57.35" x14ac:dyDescent="0.5">
      <c r="A372" s="2">
        <v>371</v>
      </c>
      <c r="B372" s="20" t="s">
        <v>3</v>
      </c>
      <c r="C372" s="20" t="s">
        <v>3477</v>
      </c>
      <c r="D372" s="20" t="s">
        <v>1974</v>
      </c>
      <c r="E372" s="20" t="s">
        <v>1973</v>
      </c>
      <c r="F372" s="2" t="s">
        <v>1977</v>
      </c>
      <c r="G372" s="20" t="s">
        <v>1975</v>
      </c>
      <c r="H372" s="36">
        <v>44470</v>
      </c>
      <c r="I372" s="20">
        <v>2021</v>
      </c>
      <c r="J372" s="20" t="s">
        <v>61</v>
      </c>
      <c r="K372" s="20" t="s">
        <v>3478</v>
      </c>
      <c r="L372" s="20" t="s">
        <v>2515</v>
      </c>
      <c r="M372" s="20" t="s">
        <v>1976</v>
      </c>
      <c r="N372" s="20" t="b">
        <v>1</v>
      </c>
      <c r="O372" s="2" t="b">
        <f>IF(Table1938[[#This Row],[Title]]="",TRUE,FALSE)</f>
        <v>0</v>
      </c>
      <c r="P372" s="2" t="b">
        <f>IF(Table1938[[#This Row],[Author]]="",TRUE,FALSE)</f>
        <v>0</v>
      </c>
      <c r="Q372" s="2" t="b">
        <f>IF(Table1938[[#This Row],[DOI]]&lt;&gt;"", FALSE,TRUE)</f>
        <v>0</v>
      </c>
      <c r="R372" s="2" t="b">
        <f>IF(Table1938[[#This Row],[Abstract]]="",TRUE,FALSE)</f>
        <v>0</v>
      </c>
      <c r="S372" s="2" t="b">
        <f>IF(OR(Table1938[[#This Row],[Document Type]]="book",Table1938[[#This Row],[Document Type]]="bookSection"),TRUE,FALSE)</f>
        <v>0</v>
      </c>
      <c r="T372" s="2" t="b">
        <f>NOT(IF(OR(Table1938[[#This Row],[Language]]&lt;&gt;"en",Table1938[[#This Row],[Language]]&lt;&gt;"EN",Table1938[[#This Row],[Language]]&lt;&gt;"spa",Table1938[[#This Row],[Language]]&lt;&gt;"SPA"),TRUE,FALSE))</f>
        <v>0</v>
      </c>
      <c r="U372" s="2" t="b">
        <f>IF(AND(Table1938[[#This Row],[EC-01]]=FALSE,Table1938[[#This Row],[EC-02]]=FALSE,Table1938[[#This Row],[EC-03]]=FALSE,Table1938[[#This Row],[EC-04]]=FALSE,Table1938[[#This Row],[EC-05]]=FALSE,Table1938[[#This Row],[EC-06]]=FALSE),TRUE,FALSE)</f>
        <v>1</v>
      </c>
      <c r="V372" s="2" t="b">
        <f>IF(Table1938[[#This Row],[Date]]&lt;&gt;"",AND(YEAR(Table1938[[#This Row],[Date]])&gt;=2010, YEAR(Table1938[[#This Row],[Date]])&lt;=2024),FALSE)</f>
        <v>1</v>
      </c>
      <c r="W372" s="2" t="b">
        <f>IF(Table1938[[#This Row],[Date]]&lt;&gt;"",AND(YEAR(Table1938[[#This Row],[Date]])&gt;=2010, YEAR(Table1938[[#This Row],[Date]])&lt;=2020),FALSE)</f>
        <v>0</v>
      </c>
      <c r="X372" s="2" t="b">
        <f>IF(AND(Table1938[[#This Row],[Accesible]]=TRUE,Table1938[[#This Row],[DOI]]&lt;&gt;""),TRUE,FALSE)</f>
        <v>1</v>
      </c>
      <c r="Y372" s="2" t="b">
        <f>OR(Table1938[[#This Row],[Document Type]]="journalArticle",Table1938[[#This Row],[Document Type]]="conferencePaper",Table1938[[#This Row],[Document Type]]="review")</f>
        <v>1</v>
      </c>
      <c r="Z372" s="2" t="b" cm="1">
        <f t="array" ref="Z372">SUMPRODUCT(--ISNUMBER(SEARCH({"dimensional analysis","dimensionless coefficients","Π","Pi","theorem","software","design","tools","development","architecture","similar"}, LOWER(Table1938[[#This Row],[Title]]))))&gt;0</f>
        <v>0</v>
      </c>
      <c r="AA372" s="2" t="b" cm="1">
        <f t="array" ref="AA372">SUMPRODUCT(--ISNUMBER(SEARCH({"dimensional analysis","dimensionless coefficients","Π","Pi","theorem","software","design","tools","development","architecture","similar"}, LOWER(Table1938[[#This Row],[Abstract]]))))&gt;0</f>
        <v>0</v>
      </c>
      <c r="AB372" s="2" t="b">
        <f>AND(OR(Table1938[[#This Row],[IC-01 @2024]:[IC-01 @2020]])=TRUE,Table1938[[#This Row],[IC-02]]=TRUE,Table1938[[#This Row],[IC-03]]=TRUE,Table1938[[#This Row],[IC-04]]=TRUE,Table1938[[#This Row],[IC-05]]=TRUE)</f>
        <v>0</v>
      </c>
      <c r="AC372" s="2" t="b">
        <f>AND(Table1938[[#This Row],[Pass-IC]]=TRUE,Table1938[[#This Row],[Pass-EC]]=TRUE)</f>
        <v>0</v>
      </c>
      <c r="AD372" s="2" t="b">
        <f>COUNTIF($D$25:D372, Table1938[[#This Row],[Title]]) = 1</f>
        <v>1</v>
      </c>
      <c r="AE372" s="2" t="b">
        <f>AND(Table1938[[#This Row],[IC + EC]:[Unique]])</f>
        <v>0</v>
      </c>
      <c r="AF372" s="2" t="b">
        <v>0</v>
      </c>
      <c r="AG372" s="2" t="b">
        <v>0</v>
      </c>
      <c r="AH372" s="2" t="b">
        <v>0</v>
      </c>
      <c r="AI372" s="2" t="b">
        <f>IF(AND(Table1938[[#This Row],[Double Check]]=TRUE,Table1938[[#This Row],[Inspected]]=TRUE,Table1938[[#This Row],[Relevant]]=TRUE),TRUE,FALSE)</f>
        <v>0</v>
      </c>
    </row>
    <row r="373" spans="1:35" ht="57.35" x14ac:dyDescent="0.5">
      <c r="A373" s="2">
        <v>372</v>
      </c>
      <c r="B373" s="20" t="s">
        <v>3</v>
      </c>
      <c r="C373" s="20" t="s">
        <v>3479</v>
      </c>
      <c r="D373" s="20" t="s">
        <v>1837</v>
      </c>
      <c r="E373" s="20" t="s">
        <v>1836</v>
      </c>
      <c r="F373" s="2" t="s">
        <v>1839</v>
      </c>
      <c r="G373" s="20" t="s">
        <v>996</v>
      </c>
      <c r="H373" s="36">
        <v>44470</v>
      </c>
      <c r="I373" s="20">
        <v>2021</v>
      </c>
      <c r="J373" s="20" t="s">
        <v>61</v>
      </c>
      <c r="K373" s="20" t="s">
        <v>3480</v>
      </c>
      <c r="L373" s="20" t="s">
        <v>2515</v>
      </c>
      <c r="M373" s="20" t="s">
        <v>1838</v>
      </c>
      <c r="N373" s="20" t="b">
        <v>1</v>
      </c>
      <c r="O373" s="2" t="b">
        <f>IF(Table1938[[#This Row],[Title]]="",TRUE,FALSE)</f>
        <v>0</v>
      </c>
      <c r="P373" s="2" t="b">
        <f>IF(Table1938[[#This Row],[Author]]="",TRUE,FALSE)</f>
        <v>0</v>
      </c>
      <c r="Q373" s="2" t="b">
        <f>IF(Table1938[[#This Row],[DOI]]&lt;&gt;"", FALSE,TRUE)</f>
        <v>0</v>
      </c>
      <c r="R373" s="2" t="b">
        <f>IF(Table1938[[#This Row],[Abstract]]="",TRUE,FALSE)</f>
        <v>0</v>
      </c>
      <c r="S373" s="2" t="b">
        <f>IF(OR(Table1938[[#This Row],[Document Type]]="book",Table1938[[#This Row],[Document Type]]="bookSection"),TRUE,FALSE)</f>
        <v>0</v>
      </c>
      <c r="T373" s="2" t="b">
        <f>NOT(IF(OR(Table1938[[#This Row],[Language]]&lt;&gt;"en",Table1938[[#This Row],[Language]]&lt;&gt;"EN",Table1938[[#This Row],[Language]]&lt;&gt;"spa",Table1938[[#This Row],[Language]]&lt;&gt;"SPA"),TRUE,FALSE))</f>
        <v>0</v>
      </c>
      <c r="U373" s="2" t="b">
        <f>IF(AND(Table1938[[#This Row],[EC-01]]=FALSE,Table1938[[#This Row],[EC-02]]=FALSE,Table1938[[#This Row],[EC-03]]=FALSE,Table1938[[#This Row],[EC-04]]=FALSE,Table1938[[#This Row],[EC-05]]=FALSE,Table1938[[#This Row],[EC-06]]=FALSE),TRUE,FALSE)</f>
        <v>1</v>
      </c>
      <c r="V373" s="2" t="b">
        <f>IF(Table1938[[#This Row],[Date]]&lt;&gt;"",AND(YEAR(Table1938[[#This Row],[Date]])&gt;=2010, YEAR(Table1938[[#This Row],[Date]])&lt;=2024),FALSE)</f>
        <v>1</v>
      </c>
      <c r="W373" s="2" t="b">
        <f>IF(Table1938[[#This Row],[Date]]&lt;&gt;"",AND(YEAR(Table1938[[#This Row],[Date]])&gt;=2010, YEAR(Table1938[[#This Row],[Date]])&lt;=2020),FALSE)</f>
        <v>0</v>
      </c>
      <c r="X373" s="2" t="b">
        <f>IF(AND(Table1938[[#This Row],[Accesible]]=TRUE,Table1938[[#This Row],[DOI]]&lt;&gt;""),TRUE,FALSE)</f>
        <v>1</v>
      </c>
      <c r="Y373" s="2" t="b">
        <f>OR(Table1938[[#This Row],[Document Type]]="journalArticle",Table1938[[#This Row],[Document Type]]="conferencePaper",Table1938[[#This Row],[Document Type]]="review")</f>
        <v>1</v>
      </c>
      <c r="Z373" s="2" t="b" cm="1">
        <f t="array" ref="Z373">SUMPRODUCT(--ISNUMBER(SEARCH({"dimensional analysis","dimensionless coefficients","Π","Pi","theorem","software","design","tools","development","architecture","similar"}, LOWER(Table1938[[#This Row],[Title]]))))&gt;0</f>
        <v>0</v>
      </c>
      <c r="AA373" s="2" t="b" cm="1">
        <f t="array" ref="AA373">SUMPRODUCT(--ISNUMBER(SEARCH({"dimensional analysis","dimensionless coefficients","Π","Pi","theorem","software","design","tools","development","architecture","similar"}, LOWER(Table1938[[#This Row],[Abstract]]))))&gt;0</f>
        <v>1</v>
      </c>
      <c r="AB373" s="2" t="b">
        <f>AND(OR(Table1938[[#This Row],[IC-01 @2024]:[IC-01 @2020]])=TRUE,Table1938[[#This Row],[IC-02]]=TRUE,Table1938[[#This Row],[IC-03]]=TRUE,Table1938[[#This Row],[IC-04]]=TRUE,Table1938[[#This Row],[IC-05]]=TRUE)</f>
        <v>0</v>
      </c>
      <c r="AC373" s="2" t="b">
        <f>AND(Table1938[[#This Row],[Pass-IC]]=TRUE,Table1938[[#This Row],[Pass-EC]]=TRUE)</f>
        <v>0</v>
      </c>
      <c r="AD373" s="2" t="b">
        <f>COUNTIF($D$25:D373, Table1938[[#This Row],[Title]]) = 1</f>
        <v>1</v>
      </c>
      <c r="AE373" s="2" t="b">
        <f>AND(Table1938[[#This Row],[IC + EC]:[Unique]])</f>
        <v>0</v>
      </c>
      <c r="AF373" s="2" t="b">
        <v>0</v>
      </c>
      <c r="AG373" s="2" t="b">
        <v>0</v>
      </c>
      <c r="AH373" s="2" t="b">
        <v>0</v>
      </c>
      <c r="AI373" s="2" t="b">
        <f>IF(AND(Table1938[[#This Row],[Double Check]]=TRUE,Table1938[[#This Row],[Inspected]]=TRUE,Table1938[[#This Row],[Relevant]]=TRUE),TRUE,FALSE)</f>
        <v>0</v>
      </c>
    </row>
    <row r="374" spans="1:35" ht="86" x14ac:dyDescent="0.5">
      <c r="A374" s="2">
        <v>373</v>
      </c>
      <c r="B374" s="20" t="s">
        <v>3</v>
      </c>
      <c r="C374" s="20" t="s">
        <v>3481</v>
      </c>
      <c r="D374" s="20" t="s">
        <v>1607</v>
      </c>
      <c r="E374" s="20" t="s">
        <v>1606</v>
      </c>
      <c r="F374" s="2" t="s">
        <v>1609</v>
      </c>
      <c r="G374" s="20" t="s">
        <v>925</v>
      </c>
      <c r="H374" s="36">
        <v>44501</v>
      </c>
      <c r="I374" s="20">
        <v>2021</v>
      </c>
      <c r="J374" s="20" t="s">
        <v>61</v>
      </c>
      <c r="K374" s="20" t="s">
        <v>3482</v>
      </c>
      <c r="L374" s="20" t="s">
        <v>2515</v>
      </c>
      <c r="M374" s="20" t="s">
        <v>1608</v>
      </c>
      <c r="N374" s="20" t="b">
        <v>1</v>
      </c>
      <c r="O374" s="2" t="b">
        <f>IF(Table1938[[#This Row],[Title]]="",TRUE,FALSE)</f>
        <v>0</v>
      </c>
      <c r="P374" s="2" t="b">
        <f>IF(Table1938[[#This Row],[Author]]="",TRUE,FALSE)</f>
        <v>0</v>
      </c>
      <c r="Q374" s="2" t="b">
        <f>IF(Table1938[[#This Row],[DOI]]&lt;&gt;"", FALSE,TRUE)</f>
        <v>0</v>
      </c>
      <c r="R374" s="2" t="b">
        <f>IF(Table1938[[#This Row],[Abstract]]="",TRUE,FALSE)</f>
        <v>0</v>
      </c>
      <c r="S374" s="2" t="b">
        <f>IF(OR(Table1938[[#This Row],[Document Type]]="book",Table1938[[#This Row],[Document Type]]="bookSection"),TRUE,FALSE)</f>
        <v>0</v>
      </c>
      <c r="T374" s="2" t="b">
        <f>NOT(IF(OR(Table1938[[#This Row],[Language]]&lt;&gt;"en",Table1938[[#This Row],[Language]]&lt;&gt;"EN",Table1938[[#This Row],[Language]]&lt;&gt;"spa",Table1938[[#This Row],[Language]]&lt;&gt;"SPA"),TRUE,FALSE))</f>
        <v>0</v>
      </c>
      <c r="U374" s="2" t="b">
        <f>IF(AND(Table1938[[#This Row],[EC-01]]=FALSE,Table1938[[#This Row],[EC-02]]=FALSE,Table1938[[#This Row],[EC-03]]=FALSE,Table1938[[#This Row],[EC-04]]=FALSE,Table1938[[#This Row],[EC-05]]=FALSE,Table1938[[#This Row],[EC-06]]=FALSE),TRUE,FALSE)</f>
        <v>1</v>
      </c>
      <c r="V374" s="2" t="b">
        <f>IF(Table1938[[#This Row],[Date]]&lt;&gt;"",AND(YEAR(Table1938[[#This Row],[Date]])&gt;=2010, YEAR(Table1938[[#This Row],[Date]])&lt;=2024),FALSE)</f>
        <v>1</v>
      </c>
      <c r="W374" s="2" t="b">
        <f>IF(Table1938[[#This Row],[Date]]&lt;&gt;"",AND(YEAR(Table1938[[#This Row],[Date]])&gt;=2010, YEAR(Table1938[[#This Row],[Date]])&lt;=2020),FALSE)</f>
        <v>0</v>
      </c>
      <c r="X374" s="2" t="b">
        <f>IF(AND(Table1938[[#This Row],[Accesible]]=TRUE,Table1938[[#This Row],[DOI]]&lt;&gt;""),TRUE,FALSE)</f>
        <v>1</v>
      </c>
      <c r="Y374" s="2" t="b">
        <f>OR(Table1938[[#This Row],[Document Type]]="journalArticle",Table1938[[#This Row],[Document Type]]="conferencePaper",Table1938[[#This Row],[Document Type]]="review")</f>
        <v>1</v>
      </c>
      <c r="Z374" s="2" t="b" cm="1">
        <f t="array" ref="Z374">SUMPRODUCT(--ISNUMBER(SEARCH({"dimensional analysis","dimensionless coefficients","Π","Pi","theorem","software","design","tools","development","architecture","similar"}, LOWER(Table1938[[#This Row],[Title]]))))&gt;0</f>
        <v>1</v>
      </c>
      <c r="AA374" s="2" t="b" cm="1">
        <f t="array" ref="AA374">SUMPRODUCT(--ISNUMBER(SEARCH({"dimensional analysis","dimensionless coefficients","Π","Pi","theorem","software","design","tools","development","architecture","similar"}, LOWER(Table1938[[#This Row],[Abstract]]))))&gt;0</f>
        <v>1</v>
      </c>
      <c r="AB374" s="2" t="b">
        <f>AND(OR(Table1938[[#This Row],[IC-01 @2024]:[IC-01 @2020]])=TRUE,Table1938[[#This Row],[IC-02]]=TRUE,Table1938[[#This Row],[IC-03]]=TRUE,Table1938[[#This Row],[IC-04]]=TRUE,Table1938[[#This Row],[IC-05]]=TRUE)</f>
        <v>1</v>
      </c>
      <c r="AC374" s="2" t="b">
        <f>AND(Table1938[[#This Row],[Pass-IC]]=TRUE,Table1938[[#This Row],[Pass-EC]]=TRUE)</f>
        <v>1</v>
      </c>
      <c r="AD374" s="2" t="b">
        <f>COUNTIF($D$25:D374, Table1938[[#This Row],[Title]]) = 1</f>
        <v>1</v>
      </c>
      <c r="AE374" s="2" t="b">
        <f>AND(Table1938[[#This Row],[IC + EC]:[Unique]])</f>
        <v>1</v>
      </c>
      <c r="AF374" s="2" t="b">
        <v>1</v>
      </c>
      <c r="AG374" s="2" t="b">
        <v>0</v>
      </c>
      <c r="AH374" s="2" t="b">
        <v>0</v>
      </c>
      <c r="AI374" s="2" t="b">
        <f>IF(AND(Table1938[[#This Row],[Double Check]]=TRUE,Table1938[[#This Row],[Inspected]]=TRUE,Table1938[[#This Row],[Relevant]]=TRUE),TRUE,FALSE)</f>
        <v>0</v>
      </c>
    </row>
    <row r="375" spans="1:35" ht="71.7" x14ac:dyDescent="0.5">
      <c r="A375" s="2">
        <v>374</v>
      </c>
      <c r="B375" s="20" t="s">
        <v>3</v>
      </c>
      <c r="C375" s="20" t="s">
        <v>3483</v>
      </c>
      <c r="D375" s="20" t="s">
        <v>1739</v>
      </c>
      <c r="E375" s="20" t="s">
        <v>1738</v>
      </c>
      <c r="F375" s="2" t="s">
        <v>1741</v>
      </c>
      <c r="G375" s="20" t="s">
        <v>939</v>
      </c>
      <c r="H375" s="36">
        <v>44197</v>
      </c>
      <c r="I375" s="20">
        <v>2021</v>
      </c>
      <c r="J375" s="20" t="s">
        <v>61</v>
      </c>
      <c r="K375" s="20" t="s">
        <v>3484</v>
      </c>
      <c r="L375" s="20" t="s">
        <v>2515</v>
      </c>
      <c r="M375" s="20" t="s">
        <v>1740</v>
      </c>
      <c r="N375" s="20" t="b">
        <v>1</v>
      </c>
      <c r="O375" s="2" t="b">
        <f>IF(Table1938[[#This Row],[Title]]="",TRUE,FALSE)</f>
        <v>0</v>
      </c>
      <c r="P375" s="2" t="b">
        <f>IF(Table1938[[#This Row],[Author]]="",TRUE,FALSE)</f>
        <v>0</v>
      </c>
      <c r="Q375" s="2" t="b">
        <f>IF(Table1938[[#This Row],[DOI]]&lt;&gt;"", FALSE,TRUE)</f>
        <v>0</v>
      </c>
      <c r="R375" s="2" t="b">
        <f>IF(Table1938[[#This Row],[Abstract]]="",TRUE,FALSE)</f>
        <v>0</v>
      </c>
      <c r="S375" s="2" t="b">
        <f>IF(OR(Table1938[[#This Row],[Document Type]]="book",Table1938[[#This Row],[Document Type]]="bookSection"),TRUE,FALSE)</f>
        <v>0</v>
      </c>
      <c r="T375" s="2" t="b">
        <f>NOT(IF(OR(Table1938[[#This Row],[Language]]&lt;&gt;"en",Table1938[[#This Row],[Language]]&lt;&gt;"EN",Table1938[[#This Row],[Language]]&lt;&gt;"spa",Table1938[[#This Row],[Language]]&lt;&gt;"SPA"),TRUE,FALSE))</f>
        <v>0</v>
      </c>
      <c r="U375" s="2" t="b">
        <f>IF(AND(Table1938[[#This Row],[EC-01]]=FALSE,Table1938[[#This Row],[EC-02]]=FALSE,Table1938[[#This Row],[EC-03]]=FALSE,Table1938[[#This Row],[EC-04]]=FALSE,Table1938[[#This Row],[EC-05]]=FALSE,Table1938[[#This Row],[EC-06]]=FALSE),TRUE,FALSE)</f>
        <v>1</v>
      </c>
      <c r="V375" s="2" t="b">
        <f>IF(Table1938[[#This Row],[Date]]&lt;&gt;"",AND(YEAR(Table1938[[#This Row],[Date]])&gt;=2010, YEAR(Table1938[[#This Row],[Date]])&lt;=2024),FALSE)</f>
        <v>1</v>
      </c>
      <c r="W375" s="2" t="b">
        <f>IF(Table1938[[#This Row],[Date]]&lt;&gt;"",AND(YEAR(Table1938[[#This Row],[Date]])&gt;=2010, YEAR(Table1938[[#This Row],[Date]])&lt;=2020),FALSE)</f>
        <v>0</v>
      </c>
      <c r="X375" s="2" t="b">
        <f>IF(AND(Table1938[[#This Row],[Accesible]]=TRUE,Table1938[[#This Row],[DOI]]&lt;&gt;""),TRUE,FALSE)</f>
        <v>1</v>
      </c>
      <c r="Y375" s="2" t="b">
        <f>OR(Table1938[[#This Row],[Document Type]]="journalArticle",Table1938[[#This Row],[Document Type]]="conferencePaper",Table1938[[#This Row],[Document Type]]="review")</f>
        <v>1</v>
      </c>
      <c r="Z375" s="2" t="b" cm="1">
        <f t="array" ref="Z375">SUMPRODUCT(--ISNUMBER(SEARCH({"dimensional analysis","dimensionless coefficients","Π","Pi","theorem","software","design","tools","development","architecture","similar"}, LOWER(Table1938[[#This Row],[Title]]))))&gt;0</f>
        <v>1</v>
      </c>
      <c r="AA375" s="2" t="b" cm="1">
        <f t="array" ref="AA375">SUMPRODUCT(--ISNUMBER(SEARCH({"dimensional analysis","dimensionless coefficients","Π","Pi","theorem","software","design","tools","development","architecture","similar"}, LOWER(Table1938[[#This Row],[Abstract]]))))&gt;0</f>
        <v>1</v>
      </c>
      <c r="AB375" s="2" t="b">
        <f>AND(OR(Table1938[[#This Row],[IC-01 @2024]:[IC-01 @2020]])=TRUE,Table1938[[#This Row],[IC-02]]=TRUE,Table1938[[#This Row],[IC-03]]=TRUE,Table1938[[#This Row],[IC-04]]=TRUE,Table1938[[#This Row],[IC-05]]=TRUE)</f>
        <v>1</v>
      </c>
      <c r="AC375" s="2" t="b">
        <f>AND(Table1938[[#This Row],[Pass-IC]]=TRUE,Table1938[[#This Row],[Pass-EC]]=TRUE)</f>
        <v>1</v>
      </c>
      <c r="AD375" s="2" t="b">
        <f>COUNTIF($D$25:D375, Table1938[[#This Row],[Title]]) = 1</f>
        <v>1</v>
      </c>
      <c r="AE375" s="2" t="b">
        <f>AND(Table1938[[#This Row],[IC + EC]:[Unique]])</f>
        <v>1</v>
      </c>
      <c r="AF375" s="2" t="b">
        <v>1</v>
      </c>
      <c r="AG375" s="2" t="b">
        <v>0</v>
      </c>
      <c r="AH375" s="2" t="b">
        <v>0</v>
      </c>
      <c r="AI375" s="2" t="b">
        <f>IF(AND(Table1938[[#This Row],[Double Check]]=TRUE,Table1938[[#This Row],[Inspected]]=TRUE,Table1938[[#This Row],[Relevant]]=TRUE),TRUE,FALSE)</f>
        <v>0</v>
      </c>
    </row>
    <row r="376" spans="1:35" ht="57.35" x14ac:dyDescent="0.5">
      <c r="A376" s="2">
        <v>375</v>
      </c>
      <c r="B376" s="20" t="s">
        <v>3</v>
      </c>
      <c r="C376" s="20" t="s">
        <v>3485</v>
      </c>
      <c r="D376" s="20" t="s">
        <v>1330</v>
      </c>
      <c r="E376" s="20" t="s">
        <v>1329</v>
      </c>
      <c r="F376" s="2" t="s">
        <v>1333</v>
      </c>
      <c r="G376" s="20" t="s">
        <v>1331</v>
      </c>
      <c r="H376" s="36">
        <v>45458</v>
      </c>
      <c r="I376" s="20">
        <v>2024</v>
      </c>
      <c r="J376" s="20" t="s">
        <v>61</v>
      </c>
      <c r="K376" s="20" t="s">
        <v>3486</v>
      </c>
      <c r="L376" s="20" t="s">
        <v>2515</v>
      </c>
      <c r="M376" s="20" t="s">
        <v>1332</v>
      </c>
      <c r="N376" s="20" t="b">
        <v>1</v>
      </c>
      <c r="O376" s="2" t="b">
        <f>IF(Table1938[[#This Row],[Title]]="",TRUE,FALSE)</f>
        <v>0</v>
      </c>
      <c r="P376" s="2" t="b">
        <f>IF(Table1938[[#This Row],[Author]]="",TRUE,FALSE)</f>
        <v>0</v>
      </c>
      <c r="Q376" s="2" t="b">
        <f>IF(Table1938[[#This Row],[DOI]]&lt;&gt;"", FALSE,TRUE)</f>
        <v>0</v>
      </c>
      <c r="R376" s="2" t="b">
        <f>IF(Table1938[[#This Row],[Abstract]]="",TRUE,FALSE)</f>
        <v>0</v>
      </c>
      <c r="S376" s="2" t="b">
        <f>IF(OR(Table1938[[#This Row],[Document Type]]="book",Table1938[[#This Row],[Document Type]]="bookSection"),TRUE,FALSE)</f>
        <v>0</v>
      </c>
      <c r="T376" s="2" t="b">
        <f>NOT(IF(OR(Table1938[[#This Row],[Language]]&lt;&gt;"en",Table1938[[#This Row],[Language]]&lt;&gt;"EN",Table1938[[#This Row],[Language]]&lt;&gt;"spa",Table1938[[#This Row],[Language]]&lt;&gt;"SPA"),TRUE,FALSE))</f>
        <v>0</v>
      </c>
      <c r="U376" s="2" t="b">
        <f>IF(AND(Table1938[[#This Row],[EC-01]]=FALSE,Table1938[[#This Row],[EC-02]]=FALSE,Table1938[[#This Row],[EC-03]]=FALSE,Table1938[[#This Row],[EC-04]]=FALSE,Table1938[[#This Row],[EC-05]]=FALSE,Table1938[[#This Row],[EC-06]]=FALSE),TRUE,FALSE)</f>
        <v>1</v>
      </c>
      <c r="V376" s="2" t="b">
        <f>IF(Table1938[[#This Row],[Date]]&lt;&gt;"",AND(YEAR(Table1938[[#This Row],[Date]])&gt;=2010, YEAR(Table1938[[#This Row],[Date]])&lt;=2024),FALSE)</f>
        <v>1</v>
      </c>
      <c r="W376" s="2" t="b">
        <f>IF(Table1938[[#This Row],[Date]]&lt;&gt;"",AND(YEAR(Table1938[[#This Row],[Date]])&gt;=2010, YEAR(Table1938[[#This Row],[Date]])&lt;=2020),FALSE)</f>
        <v>0</v>
      </c>
      <c r="X376" s="2" t="b">
        <f>IF(AND(Table1938[[#This Row],[Accesible]]=TRUE,Table1938[[#This Row],[DOI]]&lt;&gt;""),TRUE,FALSE)</f>
        <v>1</v>
      </c>
      <c r="Y376" s="2" t="b">
        <f>OR(Table1938[[#This Row],[Document Type]]="journalArticle",Table1938[[#This Row],[Document Type]]="conferencePaper",Table1938[[#This Row],[Document Type]]="review")</f>
        <v>1</v>
      </c>
      <c r="Z376" s="2" t="b" cm="1">
        <f t="array" ref="Z376">SUMPRODUCT(--ISNUMBER(SEARCH({"dimensional analysis","dimensionless coefficients","Π","Pi","theorem","software","design","tools","development","architecture","similar"}, LOWER(Table1938[[#This Row],[Title]]))))&gt;0</f>
        <v>1</v>
      </c>
      <c r="AA376" s="2" t="b" cm="1">
        <f t="array" ref="AA376">SUMPRODUCT(--ISNUMBER(SEARCH({"dimensional analysis","dimensionless coefficients","Π","Pi","theorem","software","design","tools","development","architecture","similar"}, LOWER(Table1938[[#This Row],[Abstract]]))))&gt;0</f>
        <v>1</v>
      </c>
      <c r="AB376" s="2" t="b">
        <f>AND(OR(Table1938[[#This Row],[IC-01 @2024]:[IC-01 @2020]])=TRUE,Table1938[[#This Row],[IC-02]]=TRUE,Table1938[[#This Row],[IC-03]]=TRUE,Table1938[[#This Row],[IC-04]]=TRUE,Table1938[[#This Row],[IC-05]]=TRUE)</f>
        <v>1</v>
      </c>
      <c r="AC376" s="2" t="b">
        <f>AND(Table1938[[#This Row],[Pass-IC]]=TRUE,Table1938[[#This Row],[Pass-EC]]=TRUE)</f>
        <v>1</v>
      </c>
      <c r="AD376" s="2" t="b">
        <f>COUNTIF($D$25:D376, Table1938[[#This Row],[Title]]) = 1</f>
        <v>1</v>
      </c>
      <c r="AE376" s="2" t="b">
        <f>AND(Table1938[[#This Row],[IC + EC]:[Unique]])</f>
        <v>1</v>
      </c>
      <c r="AF376" s="2" t="b">
        <v>1</v>
      </c>
      <c r="AG376" s="2" t="b">
        <v>0</v>
      </c>
      <c r="AH376" s="2" t="b">
        <v>0</v>
      </c>
      <c r="AI376" s="2" t="b">
        <f>IF(AND(Table1938[[#This Row],[Double Check]]=TRUE,Table1938[[#This Row],[Inspected]]=TRUE,Table1938[[#This Row],[Relevant]]=TRUE),TRUE,FALSE)</f>
        <v>0</v>
      </c>
    </row>
    <row r="377" spans="1:35" ht="57.35" x14ac:dyDescent="0.5">
      <c r="A377" s="2">
        <v>376</v>
      </c>
      <c r="B377" s="20" t="s">
        <v>3</v>
      </c>
      <c r="C377" s="20" t="s">
        <v>3487</v>
      </c>
      <c r="D377" s="20" t="s">
        <v>317</v>
      </c>
      <c r="E377" s="20" t="s">
        <v>342</v>
      </c>
      <c r="F377" s="2" t="s">
        <v>367</v>
      </c>
      <c r="G377" s="20" t="s">
        <v>959</v>
      </c>
      <c r="H377" s="36">
        <v>44470</v>
      </c>
      <c r="I377" s="20">
        <v>2021</v>
      </c>
      <c r="J377" s="20" t="s">
        <v>61</v>
      </c>
      <c r="K377" s="20" t="s">
        <v>3488</v>
      </c>
      <c r="L377" s="20" t="s">
        <v>2515</v>
      </c>
      <c r="M377" s="20" t="s">
        <v>392</v>
      </c>
      <c r="N377" s="20" t="b">
        <v>1</v>
      </c>
      <c r="O377" s="2" t="b">
        <f>IF(Table1938[[#This Row],[Title]]="",TRUE,FALSE)</f>
        <v>0</v>
      </c>
      <c r="P377" s="2" t="b">
        <f>IF(Table1938[[#This Row],[Author]]="",TRUE,FALSE)</f>
        <v>0</v>
      </c>
      <c r="Q377" s="2" t="b">
        <f>IF(Table1938[[#This Row],[DOI]]&lt;&gt;"", FALSE,TRUE)</f>
        <v>0</v>
      </c>
      <c r="R377" s="2" t="b">
        <f>IF(Table1938[[#This Row],[Abstract]]="",TRUE,FALSE)</f>
        <v>0</v>
      </c>
      <c r="S377" s="2" t="b">
        <f>IF(OR(Table1938[[#This Row],[Document Type]]="book",Table1938[[#This Row],[Document Type]]="bookSection"),TRUE,FALSE)</f>
        <v>0</v>
      </c>
      <c r="T377" s="2" t="b">
        <f>NOT(IF(OR(Table1938[[#This Row],[Language]]&lt;&gt;"en",Table1938[[#This Row],[Language]]&lt;&gt;"EN",Table1938[[#This Row],[Language]]&lt;&gt;"spa",Table1938[[#This Row],[Language]]&lt;&gt;"SPA"),TRUE,FALSE))</f>
        <v>0</v>
      </c>
      <c r="U377" s="2" t="b">
        <f>IF(AND(Table1938[[#This Row],[EC-01]]=FALSE,Table1938[[#This Row],[EC-02]]=FALSE,Table1938[[#This Row],[EC-03]]=FALSE,Table1938[[#This Row],[EC-04]]=FALSE,Table1938[[#This Row],[EC-05]]=FALSE,Table1938[[#This Row],[EC-06]]=FALSE),TRUE,FALSE)</f>
        <v>1</v>
      </c>
      <c r="V377" s="2" t="b">
        <f>IF(Table1938[[#This Row],[Date]]&lt;&gt;"",AND(YEAR(Table1938[[#This Row],[Date]])&gt;=2010, YEAR(Table1938[[#This Row],[Date]])&lt;=2024),FALSE)</f>
        <v>1</v>
      </c>
      <c r="W377" s="2" t="b">
        <f>IF(Table1938[[#This Row],[Date]]&lt;&gt;"",AND(YEAR(Table1938[[#This Row],[Date]])&gt;=2010, YEAR(Table1938[[#This Row],[Date]])&lt;=2020),FALSE)</f>
        <v>0</v>
      </c>
      <c r="X377" s="2" t="b">
        <f>IF(AND(Table1938[[#This Row],[Accesible]]=TRUE,Table1938[[#This Row],[DOI]]&lt;&gt;""),TRUE,FALSE)</f>
        <v>1</v>
      </c>
      <c r="Y377" s="2" t="b">
        <f>OR(Table1938[[#This Row],[Document Type]]="journalArticle",Table1938[[#This Row],[Document Type]]="conferencePaper",Table1938[[#This Row],[Document Type]]="review")</f>
        <v>1</v>
      </c>
      <c r="Z377" s="2" t="b" cm="1">
        <f t="array" ref="Z377">SUMPRODUCT(--ISNUMBER(SEARCH({"dimensional analysis","dimensionless coefficients","Π","Pi","theorem","software","design","tools","development","architecture","similar"}, LOWER(Table1938[[#This Row],[Title]]))))&gt;0</f>
        <v>1</v>
      </c>
      <c r="AA377" s="2" t="b" cm="1">
        <f t="array" ref="AA377">SUMPRODUCT(--ISNUMBER(SEARCH({"dimensional analysis","dimensionless coefficients","Π","Pi","theorem","software","design","tools","development","architecture","similar"}, LOWER(Table1938[[#This Row],[Abstract]]))))&gt;0</f>
        <v>1</v>
      </c>
      <c r="AB377" s="2" t="b">
        <f>AND(OR(Table1938[[#This Row],[IC-01 @2024]:[IC-01 @2020]])=TRUE,Table1938[[#This Row],[IC-02]]=TRUE,Table1938[[#This Row],[IC-03]]=TRUE,Table1938[[#This Row],[IC-04]]=TRUE,Table1938[[#This Row],[IC-05]]=TRUE)</f>
        <v>1</v>
      </c>
      <c r="AC377" s="2" t="b">
        <f>AND(Table1938[[#This Row],[Pass-IC]]=TRUE,Table1938[[#This Row],[Pass-EC]]=TRUE)</f>
        <v>1</v>
      </c>
      <c r="AD377" s="2" t="b">
        <f>COUNTIF($D$25:D377, Table1938[[#This Row],[Title]]) = 1</f>
        <v>1</v>
      </c>
      <c r="AE377" s="2" t="b">
        <f>AND(Table1938[[#This Row],[IC + EC]:[Unique]])</f>
        <v>1</v>
      </c>
      <c r="AF377" s="2" t="b">
        <v>1</v>
      </c>
      <c r="AG377" s="2" t="b">
        <v>0</v>
      </c>
      <c r="AH377" s="2" t="b">
        <v>0</v>
      </c>
      <c r="AI377" s="2" t="b">
        <f>IF(AND(Table1938[[#This Row],[Double Check]]=TRUE,Table1938[[#This Row],[Inspected]]=TRUE,Table1938[[#This Row],[Relevant]]=TRUE),TRUE,FALSE)</f>
        <v>0</v>
      </c>
    </row>
    <row r="378" spans="1:35" ht="57.35" x14ac:dyDescent="0.5">
      <c r="A378" s="2">
        <v>377</v>
      </c>
      <c r="B378" s="20" t="s">
        <v>3</v>
      </c>
      <c r="C378" s="20" t="s">
        <v>3489</v>
      </c>
      <c r="D378" s="20" t="s">
        <v>2284</v>
      </c>
      <c r="E378" s="20" t="s">
        <v>2283</v>
      </c>
      <c r="F378" s="2" t="s">
        <v>2286</v>
      </c>
      <c r="G378" s="20" t="s">
        <v>919</v>
      </c>
      <c r="H378" s="36">
        <v>45214</v>
      </c>
      <c r="I378" s="20">
        <v>2023</v>
      </c>
      <c r="J378" s="20" t="s">
        <v>61</v>
      </c>
      <c r="K378" s="20" t="s">
        <v>3490</v>
      </c>
      <c r="L378" s="20" t="s">
        <v>2515</v>
      </c>
      <c r="M378" s="20" t="s">
        <v>2285</v>
      </c>
      <c r="N378" s="20" t="b">
        <v>1</v>
      </c>
      <c r="O378" s="2" t="b">
        <f>IF(Table1938[[#This Row],[Title]]="",TRUE,FALSE)</f>
        <v>0</v>
      </c>
      <c r="P378" s="2" t="b">
        <f>IF(Table1938[[#This Row],[Author]]="",TRUE,FALSE)</f>
        <v>0</v>
      </c>
      <c r="Q378" s="2" t="b">
        <f>IF(Table1938[[#This Row],[DOI]]&lt;&gt;"", FALSE,TRUE)</f>
        <v>0</v>
      </c>
      <c r="R378" s="2" t="b">
        <f>IF(Table1938[[#This Row],[Abstract]]="",TRUE,FALSE)</f>
        <v>0</v>
      </c>
      <c r="S378" s="2" t="b">
        <f>IF(OR(Table1938[[#This Row],[Document Type]]="book",Table1938[[#This Row],[Document Type]]="bookSection"),TRUE,FALSE)</f>
        <v>0</v>
      </c>
      <c r="T378" s="2" t="b">
        <f>NOT(IF(OR(Table1938[[#This Row],[Language]]&lt;&gt;"en",Table1938[[#This Row],[Language]]&lt;&gt;"EN",Table1938[[#This Row],[Language]]&lt;&gt;"spa",Table1938[[#This Row],[Language]]&lt;&gt;"SPA"),TRUE,FALSE))</f>
        <v>0</v>
      </c>
      <c r="U378" s="2" t="b">
        <f>IF(AND(Table1938[[#This Row],[EC-01]]=FALSE,Table1938[[#This Row],[EC-02]]=FALSE,Table1938[[#This Row],[EC-03]]=FALSE,Table1938[[#This Row],[EC-04]]=FALSE,Table1938[[#This Row],[EC-05]]=FALSE,Table1938[[#This Row],[EC-06]]=FALSE),TRUE,FALSE)</f>
        <v>1</v>
      </c>
      <c r="V378" s="2" t="b">
        <f>IF(Table1938[[#This Row],[Date]]&lt;&gt;"",AND(YEAR(Table1938[[#This Row],[Date]])&gt;=2010, YEAR(Table1938[[#This Row],[Date]])&lt;=2024),FALSE)</f>
        <v>1</v>
      </c>
      <c r="W378" s="2" t="b">
        <f>IF(Table1938[[#This Row],[Date]]&lt;&gt;"",AND(YEAR(Table1938[[#This Row],[Date]])&gt;=2010, YEAR(Table1938[[#This Row],[Date]])&lt;=2020),FALSE)</f>
        <v>0</v>
      </c>
      <c r="X378" s="2" t="b">
        <f>IF(AND(Table1938[[#This Row],[Accesible]]=TRUE,Table1938[[#This Row],[DOI]]&lt;&gt;""),TRUE,FALSE)</f>
        <v>1</v>
      </c>
      <c r="Y378" s="2" t="b">
        <f>OR(Table1938[[#This Row],[Document Type]]="journalArticle",Table1938[[#This Row],[Document Type]]="conferencePaper",Table1938[[#This Row],[Document Type]]="review")</f>
        <v>1</v>
      </c>
      <c r="Z378" s="2" t="b" cm="1">
        <f t="array" ref="Z378">SUMPRODUCT(--ISNUMBER(SEARCH({"dimensional analysis","dimensionless coefficients","Π","Pi","theorem","software","design","tools","development","architecture","similar"}, LOWER(Table1938[[#This Row],[Title]]))))&gt;0</f>
        <v>1</v>
      </c>
      <c r="AA378" s="2" t="b" cm="1">
        <f t="array" ref="AA378">SUMPRODUCT(--ISNUMBER(SEARCH({"dimensional analysis","dimensionless coefficients","Π","Pi","theorem","software","design","tools","development","architecture","similar"}, LOWER(Table1938[[#This Row],[Abstract]]))))&gt;0</f>
        <v>1</v>
      </c>
      <c r="AB378" s="2" t="b">
        <f>AND(OR(Table1938[[#This Row],[IC-01 @2024]:[IC-01 @2020]])=TRUE,Table1938[[#This Row],[IC-02]]=TRUE,Table1938[[#This Row],[IC-03]]=TRUE,Table1938[[#This Row],[IC-04]]=TRUE,Table1938[[#This Row],[IC-05]]=TRUE)</f>
        <v>1</v>
      </c>
      <c r="AC378" s="2" t="b">
        <f>AND(Table1938[[#This Row],[Pass-IC]]=TRUE,Table1938[[#This Row],[Pass-EC]]=TRUE)</f>
        <v>1</v>
      </c>
      <c r="AD378" s="2" t="b">
        <f>COUNTIF($D$25:D378, Table1938[[#This Row],[Title]]) = 1</f>
        <v>1</v>
      </c>
      <c r="AE378" s="2" t="b">
        <f>AND(Table1938[[#This Row],[IC + EC]:[Unique]])</f>
        <v>1</v>
      </c>
      <c r="AF378" s="2" t="b">
        <v>1</v>
      </c>
      <c r="AG378" s="2" t="b">
        <v>0</v>
      </c>
      <c r="AH378" s="2" t="b">
        <v>0</v>
      </c>
      <c r="AI378" s="2" t="b">
        <f>IF(AND(Table1938[[#This Row],[Double Check]]=TRUE,Table1938[[#This Row],[Inspected]]=TRUE,Table1938[[#This Row],[Relevant]]=TRUE),TRUE,FALSE)</f>
        <v>0</v>
      </c>
    </row>
    <row r="379" spans="1:35" ht="71.7" x14ac:dyDescent="0.5">
      <c r="A379" s="2">
        <v>378</v>
      </c>
      <c r="B379" s="20" t="s">
        <v>3</v>
      </c>
      <c r="C379" s="20" t="s">
        <v>3491</v>
      </c>
      <c r="D379" s="20" t="s">
        <v>325</v>
      </c>
      <c r="E379" s="20" t="s">
        <v>347</v>
      </c>
      <c r="F379" s="2" t="s">
        <v>375</v>
      </c>
      <c r="G379" s="20" t="s">
        <v>954</v>
      </c>
      <c r="H379" s="36">
        <v>44577</v>
      </c>
      <c r="I379" s="20">
        <v>2022</v>
      </c>
      <c r="J379" s="20" t="s">
        <v>61</v>
      </c>
      <c r="K379" s="20" t="s">
        <v>3492</v>
      </c>
      <c r="L379" s="20" t="s">
        <v>2515</v>
      </c>
      <c r="M379" s="20" t="s">
        <v>400</v>
      </c>
      <c r="N379" s="20" t="b">
        <v>1</v>
      </c>
      <c r="O379" s="2" t="b">
        <f>IF(Table1938[[#This Row],[Title]]="",TRUE,FALSE)</f>
        <v>0</v>
      </c>
      <c r="P379" s="2" t="b">
        <f>IF(Table1938[[#This Row],[Author]]="",TRUE,FALSE)</f>
        <v>0</v>
      </c>
      <c r="Q379" s="2" t="b">
        <f>IF(Table1938[[#This Row],[DOI]]&lt;&gt;"", FALSE,TRUE)</f>
        <v>0</v>
      </c>
      <c r="R379" s="2" t="b">
        <f>IF(Table1938[[#This Row],[Abstract]]="",TRUE,FALSE)</f>
        <v>0</v>
      </c>
      <c r="S379" s="2" t="b">
        <f>IF(OR(Table1938[[#This Row],[Document Type]]="book",Table1938[[#This Row],[Document Type]]="bookSection"),TRUE,FALSE)</f>
        <v>0</v>
      </c>
      <c r="T379" s="2" t="b">
        <f>NOT(IF(OR(Table1938[[#This Row],[Language]]&lt;&gt;"en",Table1938[[#This Row],[Language]]&lt;&gt;"EN",Table1938[[#This Row],[Language]]&lt;&gt;"spa",Table1938[[#This Row],[Language]]&lt;&gt;"SPA"),TRUE,FALSE))</f>
        <v>0</v>
      </c>
      <c r="U379" s="2" t="b">
        <f>IF(AND(Table1938[[#This Row],[EC-01]]=FALSE,Table1938[[#This Row],[EC-02]]=FALSE,Table1938[[#This Row],[EC-03]]=FALSE,Table1938[[#This Row],[EC-04]]=FALSE,Table1938[[#This Row],[EC-05]]=FALSE,Table1938[[#This Row],[EC-06]]=FALSE),TRUE,FALSE)</f>
        <v>1</v>
      </c>
      <c r="V379" s="2" t="b">
        <f>IF(Table1938[[#This Row],[Date]]&lt;&gt;"",AND(YEAR(Table1938[[#This Row],[Date]])&gt;=2010, YEAR(Table1938[[#This Row],[Date]])&lt;=2024),FALSE)</f>
        <v>1</v>
      </c>
      <c r="W379" s="2" t="b">
        <f>IF(Table1938[[#This Row],[Date]]&lt;&gt;"",AND(YEAR(Table1938[[#This Row],[Date]])&gt;=2010, YEAR(Table1938[[#This Row],[Date]])&lt;=2020),FALSE)</f>
        <v>0</v>
      </c>
      <c r="X379" s="2" t="b">
        <f>IF(AND(Table1938[[#This Row],[Accesible]]=TRUE,Table1938[[#This Row],[DOI]]&lt;&gt;""),TRUE,FALSE)</f>
        <v>1</v>
      </c>
      <c r="Y379" s="2" t="b">
        <f>OR(Table1938[[#This Row],[Document Type]]="journalArticle",Table1938[[#This Row],[Document Type]]="conferencePaper",Table1938[[#This Row],[Document Type]]="review")</f>
        <v>1</v>
      </c>
      <c r="Z379" s="2" t="b" cm="1">
        <f t="array" ref="Z379">SUMPRODUCT(--ISNUMBER(SEARCH({"dimensional analysis","dimensionless coefficients","Π","Pi","theorem","software","design","tools","development","architecture","similar"}, LOWER(Table1938[[#This Row],[Title]]))))&gt;0</f>
        <v>0</v>
      </c>
      <c r="AA379" s="2" t="b" cm="1">
        <f t="array" ref="AA379">SUMPRODUCT(--ISNUMBER(SEARCH({"dimensional analysis","dimensionless coefficients","Π","Pi","theorem","software","design","tools","development","architecture","similar"}, LOWER(Table1938[[#This Row],[Abstract]]))))&gt;0</f>
        <v>0</v>
      </c>
      <c r="AB379" s="2" t="b">
        <f>AND(OR(Table1938[[#This Row],[IC-01 @2024]:[IC-01 @2020]])=TRUE,Table1938[[#This Row],[IC-02]]=TRUE,Table1938[[#This Row],[IC-03]]=TRUE,Table1938[[#This Row],[IC-04]]=TRUE,Table1938[[#This Row],[IC-05]]=TRUE)</f>
        <v>0</v>
      </c>
      <c r="AC379" s="2" t="b">
        <f>AND(Table1938[[#This Row],[Pass-IC]]=TRUE,Table1938[[#This Row],[Pass-EC]]=TRUE)</f>
        <v>0</v>
      </c>
      <c r="AD379" s="2" t="b">
        <f>COUNTIF($D$25:D379, Table1938[[#This Row],[Title]]) = 1</f>
        <v>1</v>
      </c>
      <c r="AE379" s="2" t="b">
        <f>AND(Table1938[[#This Row],[IC + EC]:[Unique]])</f>
        <v>0</v>
      </c>
      <c r="AF379" s="2" t="b">
        <v>0</v>
      </c>
      <c r="AG379" s="2" t="b">
        <v>0</v>
      </c>
      <c r="AH379" s="2" t="b">
        <v>0</v>
      </c>
      <c r="AI379" s="2" t="b">
        <f>IF(AND(Table1938[[#This Row],[Double Check]]=TRUE,Table1938[[#This Row],[Inspected]]=TRUE,Table1938[[#This Row],[Relevant]]=TRUE),TRUE,FALSE)</f>
        <v>0</v>
      </c>
    </row>
    <row r="380" spans="1:35" ht="71.7" x14ac:dyDescent="0.5">
      <c r="A380" s="2">
        <v>379</v>
      </c>
      <c r="B380" s="20" t="s">
        <v>3</v>
      </c>
      <c r="C380" s="20" t="s">
        <v>3493</v>
      </c>
      <c r="D380" s="20" t="s">
        <v>2288</v>
      </c>
      <c r="E380" s="20" t="s">
        <v>2287</v>
      </c>
      <c r="F380" s="2" t="s">
        <v>2290</v>
      </c>
      <c r="G380" s="20" t="s">
        <v>939</v>
      </c>
      <c r="H380" s="36">
        <v>40725</v>
      </c>
      <c r="I380" s="20">
        <v>2011</v>
      </c>
      <c r="J380" s="20" t="s">
        <v>61</v>
      </c>
      <c r="K380" s="20" t="s">
        <v>3494</v>
      </c>
      <c r="L380" s="20" t="s">
        <v>2515</v>
      </c>
      <c r="M380" s="20" t="s">
        <v>2289</v>
      </c>
      <c r="N380" s="20" t="b">
        <v>1</v>
      </c>
      <c r="O380" s="2" t="b">
        <f>IF(Table1938[[#This Row],[Title]]="",TRUE,FALSE)</f>
        <v>0</v>
      </c>
      <c r="P380" s="2" t="b">
        <f>IF(Table1938[[#This Row],[Author]]="",TRUE,FALSE)</f>
        <v>0</v>
      </c>
      <c r="Q380" s="2" t="b">
        <f>IF(Table1938[[#This Row],[DOI]]&lt;&gt;"", FALSE,TRUE)</f>
        <v>0</v>
      </c>
      <c r="R380" s="2" t="b">
        <f>IF(Table1938[[#This Row],[Abstract]]="",TRUE,FALSE)</f>
        <v>0</v>
      </c>
      <c r="S380" s="2" t="b">
        <f>IF(OR(Table1938[[#This Row],[Document Type]]="book",Table1938[[#This Row],[Document Type]]="bookSection"),TRUE,FALSE)</f>
        <v>0</v>
      </c>
      <c r="T380" s="2" t="b">
        <f>NOT(IF(OR(Table1938[[#This Row],[Language]]&lt;&gt;"en",Table1938[[#This Row],[Language]]&lt;&gt;"EN",Table1938[[#This Row],[Language]]&lt;&gt;"spa",Table1938[[#This Row],[Language]]&lt;&gt;"SPA"),TRUE,FALSE))</f>
        <v>0</v>
      </c>
      <c r="U380" s="2" t="b">
        <f>IF(AND(Table1938[[#This Row],[EC-01]]=FALSE,Table1938[[#This Row],[EC-02]]=FALSE,Table1938[[#This Row],[EC-03]]=FALSE,Table1938[[#This Row],[EC-04]]=FALSE,Table1938[[#This Row],[EC-05]]=FALSE,Table1938[[#This Row],[EC-06]]=FALSE),TRUE,FALSE)</f>
        <v>1</v>
      </c>
      <c r="V380" s="2" t="b">
        <f>IF(Table1938[[#This Row],[Date]]&lt;&gt;"",AND(YEAR(Table1938[[#This Row],[Date]])&gt;=2010, YEAR(Table1938[[#This Row],[Date]])&lt;=2024),FALSE)</f>
        <v>1</v>
      </c>
      <c r="W380" s="2" t="b">
        <f>IF(Table1938[[#This Row],[Date]]&lt;&gt;"",AND(YEAR(Table1938[[#This Row],[Date]])&gt;=2010, YEAR(Table1938[[#This Row],[Date]])&lt;=2020),FALSE)</f>
        <v>1</v>
      </c>
      <c r="X380" s="2" t="b">
        <f>IF(AND(Table1938[[#This Row],[Accesible]]=TRUE,Table1938[[#This Row],[DOI]]&lt;&gt;""),TRUE,FALSE)</f>
        <v>1</v>
      </c>
      <c r="Y380" s="2" t="b">
        <f>OR(Table1938[[#This Row],[Document Type]]="journalArticle",Table1938[[#This Row],[Document Type]]="conferencePaper",Table1938[[#This Row],[Document Type]]="review")</f>
        <v>1</v>
      </c>
      <c r="Z380" s="2" t="b" cm="1">
        <f t="array" ref="Z380">SUMPRODUCT(--ISNUMBER(SEARCH({"dimensional analysis","dimensionless coefficients","Π","Pi","theorem","software","design","tools","development","architecture","similar"}, LOWER(Table1938[[#This Row],[Title]]))))&gt;0</f>
        <v>1</v>
      </c>
      <c r="AA380" s="2" t="b" cm="1">
        <f t="array" ref="AA380">SUMPRODUCT(--ISNUMBER(SEARCH({"dimensional analysis","dimensionless coefficients","Π","Pi","theorem","software","design","tools","development","architecture","similar"}, LOWER(Table1938[[#This Row],[Abstract]]))))&gt;0</f>
        <v>1</v>
      </c>
      <c r="AB380" s="2" t="b">
        <f>AND(OR(Table1938[[#This Row],[IC-01 @2024]:[IC-01 @2020]])=TRUE,Table1938[[#This Row],[IC-02]]=TRUE,Table1938[[#This Row],[IC-03]]=TRUE,Table1938[[#This Row],[IC-04]]=TRUE,Table1938[[#This Row],[IC-05]]=TRUE)</f>
        <v>1</v>
      </c>
      <c r="AC380" s="2" t="b">
        <f>AND(Table1938[[#This Row],[Pass-IC]]=TRUE,Table1938[[#This Row],[Pass-EC]]=TRUE)</f>
        <v>1</v>
      </c>
      <c r="AD380" s="2" t="b">
        <f>COUNTIF($D$25:D380, Table1938[[#This Row],[Title]]) = 1</f>
        <v>1</v>
      </c>
      <c r="AE380" s="2" t="b">
        <f>AND(Table1938[[#This Row],[IC + EC]:[Unique]])</f>
        <v>1</v>
      </c>
      <c r="AF380" s="2" t="b">
        <v>1</v>
      </c>
      <c r="AG380" s="2" t="b">
        <v>0</v>
      </c>
      <c r="AH380" s="2" t="b">
        <v>0</v>
      </c>
      <c r="AI380" s="2" t="b">
        <f>IF(AND(Table1938[[#This Row],[Double Check]]=TRUE,Table1938[[#This Row],[Inspected]]=TRUE,Table1938[[#This Row],[Relevant]]=TRUE),TRUE,FALSE)</f>
        <v>0</v>
      </c>
    </row>
    <row r="381" spans="1:35" ht="57.35" x14ac:dyDescent="0.5">
      <c r="A381" s="2">
        <v>380</v>
      </c>
      <c r="B381" s="20" t="s">
        <v>3</v>
      </c>
      <c r="C381" s="20" t="s">
        <v>3495</v>
      </c>
      <c r="D381" s="20" t="s">
        <v>2213</v>
      </c>
      <c r="E381" s="20" t="s">
        <v>2212</v>
      </c>
      <c r="F381" s="2" t="s">
        <v>2216</v>
      </c>
      <c r="G381" s="20" t="s">
        <v>2214</v>
      </c>
      <c r="H381" s="36">
        <v>41309</v>
      </c>
      <c r="I381" s="20">
        <v>2013</v>
      </c>
      <c r="J381" s="20" t="s">
        <v>61</v>
      </c>
      <c r="K381" s="20" t="s">
        <v>123</v>
      </c>
      <c r="L381" s="20" t="s">
        <v>2515</v>
      </c>
      <c r="M381" s="20" t="s">
        <v>2215</v>
      </c>
      <c r="N381" s="20" t="b">
        <v>1</v>
      </c>
      <c r="O381" s="2" t="b">
        <f>IF(Table1938[[#This Row],[Title]]="",TRUE,FALSE)</f>
        <v>0</v>
      </c>
      <c r="P381" s="2" t="b">
        <f>IF(Table1938[[#This Row],[Author]]="",TRUE,FALSE)</f>
        <v>0</v>
      </c>
      <c r="Q381" s="2" t="b">
        <f>IF(Table1938[[#This Row],[DOI]]&lt;&gt;"", FALSE,TRUE)</f>
        <v>0</v>
      </c>
      <c r="R381" s="2" t="b">
        <f>IF(Table1938[[#This Row],[Abstract]]="",TRUE,FALSE)</f>
        <v>0</v>
      </c>
      <c r="S381" s="2" t="b">
        <f>IF(OR(Table1938[[#This Row],[Document Type]]="book",Table1938[[#This Row],[Document Type]]="bookSection"),TRUE,FALSE)</f>
        <v>0</v>
      </c>
      <c r="T381" s="2" t="b">
        <f>NOT(IF(OR(Table1938[[#This Row],[Language]]&lt;&gt;"en",Table1938[[#This Row],[Language]]&lt;&gt;"EN",Table1938[[#This Row],[Language]]&lt;&gt;"spa",Table1938[[#This Row],[Language]]&lt;&gt;"SPA"),TRUE,FALSE))</f>
        <v>0</v>
      </c>
      <c r="U381" s="2" t="b">
        <f>IF(AND(Table1938[[#This Row],[EC-01]]=FALSE,Table1938[[#This Row],[EC-02]]=FALSE,Table1938[[#This Row],[EC-03]]=FALSE,Table1938[[#This Row],[EC-04]]=FALSE,Table1938[[#This Row],[EC-05]]=FALSE,Table1938[[#This Row],[EC-06]]=FALSE),TRUE,FALSE)</f>
        <v>1</v>
      </c>
      <c r="V381" s="2" t="b">
        <f>IF(Table1938[[#This Row],[Date]]&lt;&gt;"",AND(YEAR(Table1938[[#This Row],[Date]])&gt;=2010, YEAR(Table1938[[#This Row],[Date]])&lt;=2024),FALSE)</f>
        <v>1</v>
      </c>
      <c r="W381" s="2" t="b">
        <f>IF(Table1938[[#This Row],[Date]]&lt;&gt;"",AND(YEAR(Table1938[[#This Row],[Date]])&gt;=2010, YEAR(Table1938[[#This Row],[Date]])&lt;=2020),FALSE)</f>
        <v>1</v>
      </c>
      <c r="X381" s="2" t="b">
        <f>IF(AND(Table1938[[#This Row],[Accesible]]=TRUE,Table1938[[#This Row],[DOI]]&lt;&gt;""),TRUE,FALSE)</f>
        <v>1</v>
      </c>
      <c r="Y381" s="2" t="b">
        <f>OR(Table1938[[#This Row],[Document Type]]="journalArticle",Table1938[[#This Row],[Document Type]]="conferencePaper",Table1938[[#This Row],[Document Type]]="review")</f>
        <v>1</v>
      </c>
      <c r="Z381" s="2" t="b" cm="1">
        <f t="array" ref="Z381">SUMPRODUCT(--ISNUMBER(SEARCH({"dimensional analysis","dimensionless coefficients","Π","Pi","theorem","software","design","tools","development","architecture","similar"}, LOWER(Table1938[[#This Row],[Title]]))))&gt;0</f>
        <v>1</v>
      </c>
      <c r="AA381" s="2" t="b" cm="1">
        <f t="array" ref="AA381">SUMPRODUCT(--ISNUMBER(SEARCH({"dimensional analysis","dimensionless coefficients","Π","Pi","theorem","software","design","tools","development","architecture","similar"}, LOWER(Table1938[[#This Row],[Abstract]]))))&gt;0</f>
        <v>1</v>
      </c>
      <c r="AB381" s="2" t="b">
        <f>AND(OR(Table1938[[#This Row],[IC-01 @2024]:[IC-01 @2020]])=TRUE,Table1938[[#This Row],[IC-02]]=TRUE,Table1938[[#This Row],[IC-03]]=TRUE,Table1938[[#This Row],[IC-04]]=TRUE,Table1938[[#This Row],[IC-05]]=TRUE)</f>
        <v>1</v>
      </c>
      <c r="AC381" s="2" t="b">
        <f>AND(Table1938[[#This Row],[Pass-IC]]=TRUE,Table1938[[#This Row],[Pass-EC]]=TRUE)</f>
        <v>1</v>
      </c>
      <c r="AD381" s="2" t="b">
        <f>COUNTIF($D$25:D381, Table1938[[#This Row],[Title]]) = 1</f>
        <v>1</v>
      </c>
      <c r="AE381" s="2" t="b">
        <f>AND(Table1938[[#This Row],[IC + EC]:[Unique]])</f>
        <v>1</v>
      </c>
      <c r="AF381" s="2" t="b">
        <v>1</v>
      </c>
      <c r="AG381" s="2" t="b">
        <v>0</v>
      </c>
      <c r="AH381" s="2" t="b">
        <v>0</v>
      </c>
      <c r="AI381" s="2" t="b">
        <f>IF(AND(Table1938[[#This Row],[Double Check]]=TRUE,Table1938[[#This Row],[Inspected]]=TRUE,Table1938[[#This Row],[Relevant]]=TRUE),TRUE,FALSE)</f>
        <v>0</v>
      </c>
    </row>
    <row r="382" spans="1:35" ht="43" x14ac:dyDescent="0.5">
      <c r="A382" s="2">
        <v>381</v>
      </c>
      <c r="B382" s="20" t="s">
        <v>3</v>
      </c>
      <c r="C382" s="20" t="s">
        <v>3496</v>
      </c>
      <c r="D382" s="20" t="s">
        <v>1261</v>
      </c>
      <c r="E382" s="20" t="s">
        <v>1260</v>
      </c>
      <c r="F382" s="2" t="s">
        <v>1264</v>
      </c>
      <c r="G382" s="20" t="s">
        <v>1262</v>
      </c>
      <c r="H382" s="36">
        <v>45261</v>
      </c>
      <c r="I382" s="20">
        <v>2023</v>
      </c>
      <c r="J382" s="20" t="s">
        <v>61</v>
      </c>
      <c r="K382" s="20" t="s">
        <v>3497</v>
      </c>
      <c r="L382" s="20" t="s">
        <v>2515</v>
      </c>
      <c r="M382" s="20" t="s">
        <v>1263</v>
      </c>
      <c r="N382" s="20" t="b">
        <v>1</v>
      </c>
      <c r="O382" s="2" t="b">
        <f>IF(Table1938[[#This Row],[Title]]="",TRUE,FALSE)</f>
        <v>0</v>
      </c>
      <c r="P382" s="2" t="b">
        <f>IF(Table1938[[#This Row],[Author]]="",TRUE,FALSE)</f>
        <v>0</v>
      </c>
      <c r="Q382" s="2" t="b">
        <f>IF(Table1938[[#This Row],[DOI]]&lt;&gt;"", FALSE,TRUE)</f>
        <v>0</v>
      </c>
      <c r="R382" s="2" t="b">
        <f>IF(Table1938[[#This Row],[Abstract]]="",TRUE,FALSE)</f>
        <v>0</v>
      </c>
      <c r="S382" s="2" t="b">
        <f>IF(OR(Table1938[[#This Row],[Document Type]]="book",Table1938[[#This Row],[Document Type]]="bookSection"),TRUE,FALSE)</f>
        <v>0</v>
      </c>
      <c r="T382" s="2" t="b">
        <f>NOT(IF(OR(Table1938[[#This Row],[Language]]&lt;&gt;"en",Table1938[[#This Row],[Language]]&lt;&gt;"EN",Table1938[[#This Row],[Language]]&lt;&gt;"spa",Table1938[[#This Row],[Language]]&lt;&gt;"SPA"),TRUE,FALSE))</f>
        <v>0</v>
      </c>
      <c r="U382" s="2" t="b">
        <f>IF(AND(Table1938[[#This Row],[EC-01]]=FALSE,Table1938[[#This Row],[EC-02]]=FALSE,Table1938[[#This Row],[EC-03]]=FALSE,Table1938[[#This Row],[EC-04]]=FALSE,Table1938[[#This Row],[EC-05]]=FALSE,Table1938[[#This Row],[EC-06]]=FALSE),TRUE,FALSE)</f>
        <v>1</v>
      </c>
      <c r="V382" s="2" t="b">
        <f>IF(Table1938[[#This Row],[Date]]&lt;&gt;"",AND(YEAR(Table1938[[#This Row],[Date]])&gt;=2010, YEAR(Table1938[[#This Row],[Date]])&lt;=2024),FALSE)</f>
        <v>1</v>
      </c>
      <c r="W382" s="2" t="b">
        <f>IF(Table1938[[#This Row],[Date]]&lt;&gt;"",AND(YEAR(Table1938[[#This Row],[Date]])&gt;=2010, YEAR(Table1938[[#This Row],[Date]])&lt;=2020),FALSE)</f>
        <v>0</v>
      </c>
      <c r="X382" s="2" t="b">
        <f>IF(AND(Table1938[[#This Row],[Accesible]]=TRUE,Table1938[[#This Row],[DOI]]&lt;&gt;""),TRUE,FALSE)</f>
        <v>1</v>
      </c>
      <c r="Y382" s="2" t="b">
        <f>OR(Table1938[[#This Row],[Document Type]]="journalArticle",Table1938[[#This Row],[Document Type]]="conferencePaper",Table1938[[#This Row],[Document Type]]="review")</f>
        <v>1</v>
      </c>
      <c r="Z382" s="2" t="b" cm="1">
        <f t="array" ref="Z382">SUMPRODUCT(--ISNUMBER(SEARCH({"dimensional analysis","dimensionless coefficients","Π","Pi","theorem","software","design","tools","development","architecture","similar"}, LOWER(Table1938[[#This Row],[Title]]))))&gt;0</f>
        <v>1</v>
      </c>
      <c r="AA382" s="2" t="b" cm="1">
        <f t="array" ref="AA382">SUMPRODUCT(--ISNUMBER(SEARCH({"dimensional analysis","dimensionless coefficients","Π","Pi","theorem","software","design","tools","development","architecture","similar"}, LOWER(Table1938[[#This Row],[Abstract]]))))&gt;0</f>
        <v>1</v>
      </c>
      <c r="AB382" s="2" t="b">
        <f>AND(OR(Table1938[[#This Row],[IC-01 @2024]:[IC-01 @2020]])=TRUE,Table1938[[#This Row],[IC-02]]=TRUE,Table1938[[#This Row],[IC-03]]=TRUE,Table1938[[#This Row],[IC-04]]=TRUE,Table1938[[#This Row],[IC-05]]=TRUE)</f>
        <v>1</v>
      </c>
      <c r="AC382" s="2" t="b">
        <f>AND(Table1938[[#This Row],[Pass-IC]]=TRUE,Table1938[[#This Row],[Pass-EC]]=TRUE)</f>
        <v>1</v>
      </c>
      <c r="AD382" s="2" t="b">
        <f>COUNTIF($D$25:D382, Table1938[[#This Row],[Title]]) = 1</f>
        <v>1</v>
      </c>
      <c r="AE382" s="2" t="b">
        <f>AND(Table1938[[#This Row],[IC + EC]:[Unique]])</f>
        <v>1</v>
      </c>
      <c r="AF382" s="2" t="b">
        <v>1</v>
      </c>
      <c r="AG382" s="2" t="b">
        <v>0</v>
      </c>
      <c r="AH382" s="2" t="b">
        <v>0</v>
      </c>
      <c r="AI382" s="2" t="b">
        <f>IF(AND(Table1938[[#This Row],[Double Check]]=TRUE,Table1938[[#This Row],[Inspected]]=TRUE,Table1938[[#This Row],[Relevant]]=TRUE),TRUE,FALSE)</f>
        <v>0</v>
      </c>
    </row>
    <row r="383" spans="1:35" ht="57.35" x14ac:dyDescent="0.5">
      <c r="A383" s="2">
        <v>382</v>
      </c>
      <c r="B383" s="20" t="s">
        <v>3</v>
      </c>
      <c r="C383" s="20" t="s">
        <v>3498</v>
      </c>
      <c r="D383" s="20" t="s">
        <v>1511</v>
      </c>
      <c r="E383" s="20" t="s">
        <v>1510</v>
      </c>
      <c r="F383" s="2" t="s">
        <v>1513</v>
      </c>
      <c r="G383" s="20" t="s">
        <v>1008</v>
      </c>
      <c r="H383" s="36">
        <v>45536</v>
      </c>
      <c r="I383" s="20">
        <v>2024</v>
      </c>
      <c r="J383" s="20" t="s">
        <v>61</v>
      </c>
      <c r="K383" s="20" t="s">
        <v>3499</v>
      </c>
      <c r="L383" s="20" t="s">
        <v>2515</v>
      </c>
      <c r="M383" s="20" t="s">
        <v>1512</v>
      </c>
      <c r="N383" s="20" t="b">
        <v>1</v>
      </c>
      <c r="O383" s="2" t="b">
        <f>IF(Table1938[[#This Row],[Title]]="",TRUE,FALSE)</f>
        <v>0</v>
      </c>
      <c r="P383" s="2" t="b">
        <f>IF(Table1938[[#This Row],[Author]]="",TRUE,FALSE)</f>
        <v>0</v>
      </c>
      <c r="Q383" s="2" t="b">
        <f>IF(Table1938[[#This Row],[DOI]]&lt;&gt;"", FALSE,TRUE)</f>
        <v>0</v>
      </c>
      <c r="R383" s="2" t="b">
        <f>IF(Table1938[[#This Row],[Abstract]]="",TRUE,FALSE)</f>
        <v>0</v>
      </c>
      <c r="S383" s="2" t="b">
        <f>IF(OR(Table1938[[#This Row],[Document Type]]="book",Table1938[[#This Row],[Document Type]]="bookSection"),TRUE,FALSE)</f>
        <v>0</v>
      </c>
      <c r="T383" s="2" t="b">
        <f>NOT(IF(OR(Table1938[[#This Row],[Language]]&lt;&gt;"en",Table1938[[#This Row],[Language]]&lt;&gt;"EN",Table1938[[#This Row],[Language]]&lt;&gt;"spa",Table1938[[#This Row],[Language]]&lt;&gt;"SPA"),TRUE,FALSE))</f>
        <v>0</v>
      </c>
      <c r="U383" s="2" t="b">
        <f>IF(AND(Table1938[[#This Row],[EC-01]]=FALSE,Table1938[[#This Row],[EC-02]]=FALSE,Table1938[[#This Row],[EC-03]]=FALSE,Table1938[[#This Row],[EC-04]]=FALSE,Table1938[[#This Row],[EC-05]]=FALSE,Table1938[[#This Row],[EC-06]]=FALSE),TRUE,FALSE)</f>
        <v>1</v>
      </c>
      <c r="V383" s="2" t="b">
        <f>IF(Table1938[[#This Row],[Date]]&lt;&gt;"",AND(YEAR(Table1938[[#This Row],[Date]])&gt;=2010, YEAR(Table1938[[#This Row],[Date]])&lt;=2024),FALSE)</f>
        <v>1</v>
      </c>
      <c r="W383" s="2" t="b">
        <f>IF(Table1938[[#This Row],[Date]]&lt;&gt;"",AND(YEAR(Table1938[[#This Row],[Date]])&gt;=2010, YEAR(Table1938[[#This Row],[Date]])&lt;=2020),FALSE)</f>
        <v>0</v>
      </c>
      <c r="X383" s="2" t="b">
        <f>IF(AND(Table1938[[#This Row],[Accesible]]=TRUE,Table1938[[#This Row],[DOI]]&lt;&gt;""),TRUE,FALSE)</f>
        <v>1</v>
      </c>
      <c r="Y383" s="2" t="b">
        <f>OR(Table1938[[#This Row],[Document Type]]="journalArticle",Table1938[[#This Row],[Document Type]]="conferencePaper",Table1938[[#This Row],[Document Type]]="review")</f>
        <v>1</v>
      </c>
      <c r="Z383" s="2" t="b" cm="1">
        <f t="array" ref="Z383">SUMPRODUCT(--ISNUMBER(SEARCH({"dimensional analysis","dimensionless coefficients","Π","Pi","theorem","software","design","tools","development","architecture","similar"}, LOWER(Table1938[[#This Row],[Title]]))))&gt;0</f>
        <v>0</v>
      </c>
      <c r="AA383" s="2" t="b" cm="1">
        <f t="array" ref="AA383">SUMPRODUCT(--ISNUMBER(SEARCH({"dimensional analysis","dimensionless coefficients","Π","Pi","theorem","software","design","tools","development","architecture","similar"}, LOWER(Table1938[[#This Row],[Abstract]]))))&gt;0</f>
        <v>0</v>
      </c>
      <c r="AB383" s="2" t="b">
        <f>AND(OR(Table1938[[#This Row],[IC-01 @2024]:[IC-01 @2020]])=TRUE,Table1938[[#This Row],[IC-02]]=TRUE,Table1938[[#This Row],[IC-03]]=TRUE,Table1938[[#This Row],[IC-04]]=TRUE,Table1938[[#This Row],[IC-05]]=TRUE)</f>
        <v>0</v>
      </c>
      <c r="AC383" s="2" t="b">
        <f>AND(Table1938[[#This Row],[Pass-IC]]=TRUE,Table1938[[#This Row],[Pass-EC]]=TRUE)</f>
        <v>0</v>
      </c>
      <c r="AD383" s="2" t="b">
        <f>COUNTIF($D$25:D383, Table1938[[#This Row],[Title]]) = 1</f>
        <v>1</v>
      </c>
      <c r="AE383" s="2" t="b">
        <f>AND(Table1938[[#This Row],[IC + EC]:[Unique]])</f>
        <v>0</v>
      </c>
      <c r="AF383" s="2" t="b">
        <v>0</v>
      </c>
      <c r="AG383" s="2" t="b">
        <v>0</v>
      </c>
      <c r="AH383" s="2" t="b">
        <v>0</v>
      </c>
      <c r="AI383" s="2" t="b">
        <f>IF(AND(Table1938[[#This Row],[Double Check]]=TRUE,Table1938[[#This Row],[Inspected]]=TRUE,Table1938[[#This Row],[Relevant]]=TRUE),TRUE,FALSE)</f>
        <v>0</v>
      </c>
    </row>
    <row r="384" spans="1:35" ht="57.35" x14ac:dyDescent="0.5">
      <c r="A384" s="2">
        <v>383</v>
      </c>
      <c r="B384" s="20" t="s">
        <v>3</v>
      </c>
      <c r="C384" s="20" t="s">
        <v>3500</v>
      </c>
      <c r="D384" s="20" t="s">
        <v>1853</v>
      </c>
      <c r="E384" s="20" t="s">
        <v>1852</v>
      </c>
      <c r="F384" s="2" t="s">
        <v>1855</v>
      </c>
      <c r="G384" s="20" t="s">
        <v>1002</v>
      </c>
      <c r="H384" s="36">
        <v>45108</v>
      </c>
      <c r="I384" s="20">
        <v>2023</v>
      </c>
      <c r="J384" s="20" t="s">
        <v>61</v>
      </c>
      <c r="K384" s="20" t="s">
        <v>3501</v>
      </c>
      <c r="L384" s="20" t="s">
        <v>2515</v>
      </c>
      <c r="M384" s="20" t="s">
        <v>1854</v>
      </c>
      <c r="N384" s="20" t="b">
        <v>1</v>
      </c>
      <c r="O384" s="2" t="b">
        <f>IF(Table1938[[#This Row],[Title]]="",TRUE,FALSE)</f>
        <v>0</v>
      </c>
      <c r="P384" s="2" t="b">
        <f>IF(Table1938[[#This Row],[Author]]="",TRUE,FALSE)</f>
        <v>0</v>
      </c>
      <c r="Q384" s="2" t="b">
        <f>IF(Table1938[[#This Row],[DOI]]&lt;&gt;"", FALSE,TRUE)</f>
        <v>0</v>
      </c>
      <c r="R384" s="2" t="b">
        <f>IF(Table1938[[#This Row],[Abstract]]="",TRUE,FALSE)</f>
        <v>0</v>
      </c>
      <c r="S384" s="2" t="b">
        <f>IF(OR(Table1938[[#This Row],[Document Type]]="book",Table1938[[#This Row],[Document Type]]="bookSection"),TRUE,FALSE)</f>
        <v>0</v>
      </c>
      <c r="T384" s="2" t="b">
        <f>NOT(IF(OR(Table1938[[#This Row],[Language]]&lt;&gt;"en",Table1938[[#This Row],[Language]]&lt;&gt;"EN",Table1938[[#This Row],[Language]]&lt;&gt;"spa",Table1938[[#This Row],[Language]]&lt;&gt;"SPA"),TRUE,FALSE))</f>
        <v>0</v>
      </c>
      <c r="U384" s="2" t="b">
        <f>IF(AND(Table1938[[#This Row],[EC-01]]=FALSE,Table1938[[#This Row],[EC-02]]=FALSE,Table1938[[#This Row],[EC-03]]=FALSE,Table1938[[#This Row],[EC-04]]=FALSE,Table1938[[#This Row],[EC-05]]=FALSE,Table1938[[#This Row],[EC-06]]=FALSE),TRUE,FALSE)</f>
        <v>1</v>
      </c>
      <c r="V384" s="2" t="b">
        <f>IF(Table1938[[#This Row],[Date]]&lt;&gt;"",AND(YEAR(Table1938[[#This Row],[Date]])&gt;=2010, YEAR(Table1938[[#This Row],[Date]])&lt;=2024),FALSE)</f>
        <v>1</v>
      </c>
      <c r="W384" s="2" t="b">
        <f>IF(Table1938[[#This Row],[Date]]&lt;&gt;"",AND(YEAR(Table1938[[#This Row],[Date]])&gt;=2010, YEAR(Table1938[[#This Row],[Date]])&lt;=2020),FALSE)</f>
        <v>0</v>
      </c>
      <c r="X384" s="2" t="b">
        <f>IF(AND(Table1938[[#This Row],[Accesible]]=TRUE,Table1938[[#This Row],[DOI]]&lt;&gt;""),TRUE,FALSE)</f>
        <v>1</v>
      </c>
      <c r="Y384" s="2" t="b">
        <f>OR(Table1938[[#This Row],[Document Type]]="journalArticle",Table1938[[#This Row],[Document Type]]="conferencePaper",Table1938[[#This Row],[Document Type]]="review")</f>
        <v>1</v>
      </c>
      <c r="Z384" s="2" t="b" cm="1">
        <f t="array" ref="Z384">SUMPRODUCT(--ISNUMBER(SEARCH({"dimensional analysis","dimensionless coefficients","Π","Pi","theorem","software","design","tools","development","architecture","similar"}, LOWER(Table1938[[#This Row],[Title]]))))&gt;0</f>
        <v>1</v>
      </c>
      <c r="AA384" s="2" t="b" cm="1">
        <f t="array" ref="AA384">SUMPRODUCT(--ISNUMBER(SEARCH({"dimensional analysis","dimensionless coefficients","Π","Pi","theorem","software","design","tools","development","architecture","similar"}, LOWER(Table1938[[#This Row],[Abstract]]))))&gt;0</f>
        <v>1</v>
      </c>
      <c r="AB384" s="2" t="b">
        <f>AND(OR(Table1938[[#This Row],[IC-01 @2024]:[IC-01 @2020]])=TRUE,Table1938[[#This Row],[IC-02]]=TRUE,Table1938[[#This Row],[IC-03]]=TRUE,Table1938[[#This Row],[IC-04]]=TRUE,Table1938[[#This Row],[IC-05]]=TRUE)</f>
        <v>1</v>
      </c>
      <c r="AC384" s="2" t="b">
        <f>AND(Table1938[[#This Row],[Pass-IC]]=TRUE,Table1938[[#This Row],[Pass-EC]]=TRUE)</f>
        <v>1</v>
      </c>
      <c r="AD384" s="2" t="b">
        <f>COUNTIF($D$25:D384, Table1938[[#This Row],[Title]]) = 1</f>
        <v>1</v>
      </c>
      <c r="AE384" s="2" t="b">
        <f>AND(Table1938[[#This Row],[IC + EC]:[Unique]])</f>
        <v>1</v>
      </c>
      <c r="AF384" s="2" t="b">
        <v>1</v>
      </c>
      <c r="AG384" s="2" t="b">
        <v>0</v>
      </c>
      <c r="AH384" s="2" t="b">
        <v>0</v>
      </c>
      <c r="AI384" s="2" t="b">
        <f>IF(AND(Table1938[[#This Row],[Double Check]]=TRUE,Table1938[[#This Row],[Inspected]]=TRUE,Table1938[[#This Row],[Relevant]]=TRUE),TRUE,FALSE)</f>
        <v>0</v>
      </c>
    </row>
    <row r="385" spans="1:35" ht="28.7" x14ac:dyDescent="0.5">
      <c r="A385" s="2">
        <v>384</v>
      </c>
      <c r="B385" s="20" t="s">
        <v>3</v>
      </c>
      <c r="C385" s="20" t="s">
        <v>3502</v>
      </c>
      <c r="D385" s="20" t="s">
        <v>2323</v>
      </c>
      <c r="E385" s="20" t="s">
        <v>2322</v>
      </c>
      <c r="F385" s="2" t="s">
        <v>2325</v>
      </c>
      <c r="G385" s="20" t="s">
        <v>1005</v>
      </c>
      <c r="H385" s="36">
        <v>41609</v>
      </c>
      <c r="I385" s="20">
        <v>2013</v>
      </c>
      <c r="J385" s="20" t="s">
        <v>61</v>
      </c>
      <c r="K385" s="20" t="s">
        <v>3503</v>
      </c>
      <c r="L385" s="20" t="s">
        <v>2515</v>
      </c>
      <c r="M385" s="20" t="s">
        <v>2324</v>
      </c>
      <c r="N385" s="20" t="b">
        <v>1</v>
      </c>
      <c r="O385" s="2" t="b">
        <f>IF(Table1938[[#This Row],[Title]]="",TRUE,FALSE)</f>
        <v>0</v>
      </c>
      <c r="P385" s="2" t="b">
        <f>IF(Table1938[[#This Row],[Author]]="",TRUE,FALSE)</f>
        <v>0</v>
      </c>
      <c r="Q385" s="2" t="b">
        <f>IF(Table1938[[#This Row],[DOI]]&lt;&gt;"", FALSE,TRUE)</f>
        <v>0</v>
      </c>
      <c r="R385" s="2" t="b">
        <f>IF(Table1938[[#This Row],[Abstract]]="",TRUE,FALSE)</f>
        <v>0</v>
      </c>
      <c r="S385" s="2" t="b">
        <f>IF(OR(Table1938[[#This Row],[Document Type]]="book",Table1938[[#This Row],[Document Type]]="bookSection"),TRUE,FALSE)</f>
        <v>0</v>
      </c>
      <c r="T385" s="2" t="b">
        <f>NOT(IF(OR(Table1938[[#This Row],[Language]]&lt;&gt;"en",Table1938[[#This Row],[Language]]&lt;&gt;"EN",Table1938[[#This Row],[Language]]&lt;&gt;"spa",Table1938[[#This Row],[Language]]&lt;&gt;"SPA"),TRUE,FALSE))</f>
        <v>0</v>
      </c>
      <c r="U385" s="2" t="b">
        <f>IF(AND(Table1938[[#This Row],[EC-01]]=FALSE,Table1938[[#This Row],[EC-02]]=FALSE,Table1938[[#This Row],[EC-03]]=FALSE,Table1938[[#This Row],[EC-04]]=FALSE,Table1938[[#This Row],[EC-05]]=FALSE,Table1938[[#This Row],[EC-06]]=FALSE),TRUE,FALSE)</f>
        <v>1</v>
      </c>
      <c r="V385" s="2" t="b">
        <f>IF(Table1938[[#This Row],[Date]]&lt;&gt;"",AND(YEAR(Table1938[[#This Row],[Date]])&gt;=2010, YEAR(Table1938[[#This Row],[Date]])&lt;=2024),FALSE)</f>
        <v>1</v>
      </c>
      <c r="W385" s="2" t="b">
        <f>IF(Table1938[[#This Row],[Date]]&lt;&gt;"",AND(YEAR(Table1938[[#This Row],[Date]])&gt;=2010, YEAR(Table1938[[#This Row],[Date]])&lt;=2020),FALSE)</f>
        <v>1</v>
      </c>
      <c r="X385" s="2" t="b">
        <f>IF(AND(Table1938[[#This Row],[Accesible]]=TRUE,Table1938[[#This Row],[DOI]]&lt;&gt;""),TRUE,FALSE)</f>
        <v>1</v>
      </c>
      <c r="Y385" s="2" t="b">
        <f>OR(Table1938[[#This Row],[Document Type]]="journalArticle",Table1938[[#This Row],[Document Type]]="conferencePaper",Table1938[[#This Row],[Document Type]]="review")</f>
        <v>1</v>
      </c>
      <c r="Z385" s="2" t="b" cm="1">
        <f t="array" ref="Z385">SUMPRODUCT(--ISNUMBER(SEARCH({"dimensional analysis","dimensionless coefficients","Π","Pi","theorem","software","design","tools","development","architecture","similar"}, LOWER(Table1938[[#This Row],[Title]]))))&gt;0</f>
        <v>0</v>
      </c>
      <c r="AA385" s="2" t="b" cm="1">
        <f t="array" ref="AA385">SUMPRODUCT(--ISNUMBER(SEARCH({"dimensional analysis","dimensionless coefficients","Π","Pi","theorem","software","design","tools","development","architecture","similar"}, LOWER(Table1938[[#This Row],[Abstract]]))))&gt;0</f>
        <v>1</v>
      </c>
      <c r="AB385" s="2" t="b">
        <f>AND(OR(Table1938[[#This Row],[IC-01 @2024]:[IC-01 @2020]])=TRUE,Table1938[[#This Row],[IC-02]]=TRUE,Table1938[[#This Row],[IC-03]]=TRUE,Table1938[[#This Row],[IC-04]]=TRUE,Table1938[[#This Row],[IC-05]]=TRUE)</f>
        <v>0</v>
      </c>
      <c r="AC385" s="2" t="b">
        <f>AND(Table1938[[#This Row],[Pass-IC]]=TRUE,Table1938[[#This Row],[Pass-EC]]=TRUE)</f>
        <v>0</v>
      </c>
      <c r="AD385" s="2" t="b">
        <f>COUNTIF($D$25:D385, Table1938[[#This Row],[Title]]) = 1</f>
        <v>1</v>
      </c>
      <c r="AE385" s="2" t="b">
        <f>AND(Table1938[[#This Row],[IC + EC]:[Unique]])</f>
        <v>0</v>
      </c>
      <c r="AF385" s="2" t="b">
        <v>0</v>
      </c>
      <c r="AG385" s="2" t="b">
        <v>0</v>
      </c>
      <c r="AH385" s="2" t="b">
        <v>0</v>
      </c>
      <c r="AI385" s="2" t="b">
        <f>IF(AND(Table1938[[#This Row],[Double Check]]=TRUE,Table1938[[#This Row],[Inspected]]=TRUE,Table1938[[#This Row],[Relevant]]=TRUE),TRUE,FALSE)</f>
        <v>0</v>
      </c>
    </row>
    <row r="386" spans="1:35" ht="57.35" x14ac:dyDescent="0.5">
      <c r="A386" s="2">
        <v>385</v>
      </c>
      <c r="B386" s="20" t="s">
        <v>3</v>
      </c>
      <c r="C386" s="20" t="s">
        <v>3504</v>
      </c>
      <c r="D386" s="20" t="s">
        <v>1203</v>
      </c>
      <c r="E386" s="20" t="s">
        <v>1202</v>
      </c>
      <c r="F386" s="2" t="s">
        <v>1205</v>
      </c>
      <c r="G386" s="20" t="s">
        <v>1113</v>
      </c>
      <c r="H386" s="36">
        <v>44501</v>
      </c>
      <c r="I386" s="20">
        <v>2021</v>
      </c>
      <c r="J386" s="20" t="s">
        <v>61</v>
      </c>
      <c r="K386" s="20" t="s">
        <v>3505</v>
      </c>
      <c r="L386" s="20" t="s">
        <v>2515</v>
      </c>
      <c r="M386" s="20" t="s">
        <v>1204</v>
      </c>
      <c r="N386" s="20" t="b">
        <v>1</v>
      </c>
      <c r="O386" s="2" t="b">
        <f>IF(Table1938[[#This Row],[Title]]="",TRUE,FALSE)</f>
        <v>0</v>
      </c>
      <c r="P386" s="2" t="b">
        <f>IF(Table1938[[#This Row],[Author]]="",TRUE,FALSE)</f>
        <v>0</v>
      </c>
      <c r="Q386" s="2" t="b">
        <f>IF(Table1938[[#This Row],[DOI]]&lt;&gt;"", FALSE,TRUE)</f>
        <v>0</v>
      </c>
      <c r="R386" s="2" t="b">
        <f>IF(Table1938[[#This Row],[Abstract]]="",TRUE,FALSE)</f>
        <v>0</v>
      </c>
      <c r="S386" s="2" t="b">
        <f>IF(OR(Table1938[[#This Row],[Document Type]]="book",Table1938[[#This Row],[Document Type]]="bookSection"),TRUE,FALSE)</f>
        <v>0</v>
      </c>
      <c r="T386" s="2" t="b">
        <f>NOT(IF(OR(Table1938[[#This Row],[Language]]&lt;&gt;"en",Table1938[[#This Row],[Language]]&lt;&gt;"EN",Table1938[[#This Row],[Language]]&lt;&gt;"spa",Table1938[[#This Row],[Language]]&lt;&gt;"SPA"),TRUE,FALSE))</f>
        <v>0</v>
      </c>
      <c r="U386" s="2" t="b">
        <f>IF(AND(Table1938[[#This Row],[EC-01]]=FALSE,Table1938[[#This Row],[EC-02]]=FALSE,Table1938[[#This Row],[EC-03]]=FALSE,Table1938[[#This Row],[EC-04]]=FALSE,Table1938[[#This Row],[EC-05]]=FALSE,Table1938[[#This Row],[EC-06]]=FALSE),TRUE,FALSE)</f>
        <v>1</v>
      </c>
      <c r="V386" s="2" t="b">
        <f>IF(Table1938[[#This Row],[Date]]&lt;&gt;"",AND(YEAR(Table1938[[#This Row],[Date]])&gt;=2010, YEAR(Table1938[[#This Row],[Date]])&lt;=2024),FALSE)</f>
        <v>1</v>
      </c>
      <c r="W386" s="2" t="b">
        <f>IF(Table1938[[#This Row],[Date]]&lt;&gt;"",AND(YEAR(Table1938[[#This Row],[Date]])&gt;=2010, YEAR(Table1938[[#This Row],[Date]])&lt;=2020),FALSE)</f>
        <v>0</v>
      </c>
      <c r="X386" s="2" t="b">
        <f>IF(AND(Table1938[[#This Row],[Accesible]]=TRUE,Table1938[[#This Row],[DOI]]&lt;&gt;""),TRUE,FALSE)</f>
        <v>1</v>
      </c>
      <c r="Y386" s="2" t="b">
        <f>OR(Table1938[[#This Row],[Document Type]]="journalArticle",Table1938[[#This Row],[Document Type]]="conferencePaper",Table1938[[#This Row],[Document Type]]="review")</f>
        <v>1</v>
      </c>
      <c r="Z386" s="2" t="b" cm="1">
        <f t="array" ref="Z386">SUMPRODUCT(--ISNUMBER(SEARCH({"dimensional analysis","dimensionless coefficients","Π","Pi","theorem","software","design","tools","development","architecture","similar"}, LOWER(Table1938[[#This Row],[Title]]))))&gt;0</f>
        <v>0</v>
      </c>
      <c r="AA386" s="2" t="b" cm="1">
        <f t="array" ref="AA386">SUMPRODUCT(--ISNUMBER(SEARCH({"dimensional analysis","dimensionless coefficients","Π","Pi","theorem","software","design","tools","development","architecture","similar"}, LOWER(Table1938[[#This Row],[Abstract]]))))&gt;0</f>
        <v>1</v>
      </c>
      <c r="AB386" s="2" t="b">
        <f>AND(OR(Table1938[[#This Row],[IC-01 @2024]:[IC-01 @2020]])=TRUE,Table1938[[#This Row],[IC-02]]=TRUE,Table1938[[#This Row],[IC-03]]=TRUE,Table1938[[#This Row],[IC-04]]=TRUE,Table1938[[#This Row],[IC-05]]=TRUE)</f>
        <v>0</v>
      </c>
      <c r="AC386" s="2" t="b">
        <f>AND(Table1938[[#This Row],[Pass-IC]]=TRUE,Table1938[[#This Row],[Pass-EC]]=TRUE)</f>
        <v>0</v>
      </c>
      <c r="AD386" s="2" t="b">
        <f>COUNTIF($D$25:D386, Table1938[[#This Row],[Title]]) = 1</f>
        <v>1</v>
      </c>
      <c r="AE386" s="2" t="b">
        <f>AND(Table1938[[#This Row],[IC + EC]:[Unique]])</f>
        <v>0</v>
      </c>
      <c r="AF386" s="2" t="b">
        <v>0</v>
      </c>
      <c r="AG386" s="2" t="b">
        <v>0</v>
      </c>
      <c r="AH386" s="2" t="b">
        <v>0</v>
      </c>
      <c r="AI386" s="2" t="b">
        <f>IF(AND(Table1938[[#This Row],[Double Check]]=TRUE,Table1938[[#This Row],[Inspected]]=TRUE,Table1938[[#This Row],[Relevant]]=TRUE),TRUE,FALSE)</f>
        <v>0</v>
      </c>
    </row>
    <row r="387" spans="1:35" ht="71.7" x14ac:dyDescent="0.5">
      <c r="A387" s="2">
        <v>386</v>
      </c>
      <c r="B387" s="20" t="s">
        <v>3</v>
      </c>
      <c r="C387" s="20" t="s">
        <v>3506</v>
      </c>
      <c r="D387" s="20" t="s">
        <v>2413</v>
      </c>
      <c r="E387" s="20" t="s">
        <v>2412</v>
      </c>
      <c r="F387" s="2" t="s">
        <v>2415</v>
      </c>
      <c r="G387" s="20" t="s">
        <v>954</v>
      </c>
      <c r="H387" s="36">
        <v>40725</v>
      </c>
      <c r="I387" s="20">
        <v>2011</v>
      </c>
      <c r="J387" s="20" t="s">
        <v>61</v>
      </c>
      <c r="K387" s="20" t="s">
        <v>3507</v>
      </c>
      <c r="L387" s="20" t="s">
        <v>2515</v>
      </c>
      <c r="M387" s="20" t="s">
        <v>2414</v>
      </c>
      <c r="N387" s="20" t="b">
        <v>1</v>
      </c>
      <c r="O387" s="2" t="b">
        <f>IF(Table1938[[#This Row],[Title]]="",TRUE,FALSE)</f>
        <v>0</v>
      </c>
      <c r="P387" s="2" t="b">
        <f>IF(Table1938[[#This Row],[Author]]="",TRUE,FALSE)</f>
        <v>0</v>
      </c>
      <c r="Q387" s="2" t="b">
        <f>IF(Table1938[[#This Row],[DOI]]&lt;&gt;"", FALSE,TRUE)</f>
        <v>0</v>
      </c>
      <c r="R387" s="2" t="b">
        <f>IF(Table1938[[#This Row],[Abstract]]="",TRUE,FALSE)</f>
        <v>0</v>
      </c>
      <c r="S387" s="2" t="b">
        <f>IF(OR(Table1938[[#This Row],[Document Type]]="book",Table1938[[#This Row],[Document Type]]="bookSection"),TRUE,FALSE)</f>
        <v>0</v>
      </c>
      <c r="T387" s="2" t="b">
        <f>NOT(IF(OR(Table1938[[#This Row],[Language]]&lt;&gt;"en",Table1938[[#This Row],[Language]]&lt;&gt;"EN",Table1938[[#This Row],[Language]]&lt;&gt;"spa",Table1938[[#This Row],[Language]]&lt;&gt;"SPA"),TRUE,FALSE))</f>
        <v>0</v>
      </c>
      <c r="U387" s="2" t="b">
        <f>IF(AND(Table1938[[#This Row],[EC-01]]=FALSE,Table1938[[#This Row],[EC-02]]=FALSE,Table1938[[#This Row],[EC-03]]=FALSE,Table1938[[#This Row],[EC-04]]=FALSE,Table1938[[#This Row],[EC-05]]=FALSE,Table1938[[#This Row],[EC-06]]=FALSE),TRUE,FALSE)</f>
        <v>1</v>
      </c>
      <c r="V387" s="2" t="b">
        <f>IF(Table1938[[#This Row],[Date]]&lt;&gt;"",AND(YEAR(Table1938[[#This Row],[Date]])&gt;=2010, YEAR(Table1938[[#This Row],[Date]])&lt;=2024),FALSE)</f>
        <v>1</v>
      </c>
      <c r="W387" s="2" t="b">
        <f>IF(Table1938[[#This Row],[Date]]&lt;&gt;"",AND(YEAR(Table1938[[#This Row],[Date]])&gt;=2010, YEAR(Table1938[[#This Row],[Date]])&lt;=2020),FALSE)</f>
        <v>1</v>
      </c>
      <c r="X387" s="2" t="b">
        <f>IF(AND(Table1938[[#This Row],[Accesible]]=TRUE,Table1938[[#This Row],[DOI]]&lt;&gt;""),TRUE,FALSE)</f>
        <v>1</v>
      </c>
      <c r="Y387" s="2" t="b">
        <f>OR(Table1938[[#This Row],[Document Type]]="journalArticle",Table1938[[#This Row],[Document Type]]="conferencePaper",Table1938[[#This Row],[Document Type]]="review")</f>
        <v>1</v>
      </c>
      <c r="Z387" s="2" t="b" cm="1">
        <f t="array" ref="Z387">SUMPRODUCT(--ISNUMBER(SEARCH({"dimensional analysis","dimensionless coefficients","Π","Pi","theorem","software","design","tools","development","architecture","similar"}, LOWER(Table1938[[#This Row],[Title]]))))&gt;0</f>
        <v>0</v>
      </c>
      <c r="AA387" s="2" t="b" cm="1">
        <f t="array" ref="AA387">SUMPRODUCT(--ISNUMBER(SEARCH({"dimensional analysis","dimensionless coefficients","Π","Pi","theorem","software","design","tools","development","architecture","similar"}, LOWER(Table1938[[#This Row],[Abstract]]))))&gt;0</f>
        <v>0</v>
      </c>
      <c r="AB387" s="2" t="b">
        <f>AND(OR(Table1938[[#This Row],[IC-01 @2024]:[IC-01 @2020]])=TRUE,Table1938[[#This Row],[IC-02]]=TRUE,Table1938[[#This Row],[IC-03]]=TRUE,Table1938[[#This Row],[IC-04]]=TRUE,Table1938[[#This Row],[IC-05]]=TRUE)</f>
        <v>0</v>
      </c>
      <c r="AC387" s="2" t="b">
        <f>AND(Table1938[[#This Row],[Pass-IC]]=TRUE,Table1938[[#This Row],[Pass-EC]]=TRUE)</f>
        <v>0</v>
      </c>
      <c r="AD387" s="2" t="b">
        <f>COUNTIF($D$25:D387, Table1938[[#This Row],[Title]]) = 1</f>
        <v>1</v>
      </c>
      <c r="AE387" s="2" t="b">
        <f>AND(Table1938[[#This Row],[IC + EC]:[Unique]])</f>
        <v>0</v>
      </c>
      <c r="AF387" s="2" t="b">
        <v>0</v>
      </c>
      <c r="AG387" s="2" t="b">
        <v>0</v>
      </c>
      <c r="AH387" s="2" t="b">
        <v>0</v>
      </c>
      <c r="AI387" s="2" t="b">
        <f>IF(AND(Table1938[[#This Row],[Double Check]]=TRUE,Table1938[[#This Row],[Inspected]]=TRUE,Table1938[[#This Row],[Relevant]]=TRUE),TRUE,FALSE)</f>
        <v>0</v>
      </c>
    </row>
    <row r="388" spans="1:35" ht="57.35" x14ac:dyDescent="0.5">
      <c r="A388" s="2">
        <v>387</v>
      </c>
      <c r="B388" s="20" t="s">
        <v>3</v>
      </c>
      <c r="C388" s="20" t="s">
        <v>3508</v>
      </c>
      <c r="D388" s="20" t="s">
        <v>315</v>
      </c>
      <c r="E388" s="20" t="s">
        <v>340</v>
      </c>
      <c r="F388" s="2" t="s">
        <v>365</v>
      </c>
      <c r="G388" s="20" t="s">
        <v>956</v>
      </c>
      <c r="H388" s="36">
        <v>41579</v>
      </c>
      <c r="I388" s="20">
        <v>2013</v>
      </c>
      <c r="J388" s="20" t="s">
        <v>61</v>
      </c>
      <c r="K388" s="20" t="s">
        <v>3509</v>
      </c>
      <c r="L388" s="20" t="s">
        <v>2515</v>
      </c>
      <c r="M388" s="20" t="s">
        <v>390</v>
      </c>
      <c r="N388" s="20" t="b">
        <v>1</v>
      </c>
      <c r="O388" s="2" t="b">
        <f>IF(Table1938[[#This Row],[Title]]="",TRUE,FALSE)</f>
        <v>0</v>
      </c>
      <c r="P388" s="2" t="b">
        <f>IF(Table1938[[#This Row],[Author]]="",TRUE,FALSE)</f>
        <v>0</v>
      </c>
      <c r="Q388" s="2" t="b">
        <f>IF(Table1938[[#This Row],[DOI]]&lt;&gt;"", FALSE,TRUE)</f>
        <v>0</v>
      </c>
      <c r="R388" s="2" t="b">
        <f>IF(Table1938[[#This Row],[Abstract]]="",TRUE,FALSE)</f>
        <v>0</v>
      </c>
      <c r="S388" s="2" t="b">
        <f>IF(OR(Table1938[[#This Row],[Document Type]]="book",Table1938[[#This Row],[Document Type]]="bookSection"),TRUE,FALSE)</f>
        <v>0</v>
      </c>
      <c r="T388" s="2" t="b">
        <f>NOT(IF(OR(Table1938[[#This Row],[Language]]&lt;&gt;"en",Table1938[[#This Row],[Language]]&lt;&gt;"EN",Table1938[[#This Row],[Language]]&lt;&gt;"spa",Table1938[[#This Row],[Language]]&lt;&gt;"SPA"),TRUE,FALSE))</f>
        <v>0</v>
      </c>
      <c r="U388" s="2" t="b">
        <f>IF(AND(Table1938[[#This Row],[EC-01]]=FALSE,Table1938[[#This Row],[EC-02]]=FALSE,Table1938[[#This Row],[EC-03]]=FALSE,Table1938[[#This Row],[EC-04]]=FALSE,Table1938[[#This Row],[EC-05]]=FALSE,Table1938[[#This Row],[EC-06]]=FALSE),TRUE,FALSE)</f>
        <v>1</v>
      </c>
      <c r="V388" s="2" t="b">
        <f>IF(Table1938[[#This Row],[Date]]&lt;&gt;"",AND(YEAR(Table1938[[#This Row],[Date]])&gt;=2010, YEAR(Table1938[[#This Row],[Date]])&lt;=2024),FALSE)</f>
        <v>1</v>
      </c>
      <c r="W388" s="2" t="b">
        <f>IF(Table1938[[#This Row],[Date]]&lt;&gt;"",AND(YEAR(Table1938[[#This Row],[Date]])&gt;=2010, YEAR(Table1938[[#This Row],[Date]])&lt;=2020),FALSE)</f>
        <v>1</v>
      </c>
      <c r="X388" s="2" t="b">
        <f>IF(AND(Table1938[[#This Row],[Accesible]]=TRUE,Table1938[[#This Row],[DOI]]&lt;&gt;""),TRUE,FALSE)</f>
        <v>1</v>
      </c>
      <c r="Y388" s="2" t="b">
        <f>OR(Table1938[[#This Row],[Document Type]]="journalArticle",Table1938[[#This Row],[Document Type]]="conferencePaper",Table1938[[#This Row],[Document Type]]="review")</f>
        <v>1</v>
      </c>
      <c r="Z388" s="2" t="b" cm="1">
        <f t="array" ref="Z388">SUMPRODUCT(--ISNUMBER(SEARCH({"dimensional analysis","dimensionless coefficients","Π","Pi","theorem","software","design","tools","development","architecture","similar"}, LOWER(Table1938[[#This Row],[Title]]))))&gt;0</f>
        <v>0</v>
      </c>
      <c r="AA388" s="2" t="b" cm="1">
        <f t="array" ref="AA388">SUMPRODUCT(--ISNUMBER(SEARCH({"dimensional analysis","dimensionless coefficients","Π","Pi","theorem","software","design","tools","development","architecture","similar"}, LOWER(Table1938[[#This Row],[Abstract]]))))&gt;0</f>
        <v>1</v>
      </c>
      <c r="AB388" s="2" t="b">
        <f>AND(OR(Table1938[[#This Row],[IC-01 @2024]:[IC-01 @2020]])=TRUE,Table1938[[#This Row],[IC-02]]=TRUE,Table1938[[#This Row],[IC-03]]=TRUE,Table1938[[#This Row],[IC-04]]=TRUE,Table1938[[#This Row],[IC-05]]=TRUE)</f>
        <v>0</v>
      </c>
      <c r="AC388" s="2" t="b">
        <f>AND(Table1938[[#This Row],[Pass-IC]]=TRUE,Table1938[[#This Row],[Pass-EC]]=TRUE)</f>
        <v>0</v>
      </c>
      <c r="AD388" s="2" t="b">
        <f>COUNTIF($D$25:D388, Table1938[[#This Row],[Title]]) = 1</f>
        <v>1</v>
      </c>
      <c r="AE388" s="2" t="b">
        <f>AND(Table1938[[#This Row],[IC + EC]:[Unique]])</f>
        <v>0</v>
      </c>
      <c r="AF388" s="2" t="b">
        <v>0</v>
      </c>
      <c r="AG388" s="2" t="b">
        <v>0</v>
      </c>
      <c r="AH388" s="2" t="b">
        <v>0</v>
      </c>
      <c r="AI388" s="2" t="b">
        <f>IF(AND(Table1938[[#This Row],[Double Check]]=TRUE,Table1938[[#This Row],[Inspected]]=TRUE,Table1938[[#This Row],[Relevant]]=TRUE),TRUE,FALSE)</f>
        <v>0</v>
      </c>
    </row>
    <row r="389" spans="1:35" ht="86" x14ac:dyDescent="0.5">
      <c r="A389" s="2">
        <v>388</v>
      </c>
      <c r="B389" s="20" t="s">
        <v>3</v>
      </c>
      <c r="C389" s="20" t="s">
        <v>3510</v>
      </c>
      <c r="D389" s="20" t="s">
        <v>1356</v>
      </c>
      <c r="E389" s="20" t="s">
        <v>1355</v>
      </c>
      <c r="F389" s="2" t="s">
        <v>1358</v>
      </c>
      <c r="G389" s="20" t="s">
        <v>943</v>
      </c>
      <c r="H389" s="36">
        <v>45627</v>
      </c>
      <c r="I389" s="20">
        <v>2024</v>
      </c>
      <c r="J389" s="20" t="s">
        <v>61</v>
      </c>
      <c r="K389" s="20" t="s">
        <v>3511</v>
      </c>
      <c r="L389" s="20" t="s">
        <v>2515</v>
      </c>
      <c r="M389" s="20" t="s">
        <v>1357</v>
      </c>
      <c r="N389" s="20" t="b">
        <v>1</v>
      </c>
      <c r="O389" s="2" t="b">
        <f>IF(Table1938[[#This Row],[Title]]="",TRUE,FALSE)</f>
        <v>0</v>
      </c>
      <c r="P389" s="2" t="b">
        <f>IF(Table1938[[#This Row],[Author]]="",TRUE,FALSE)</f>
        <v>0</v>
      </c>
      <c r="Q389" s="2" t="b">
        <f>IF(Table1938[[#This Row],[DOI]]&lt;&gt;"", FALSE,TRUE)</f>
        <v>0</v>
      </c>
      <c r="R389" s="2" t="b">
        <f>IF(Table1938[[#This Row],[Abstract]]="",TRUE,FALSE)</f>
        <v>0</v>
      </c>
      <c r="S389" s="2" t="b">
        <f>IF(OR(Table1938[[#This Row],[Document Type]]="book",Table1938[[#This Row],[Document Type]]="bookSection"),TRUE,FALSE)</f>
        <v>0</v>
      </c>
      <c r="T389" s="2" t="b">
        <f>NOT(IF(OR(Table1938[[#This Row],[Language]]&lt;&gt;"en",Table1938[[#This Row],[Language]]&lt;&gt;"EN",Table1938[[#This Row],[Language]]&lt;&gt;"spa",Table1938[[#This Row],[Language]]&lt;&gt;"SPA"),TRUE,FALSE))</f>
        <v>0</v>
      </c>
      <c r="U389" s="2" t="b">
        <f>IF(AND(Table1938[[#This Row],[EC-01]]=FALSE,Table1938[[#This Row],[EC-02]]=FALSE,Table1938[[#This Row],[EC-03]]=FALSE,Table1938[[#This Row],[EC-04]]=FALSE,Table1938[[#This Row],[EC-05]]=FALSE,Table1938[[#This Row],[EC-06]]=FALSE),TRUE,FALSE)</f>
        <v>1</v>
      </c>
      <c r="V389" s="2" t="b">
        <f>IF(Table1938[[#This Row],[Date]]&lt;&gt;"",AND(YEAR(Table1938[[#This Row],[Date]])&gt;=2010, YEAR(Table1938[[#This Row],[Date]])&lt;=2024),FALSE)</f>
        <v>1</v>
      </c>
      <c r="W389" s="2" t="b">
        <f>IF(Table1938[[#This Row],[Date]]&lt;&gt;"",AND(YEAR(Table1938[[#This Row],[Date]])&gt;=2010, YEAR(Table1938[[#This Row],[Date]])&lt;=2020),FALSE)</f>
        <v>0</v>
      </c>
      <c r="X389" s="2" t="b">
        <f>IF(AND(Table1938[[#This Row],[Accesible]]=TRUE,Table1938[[#This Row],[DOI]]&lt;&gt;""),TRUE,FALSE)</f>
        <v>1</v>
      </c>
      <c r="Y389" s="2" t="b">
        <f>OR(Table1938[[#This Row],[Document Type]]="journalArticle",Table1938[[#This Row],[Document Type]]="conferencePaper",Table1938[[#This Row],[Document Type]]="review")</f>
        <v>1</v>
      </c>
      <c r="Z389" s="2" t="b" cm="1">
        <f t="array" ref="Z389">SUMPRODUCT(--ISNUMBER(SEARCH({"dimensional analysis","dimensionless coefficients","Π","Pi","theorem","software","design","tools","development","architecture","similar"}, LOWER(Table1938[[#This Row],[Title]]))))&gt;0</f>
        <v>1</v>
      </c>
      <c r="AA389" s="2" t="b" cm="1">
        <f t="array" ref="AA389">SUMPRODUCT(--ISNUMBER(SEARCH({"dimensional analysis","dimensionless coefficients","Π","Pi","theorem","software","design","tools","development","architecture","similar"}, LOWER(Table1938[[#This Row],[Abstract]]))))&gt;0</f>
        <v>1</v>
      </c>
      <c r="AB389" s="2" t="b">
        <f>AND(OR(Table1938[[#This Row],[IC-01 @2024]:[IC-01 @2020]])=TRUE,Table1938[[#This Row],[IC-02]]=TRUE,Table1938[[#This Row],[IC-03]]=TRUE,Table1938[[#This Row],[IC-04]]=TRUE,Table1938[[#This Row],[IC-05]]=TRUE)</f>
        <v>1</v>
      </c>
      <c r="AC389" s="2" t="b">
        <f>AND(Table1938[[#This Row],[Pass-IC]]=TRUE,Table1938[[#This Row],[Pass-EC]]=TRUE)</f>
        <v>1</v>
      </c>
      <c r="AD389" s="2" t="b">
        <f>COUNTIF($D$25:D389, Table1938[[#This Row],[Title]]) = 1</f>
        <v>1</v>
      </c>
      <c r="AE389" s="2" t="b">
        <f>AND(Table1938[[#This Row],[IC + EC]:[Unique]])</f>
        <v>1</v>
      </c>
      <c r="AF389" s="2" t="b">
        <v>1</v>
      </c>
      <c r="AG389" s="2" t="b">
        <v>0</v>
      </c>
      <c r="AH389" s="2" t="b">
        <v>0</v>
      </c>
      <c r="AI389" s="2" t="b">
        <f>IF(AND(Table1938[[#This Row],[Double Check]]=TRUE,Table1938[[#This Row],[Inspected]]=TRUE,Table1938[[#This Row],[Relevant]]=TRUE),TRUE,FALSE)</f>
        <v>0</v>
      </c>
    </row>
    <row r="390" spans="1:35" ht="57.35" x14ac:dyDescent="0.5">
      <c r="A390" s="2">
        <v>389</v>
      </c>
      <c r="B390" s="20" t="s">
        <v>3</v>
      </c>
      <c r="C390" s="20" t="s">
        <v>3512</v>
      </c>
      <c r="D390" s="20" t="s">
        <v>1191</v>
      </c>
      <c r="E390" s="20" t="s">
        <v>1190</v>
      </c>
      <c r="F390" s="2" t="s">
        <v>1193</v>
      </c>
      <c r="G390" s="20" t="s">
        <v>937</v>
      </c>
      <c r="H390" s="36">
        <v>44972</v>
      </c>
      <c r="I390" s="20">
        <v>2023</v>
      </c>
      <c r="J390" s="20" t="s">
        <v>61</v>
      </c>
      <c r="K390" s="20" t="s">
        <v>3513</v>
      </c>
      <c r="L390" s="20" t="s">
        <v>2515</v>
      </c>
      <c r="M390" s="20" t="s">
        <v>1192</v>
      </c>
      <c r="N390" s="20" t="b">
        <v>1</v>
      </c>
      <c r="O390" s="2" t="b">
        <f>IF(Table1938[[#This Row],[Title]]="",TRUE,FALSE)</f>
        <v>0</v>
      </c>
      <c r="P390" s="2" t="b">
        <f>IF(Table1938[[#This Row],[Author]]="",TRUE,FALSE)</f>
        <v>0</v>
      </c>
      <c r="Q390" s="2" t="b">
        <f>IF(Table1938[[#This Row],[DOI]]&lt;&gt;"", FALSE,TRUE)</f>
        <v>0</v>
      </c>
      <c r="R390" s="2" t="b">
        <f>IF(Table1938[[#This Row],[Abstract]]="",TRUE,FALSE)</f>
        <v>0</v>
      </c>
      <c r="S390" s="2" t="b">
        <f>IF(OR(Table1938[[#This Row],[Document Type]]="book",Table1938[[#This Row],[Document Type]]="bookSection"),TRUE,FALSE)</f>
        <v>0</v>
      </c>
      <c r="T390" s="2" t="b">
        <f>NOT(IF(OR(Table1938[[#This Row],[Language]]&lt;&gt;"en",Table1938[[#This Row],[Language]]&lt;&gt;"EN",Table1938[[#This Row],[Language]]&lt;&gt;"spa",Table1938[[#This Row],[Language]]&lt;&gt;"SPA"),TRUE,FALSE))</f>
        <v>0</v>
      </c>
      <c r="U390" s="2" t="b">
        <f>IF(AND(Table1938[[#This Row],[EC-01]]=FALSE,Table1938[[#This Row],[EC-02]]=FALSE,Table1938[[#This Row],[EC-03]]=FALSE,Table1938[[#This Row],[EC-04]]=FALSE,Table1938[[#This Row],[EC-05]]=FALSE,Table1938[[#This Row],[EC-06]]=FALSE),TRUE,FALSE)</f>
        <v>1</v>
      </c>
      <c r="V390" s="2" t="b">
        <f>IF(Table1938[[#This Row],[Date]]&lt;&gt;"",AND(YEAR(Table1938[[#This Row],[Date]])&gt;=2010, YEAR(Table1938[[#This Row],[Date]])&lt;=2024),FALSE)</f>
        <v>1</v>
      </c>
      <c r="W390" s="2" t="b">
        <f>IF(Table1938[[#This Row],[Date]]&lt;&gt;"",AND(YEAR(Table1938[[#This Row],[Date]])&gt;=2010, YEAR(Table1938[[#This Row],[Date]])&lt;=2020),FALSE)</f>
        <v>0</v>
      </c>
      <c r="X390" s="2" t="b">
        <f>IF(AND(Table1938[[#This Row],[Accesible]]=TRUE,Table1938[[#This Row],[DOI]]&lt;&gt;""),TRUE,FALSE)</f>
        <v>1</v>
      </c>
      <c r="Y390" s="2" t="b">
        <f>OR(Table1938[[#This Row],[Document Type]]="journalArticle",Table1938[[#This Row],[Document Type]]="conferencePaper",Table1938[[#This Row],[Document Type]]="review")</f>
        <v>1</v>
      </c>
      <c r="Z390" s="2" t="b" cm="1">
        <f t="array" ref="Z390">SUMPRODUCT(--ISNUMBER(SEARCH({"dimensional analysis","dimensionless coefficients","Π","Pi","theorem","software","design","tools","development","architecture","similar"}, LOWER(Table1938[[#This Row],[Title]]))))&gt;0</f>
        <v>1</v>
      </c>
      <c r="AA390" s="2" t="b" cm="1">
        <f t="array" ref="AA390">SUMPRODUCT(--ISNUMBER(SEARCH({"dimensional analysis","dimensionless coefficients","Π","Pi","theorem","software","design","tools","development","architecture","similar"}, LOWER(Table1938[[#This Row],[Abstract]]))))&gt;0</f>
        <v>1</v>
      </c>
      <c r="AB390" s="2" t="b">
        <f>AND(OR(Table1938[[#This Row],[IC-01 @2024]:[IC-01 @2020]])=TRUE,Table1938[[#This Row],[IC-02]]=TRUE,Table1938[[#This Row],[IC-03]]=TRUE,Table1938[[#This Row],[IC-04]]=TRUE,Table1938[[#This Row],[IC-05]]=TRUE)</f>
        <v>1</v>
      </c>
      <c r="AC390" s="2" t="b">
        <f>AND(Table1938[[#This Row],[Pass-IC]]=TRUE,Table1938[[#This Row],[Pass-EC]]=TRUE)</f>
        <v>1</v>
      </c>
      <c r="AD390" s="2" t="b">
        <f>COUNTIF($D$25:D390, Table1938[[#This Row],[Title]]) = 1</f>
        <v>1</v>
      </c>
      <c r="AE390" s="2" t="b">
        <f>AND(Table1938[[#This Row],[IC + EC]:[Unique]])</f>
        <v>1</v>
      </c>
      <c r="AF390" s="2" t="b">
        <v>1</v>
      </c>
      <c r="AG390" s="2" t="b">
        <v>0</v>
      </c>
      <c r="AH390" s="2" t="b">
        <v>0</v>
      </c>
      <c r="AI390" s="2" t="b">
        <f>IF(AND(Table1938[[#This Row],[Double Check]]=TRUE,Table1938[[#This Row],[Inspected]]=TRUE,Table1938[[#This Row],[Relevant]]=TRUE),TRUE,FALSE)</f>
        <v>0</v>
      </c>
    </row>
    <row r="391" spans="1:35" ht="57.35" x14ac:dyDescent="0.5">
      <c r="A391" s="2">
        <v>390</v>
      </c>
      <c r="B391" s="20" t="s">
        <v>3</v>
      </c>
      <c r="C391" s="20" t="s">
        <v>3514</v>
      </c>
      <c r="D391" s="20" t="s">
        <v>1709</v>
      </c>
      <c r="E391" s="20" t="s">
        <v>1708</v>
      </c>
      <c r="F391" s="2" t="s">
        <v>1711</v>
      </c>
      <c r="G391" s="20" t="s">
        <v>950</v>
      </c>
      <c r="H391" s="36">
        <v>44927</v>
      </c>
      <c r="I391" s="20">
        <v>2023</v>
      </c>
      <c r="J391" s="20" t="s">
        <v>61</v>
      </c>
      <c r="K391" s="20" t="s">
        <v>3515</v>
      </c>
      <c r="L391" s="20" t="s">
        <v>2515</v>
      </c>
      <c r="M391" s="20" t="s">
        <v>1710</v>
      </c>
      <c r="N391" s="20" t="b">
        <v>1</v>
      </c>
      <c r="O391" s="2" t="b">
        <f>IF(Table1938[[#This Row],[Title]]="",TRUE,FALSE)</f>
        <v>0</v>
      </c>
      <c r="P391" s="2" t="b">
        <f>IF(Table1938[[#This Row],[Author]]="",TRUE,FALSE)</f>
        <v>0</v>
      </c>
      <c r="Q391" s="2" t="b">
        <f>IF(Table1938[[#This Row],[DOI]]&lt;&gt;"", FALSE,TRUE)</f>
        <v>0</v>
      </c>
      <c r="R391" s="2" t="b">
        <f>IF(Table1938[[#This Row],[Abstract]]="",TRUE,FALSE)</f>
        <v>0</v>
      </c>
      <c r="S391" s="2" t="b">
        <f>IF(OR(Table1938[[#This Row],[Document Type]]="book",Table1938[[#This Row],[Document Type]]="bookSection"),TRUE,FALSE)</f>
        <v>0</v>
      </c>
      <c r="T391" s="2" t="b">
        <f>NOT(IF(OR(Table1938[[#This Row],[Language]]&lt;&gt;"en",Table1938[[#This Row],[Language]]&lt;&gt;"EN",Table1938[[#This Row],[Language]]&lt;&gt;"spa",Table1938[[#This Row],[Language]]&lt;&gt;"SPA"),TRUE,FALSE))</f>
        <v>0</v>
      </c>
      <c r="U391" s="2" t="b">
        <f>IF(AND(Table1938[[#This Row],[EC-01]]=FALSE,Table1938[[#This Row],[EC-02]]=FALSE,Table1938[[#This Row],[EC-03]]=FALSE,Table1938[[#This Row],[EC-04]]=FALSE,Table1938[[#This Row],[EC-05]]=FALSE,Table1938[[#This Row],[EC-06]]=FALSE),TRUE,FALSE)</f>
        <v>1</v>
      </c>
      <c r="V391" s="2" t="b">
        <f>IF(Table1938[[#This Row],[Date]]&lt;&gt;"",AND(YEAR(Table1938[[#This Row],[Date]])&gt;=2010, YEAR(Table1938[[#This Row],[Date]])&lt;=2024),FALSE)</f>
        <v>1</v>
      </c>
      <c r="W391" s="2" t="b">
        <f>IF(Table1938[[#This Row],[Date]]&lt;&gt;"",AND(YEAR(Table1938[[#This Row],[Date]])&gt;=2010, YEAR(Table1938[[#This Row],[Date]])&lt;=2020),FALSE)</f>
        <v>0</v>
      </c>
      <c r="X391" s="2" t="b">
        <f>IF(AND(Table1938[[#This Row],[Accesible]]=TRUE,Table1938[[#This Row],[DOI]]&lt;&gt;""),TRUE,FALSE)</f>
        <v>1</v>
      </c>
      <c r="Y391" s="2" t="b">
        <f>OR(Table1938[[#This Row],[Document Type]]="journalArticle",Table1938[[#This Row],[Document Type]]="conferencePaper",Table1938[[#This Row],[Document Type]]="review")</f>
        <v>1</v>
      </c>
      <c r="Z391" s="2" t="b" cm="1">
        <f t="array" ref="Z391">SUMPRODUCT(--ISNUMBER(SEARCH({"dimensional analysis","dimensionless coefficients","Π","Pi","theorem","software","design","tools","development","architecture","similar"}, LOWER(Table1938[[#This Row],[Title]]))))&gt;0</f>
        <v>0</v>
      </c>
      <c r="AA391" s="2" t="b" cm="1">
        <f t="array" ref="AA391">SUMPRODUCT(--ISNUMBER(SEARCH({"dimensional analysis","dimensionless coefficients","Π","Pi","theorem","software","design","tools","development","architecture","similar"}, LOWER(Table1938[[#This Row],[Abstract]]))))&gt;0</f>
        <v>1</v>
      </c>
      <c r="AB391" s="2" t="b">
        <f>AND(OR(Table1938[[#This Row],[IC-01 @2024]:[IC-01 @2020]])=TRUE,Table1938[[#This Row],[IC-02]]=TRUE,Table1938[[#This Row],[IC-03]]=TRUE,Table1938[[#This Row],[IC-04]]=TRUE,Table1938[[#This Row],[IC-05]]=TRUE)</f>
        <v>0</v>
      </c>
      <c r="AC391" s="2" t="b">
        <f>AND(Table1938[[#This Row],[Pass-IC]]=TRUE,Table1938[[#This Row],[Pass-EC]]=TRUE)</f>
        <v>0</v>
      </c>
      <c r="AD391" s="2" t="b">
        <f>COUNTIF($D$25:D391, Table1938[[#This Row],[Title]]) = 1</f>
        <v>1</v>
      </c>
      <c r="AE391" s="2" t="b">
        <f>AND(Table1938[[#This Row],[IC + EC]:[Unique]])</f>
        <v>0</v>
      </c>
      <c r="AF391" s="2" t="b">
        <v>0</v>
      </c>
      <c r="AG391" s="2" t="b">
        <v>0</v>
      </c>
      <c r="AH391" s="2" t="b">
        <v>0</v>
      </c>
      <c r="AI391" s="2" t="b">
        <f>IF(AND(Table1938[[#This Row],[Double Check]]=TRUE,Table1938[[#This Row],[Inspected]]=TRUE,Table1938[[#This Row],[Relevant]]=TRUE),TRUE,FALSE)</f>
        <v>0</v>
      </c>
    </row>
    <row r="392" spans="1:35" ht="71.7" x14ac:dyDescent="0.5">
      <c r="A392" s="2">
        <v>391</v>
      </c>
      <c r="B392" s="20" t="s">
        <v>3</v>
      </c>
      <c r="C392" s="20" t="s">
        <v>3516</v>
      </c>
      <c r="D392" s="20" t="s">
        <v>1381</v>
      </c>
      <c r="E392" s="20" t="s">
        <v>1380</v>
      </c>
      <c r="F392" s="2" t="s">
        <v>1383</v>
      </c>
      <c r="G392" s="20" t="s">
        <v>926</v>
      </c>
      <c r="H392" s="36">
        <v>44531</v>
      </c>
      <c r="I392" s="20">
        <v>2021</v>
      </c>
      <c r="J392" s="20" t="s">
        <v>61</v>
      </c>
      <c r="K392" s="20" t="s">
        <v>3517</v>
      </c>
      <c r="L392" s="20" t="s">
        <v>2515</v>
      </c>
      <c r="M392" s="20" t="s">
        <v>1382</v>
      </c>
      <c r="N392" s="20" t="b">
        <v>1</v>
      </c>
      <c r="O392" s="2" t="b">
        <f>IF(Table1938[[#This Row],[Title]]="",TRUE,FALSE)</f>
        <v>0</v>
      </c>
      <c r="P392" s="2" t="b">
        <f>IF(Table1938[[#This Row],[Author]]="",TRUE,FALSE)</f>
        <v>0</v>
      </c>
      <c r="Q392" s="2" t="b">
        <f>IF(Table1938[[#This Row],[DOI]]&lt;&gt;"", FALSE,TRUE)</f>
        <v>0</v>
      </c>
      <c r="R392" s="2" t="b">
        <f>IF(Table1938[[#This Row],[Abstract]]="",TRUE,FALSE)</f>
        <v>0</v>
      </c>
      <c r="S392" s="2" t="b">
        <f>IF(OR(Table1938[[#This Row],[Document Type]]="book",Table1938[[#This Row],[Document Type]]="bookSection"),TRUE,FALSE)</f>
        <v>0</v>
      </c>
      <c r="T392" s="2" t="b">
        <f>NOT(IF(OR(Table1938[[#This Row],[Language]]&lt;&gt;"en",Table1938[[#This Row],[Language]]&lt;&gt;"EN",Table1938[[#This Row],[Language]]&lt;&gt;"spa",Table1938[[#This Row],[Language]]&lt;&gt;"SPA"),TRUE,FALSE))</f>
        <v>0</v>
      </c>
      <c r="U392" s="2" t="b">
        <f>IF(AND(Table1938[[#This Row],[EC-01]]=FALSE,Table1938[[#This Row],[EC-02]]=FALSE,Table1938[[#This Row],[EC-03]]=FALSE,Table1938[[#This Row],[EC-04]]=FALSE,Table1938[[#This Row],[EC-05]]=FALSE,Table1938[[#This Row],[EC-06]]=FALSE),TRUE,FALSE)</f>
        <v>1</v>
      </c>
      <c r="V392" s="2" t="b">
        <f>IF(Table1938[[#This Row],[Date]]&lt;&gt;"",AND(YEAR(Table1938[[#This Row],[Date]])&gt;=2010, YEAR(Table1938[[#This Row],[Date]])&lt;=2024),FALSE)</f>
        <v>1</v>
      </c>
      <c r="W392" s="2" t="b">
        <f>IF(Table1938[[#This Row],[Date]]&lt;&gt;"",AND(YEAR(Table1938[[#This Row],[Date]])&gt;=2010, YEAR(Table1938[[#This Row],[Date]])&lt;=2020),FALSE)</f>
        <v>0</v>
      </c>
      <c r="X392" s="2" t="b">
        <f>IF(AND(Table1938[[#This Row],[Accesible]]=TRUE,Table1938[[#This Row],[DOI]]&lt;&gt;""),TRUE,FALSE)</f>
        <v>1</v>
      </c>
      <c r="Y392" s="2" t="b">
        <f>OR(Table1938[[#This Row],[Document Type]]="journalArticle",Table1938[[#This Row],[Document Type]]="conferencePaper",Table1938[[#This Row],[Document Type]]="review")</f>
        <v>1</v>
      </c>
      <c r="Z392" s="2" t="b" cm="1">
        <f t="array" ref="Z392">SUMPRODUCT(--ISNUMBER(SEARCH({"dimensional analysis","dimensionless coefficients","Π","Pi","theorem","software","design","tools","development","architecture","similar"}, LOWER(Table1938[[#This Row],[Title]]))))&gt;0</f>
        <v>1</v>
      </c>
      <c r="AA392" s="2" t="b" cm="1">
        <f t="array" ref="AA392">SUMPRODUCT(--ISNUMBER(SEARCH({"dimensional analysis","dimensionless coefficients","Π","Pi","theorem","software","design","tools","development","architecture","similar"}, LOWER(Table1938[[#This Row],[Abstract]]))))&gt;0</f>
        <v>1</v>
      </c>
      <c r="AB392" s="2" t="b">
        <f>AND(OR(Table1938[[#This Row],[IC-01 @2024]:[IC-01 @2020]])=TRUE,Table1938[[#This Row],[IC-02]]=TRUE,Table1938[[#This Row],[IC-03]]=TRUE,Table1938[[#This Row],[IC-04]]=TRUE,Table1938[[#This Row],[IC-05]]=TRUE)</f>
        <v>1</v>
      </c>
      <c r="AC392" s="2" t="b">
        <f>AND(Table1938[[#This Row],[Pass-IC]]=TRUE,Table1938[[#This Row],[Pass-EC]]=TRUE)</f>
        <v>1</v>
      </c>
      <c r="AD392" s="2" t="b">
        <f>COUNTIF($D$25:D392, Table1938[[#This Row],[Title]]) = 1</f>
        <v>1</v>
      </c>
      <c r="AE392" s="2" t="b">
        <f>AND(Table1938[[#This Row],[IC + EC]:[Unique]])</f>
        <v>1</v>
      </c>
      <c r="AF392" s="2" t="b">
        <v>1</v>
      </c>
      <c r="AG392" s="2" t="b">
        <v>0</v>
      </c>
      <c r="AH392" s="2" t="b">
        <v>0</v>
      </c>
      <c r="AI392" s="2" t="b">
        <f>IF(AND(Table1938[[#This Row],[Double Check]]=TRUE,Table1938[[#This Row],[Inspected]]=TRUE,Table1938[[#This Row],[Relevant]]=TRUE),TRUE,FALSE)</f>
        <v>0</v>
      </c>
    </row>
    <row r="393" spans="1:35" ht="57.35" x14ac:dyDescent="0.5">
      <c r="A393" s="2">
        <v>392</v>
      </c>
      <c r="B393" s="20" t="s">
        <v>3</v>
      </c>
      <c r="C393" s="20" t="s">
        <v>3518</v>
      </c>
      <c r="D393" s="20" t="s">
        <v>1215</v>
      </c>
      <c r="E393" s="20" t="s">
        <v>1214</v>
      </c>
      <c r="F393" s="2" t="s">
        <v>1217</v>
      </c>
      <c r="G393" s="20" t="s">
        <v>1005</v>
      </c>
      <c r="H393" s="36">
        <v>45139</v>
      </c>
      <c r="I393" s="20">
        <v>2023</v>
      </c>
      <c r="J393" s="20" t="s">
        <v>61</v>
      </c>
      <c r="K393" s="20" t="s">
        <v>3519</v>
      </c>
      <c r="L393" s="20" t="s">
        <v>2515</v>
      </c>
      <c r="M393" s="20" t="s">
        <v>1216</v>
      </c>
      <c r="N393" s="20" t="b">
        <v>1</v>
      </c>
      <c r="O393" s="2" t="b">
        <f>IF(Table1938[[#This Row],[Title]]="",TRUE,FALSE)</f>
        <v>0</v>
      </c>
      <c r="P393" s="2" t="b">
        <f>IF(Table1938[[#This Row],[Author]]="",TRUE,FALSE)</f>
        <v>0</v>
      </c>
      <c r="Q393" s="2" t="b">
        <f>IF(Table1938[[#This Row],[DOI]]&lt;&gt;"", FALSE,TRUE)</f>
        <v>0</v>
      </c>
      <c r="R393" s="2" t="b">
        <f>IF(Table1938[[#This Row],[Abstract]]="",TRUE,FALSE)</f>
        <v>0</v>
      </c>
      <c r="S393" s="2" t="b">
        <f>IF(OR(Table1938[[#This Row],[Document Type]]="book",Table1938[[#This Row],[Document Type]]="bookSection"),TRUE,FALSE)</f>
        <v>0</v>
      </c>
      <c r="T393" s="2" t="b">
        <f>NOT(IF(OR(Table1938[[#This Row],[Language]]&lt;&gt;"en",Table1938[[#This Row],[Language]]&lt;&gt;"EN",Table1938[[#This Row],[Language]]&lt;&gt;"spa",Table1938[[#This Row],[Language]]&lt;&gt;"SPA"),TRUE,FALSE))</f>
        <v>0</v>
      </c>
      <c r="U393" s="2" t="b">
        <f>IF(AND(Table1938[[#This Row],[EC-01]]=FALSE,Table1938[[#This Row],[EC-02]]=FALSE,Table1938[[#This Row],[EC-03]]=FALSE,Table1938[[#This Row],[EC-04]]=FALSE,Table1938[[#This Row],[EC-05]]=FALSE,Table1938[[#This Row],[EC-06]]=FALSE),TRUE,FALSE)</f>
        <v>1</v>
      </c>
      <c r="V393" s="2" t="b">
        <f>IF(Table1938[[#This Row],[Date]]&lt;&gt;"",AND(YEAR(Table1938[[#This Row],[Date]])&gt;=2010, YEAR(Table1938[[#This Row],[Date]])&lt;=2024),FALSE)</f>
        <v>1</v>
      </c>
      <c r="W393" s="2" t="b">
        <f>IF(Table1938[[#This Row],[Date]]&lt;&gt;"",AND(YEAR(Table1938[[#This Row],[Date]])&gt;=2010, YEAR(Table1938[[#This Row],[Date]])&lt;=2020),FALSE)</f>
        <v>0</v>
      </c>
      <c r="X393" s="2" t="b">
        <f>IF(AND(Table1938[[#This Row],[Accesible]]=TRUE,Table1938[[#This Row],[DOI]]&lt;&gt;""),TRUE,FALSE)</f>
        <v>1</v>
      </c>
      <c r="Y393" s="2" t="b">
        <f>OR(Table1938[[#This Row],[Document Type]]="journalArticle",Table1938[[#This Row],[Document Type]]="conferencePaper",Table1938[[#This Row],[Document Type]]="review")</f>
        <v>1</v>
      </c>
      <c r="Z393" s="2" t="b" cm="1">
        <f t="array" ref="Z393">SUMPRODUCT(--ISNUMBER(SEARCH({"dimensional analysis","dimensionless coefficients","Π","Pi","theorem","software","design","tools","development","architecture","similar"}, LOWER(Table1938[[#This Row],[Title]]))))&gt;0</f>
        <v>0</v>
      </c>
      <c r="AA393" s="2" t="b" cm="1">
        <f t="array" ref="AA393">SUMPRODUCT(--ISNUMBER(SEARCH({"dimensional analysis","dimensionless coefficients","Π","Pi","theorem","software","design","tools","development","architecture","similar"}, LOWER(Table1938[[#This Row],[Abstract]]))))&gt;0</f>
        <v>1</v>
      </c>
      <c r="AB393" s="2" t="b">
        <f>AND(OR(Table1938[[#This Row],[IC-01 @2024]:[IC-01 @2020]])=TRUE,Table1938[[#This Row],[IC-02]]=TRUE,Table1938[[#This Row],[IC-03]]=TRUE,Table1938[[#This Row],[IC-04]]=TRUE,Table1938[[#This Row],[IC-05]]=TRUE)</f>
        <v>0</v>
      </c>
      <c r="AC393" s="2" t="b">
        <f>AND(Table1938[[#This Row],[Pass-IC]]=TRUE,Table1938[[#This Row],[Pass-EC]]=TRUE)</f>
        <v>0</v>
      </c>
      <c r="AD393" s="2" t="b">
        <f>COUNTIF($D$25:D393, Table1938[[#This Row],[Title]]) = 1</f>
        <v>1</v>
      </c>
      <c r="AE393" s="2" t="b">
        <f>AND(Table1938[[#This Row],[IC + EC]:[Unique]])</f>
        <v>0</v>
      </c>
      <c r="AF393" s="2" t="b">
        <v>0</v>
      </c>
      <c r="AG393" s="2" t="b">
        <v>0</v>
      </c>
      <c r="AH393" s="2" t="b">
        <v>0</v>
      </c>
      <c r="AI393" s="2" t="b">
        <f>IF(AND(Table1938[[#This Row],[Double Check]]=TRUE,Table1938[[#This Row],[Inspected]]=TRUE,Table1938[[#This Row],[Relevant]]=TRUE),TRUE,FALSE)</f>
        <v>0</v>
      </c>
    </row>
    <row r="394" spans="1:35" ht="71.7" x14ac:dyDescent="0.5">
      <c r="A394" s="2">
        <v>393</v>
      </c>
      <c r="B394" s="20" t="s">
        <v>3</v>
      </c>
      <c r="C394" s="20" t="s">
        <v>3520</v>
      </c>
      <c r="D394" s="20" t="s">
        <v>1824</v>
      </c>
      <c r="E394" s="20" t="s">
        <v>1823</v>
      </c>
      <c r="F394" s="2" t="s">
        <v>1826</v>
      </c>
      <c r="G394" s="20" t="s">
        <v>1004</v>
      </c>
      <c r="H394" s="36">
        <v>40210</v>
      </c>
      <c r="I394" s="20">
        <v>2010</v>
      </c>
      <c r="J394" s="20" t="s">
        <v>61</v>
      </c>
      <c r="K394" s="20" t="s">
        <v>3521</v>
      </c>
      <c r="L394" s="20" t="s">
        <v>2515</v>
      </c>
      <c r="M394" s="20" t="s">
        <v>1825</v>
      </c>
      <c r="N394" s="20" t="b">
        <v>1</v>
      </c>
      <c r="O394" s="2" t="b">
        <f>IF(Table1938[[#This Row],[Title]]="",TRUE,FALSE)</f>
        <v>0</v>
      </c>
      <c r="P394" s="2" t="b">
        <f>IF(Table1938[[#This Row],[Author]]="",TRUE,FALSE)</f>
        <v>0</v>
      </c>
      <c r="Q394" s="2" t="b">
        <f>IF(Table1938[[#This Row],[DOI]]&lt;&gt;"", FALSE,TRUE)</f>
        <v>0</v>
      </c>
      <c r="R394" s="2" t="b">
        <f>IF(Table1938[[#This Row],[Abstract]]="",TRUE,FALSE)</f>
        <v>0</v>
      </c>
      <c r="S394" s="2" t="b">
        <f>IF(OR(Table1938[[#This Row],[Document Type]]="book",Table1938[[#This Row],[Document Type]]="bookSection"),TRUE,FALSE)</f>
        <v>0</v>
      </c>
      <c r="T394" s="2" t="b">
        <f>NOT(IF(OR(Table1938[[#This Row],[Language]]&lt;&gt;"en",Table1938[[#This Row],[Language]]&lt;&gt;"EN",Table1938[[#This Row],[Language]]&lt;&gt;"spa",Table1938[[#This Row],[Language]]&lt;&gt;"SPA"),TRUE,FALSE))</f>
        <v>0</v>
      </c>
      <c r="U394" s="2" t="b">
        <f>IF(AND(Table1938[[#This Row],[EC-01]]=FALSE,Table1938[[#This Row],[EC-02]]=FALSE,Table1938[[#This Row],[EC-03]]=FALSE,Table1938[[#This Row],[EC-04]]=FALSE,Table1938[[#This Row],[EC-05]]=FALSE,Table1938[[#This Row],[EC-06]]=FALSE),TRUE,FALSE)</f>
        <v>1</v>
      </c>
      <c r="V394" s="2" t="b">
        <f>IF(Table1938[[#This Row],[Date]]&lt;&gt;"",AND(YEAR(Table1938[[#This Row],[Date]])&gt;=2010, YEAR(Table1938[[#This Row],[Date]])&lt;=2024),FALSE)</f>
        <v>1</v>
      </c>
      <c r="W394" s="2" t="b">
        <f>IF(Table1938[[#This Row],[Date]]&lt;&gt;"",AND(YEAR(Table1938[[#This Row],[Date]])&gt;=2010, YEAR(Table1938[[#This Row],[Date]])&lt;=2020),FALSE)</f>
        <v>1</v>
      </c>
      <c r="X394" s="2" t="b">
        <f>IF(AND(Table1938[[#This Row],[Accesible]]=TRUE,Table1938[[#This Row],[DOI]]&lt;&gt;""),TRUE,FALSE)</f>
        <v>1</v>
      </c>
      <c r="Y394" s="2" t="b">
        <f>OR(Table1938[[#This Row],[Document Type]]="journalArticle",Table1938[[#This Row],[Document Type]]="conferencePaper",Table1938[[#This Row],[Document Type]]="review")</f>
        <v>1</v>
      </c>
      <c r="Z394" s="2" t="b" cm="1">
        <f t="array" ref="Z394">SUMPRODUCT(--ISNUMBER(SEARCH({"dimensional analysis","dimensionless coefficients","Π","Pi","theorem","software","design","tools","development","architecture","similar"}, LOWER(Table1938[[#This Row],[Title]]))))&gt;0</f>
        <v>0</v>
      </c>
      <c r="AA394" s="2" t="b" cm="1">
        <f t="array" ref="AA394">SUMPRODUCT(--ISNUMBER(SEARCH({"dimensional analysis","dimensionless coefficients","Π","Pi","theorem","software","design","tools","development","architecture","similar"}, LOWER(Table1938[[#This Row],[Abstract]]))))&gt;0</f>
        <v>1</v>
      </c>
      <c r="AB394" s="2" t="b">
        <f>AND(OR(Table1938[[#This Row],[IC-01 @2024]:[IC-01 @2020]])=TRUE,Table1938[[#This Row],[IC-02]]=TRUE,Table1938[[#This Row],[IC-03]]=TRUE,Table1938[[#This Row],[IC-04]]=TRUE,Table1938[[#This Row],[IC-05]]=TRUE)</f>
        <v>0</v>
      </c>
      <c r="AC394" s="2" t="b">
        <f>AND(Table1938[[#This Row],[Pass-IC]]=TRUE,Table1938[[#This Row],[Pass-EC]]=TRUE)</f>
        <v>0</v>
      </c>
      <c r="AD394" s="2" t="b">
        <f>COUNTIF($D$25:D394, Table1938[[#This Row],[Title]]) = 1</f>
        <v>1</v>
      </c>
      <c r="AE394" s="2" t="b">
        <f>AND(Table1938[[#This Row],[IC + EC]:[Unique]])</f>
        <v>0</v>
      </c>
      <c r="AF394" s="2" t="b">
        <v>0</v>
      </c>
      <c r="AG394" s="2" t="b">
        <v>0</v>
      </c>
      <c r="AH394" s="2" t="b">
        <v>0</v>
      </c>
      <c r="AI394" s="2" t="b">
        <f>IF(AND(Table1938[[#This Row],[Double Check]]=TRUE,Table1938[[#This Row],[Inspected]]=TRUE,Table1938[[#This Row],[Relevant]]=TRUE),TRUE,FALSE)</f>
        <v>0</v>
      </c>
    </row>
    <row r="395" spans="1:35" ht="57.35" x14ac:dyDescent="0.5">
      <c r="A395" s="2">
        <v>394</v>
      </c>
      <c r="B395" s="20" t="s">
        <v>3</v>
      </c>
      <c r="C395" s="20" t="s">
        <v>3522</v>
      </c>
      <c r="D395" s="20" t="s">
        <v>1547</v>
      </c>
      <c r="E395" s="20" t="s">
        <v>1546</v>
      </c>
      <c r="F395" s="2" t="s">
        <v>1549</v>
      </c>
      <c r="G395" s="20" t="s">
        <v>973</v>
      </c>
      <c r="H395" s="36">
        <v>44378</v>
      </c>
      <c r="I395" s="20">
        <v>2021</v>
      </c>
      <c r="J395" s="20" t="s">
        <v>61</v>
      </c>
      <c r="K395" s="20" t="s">
        <v>3523</v>
      </c>
      <c r="L395" s="20" t="s">
        <v>2515</v>
      </c>
      <c r="M395" s="20" t="s">
        <v>1548</v>
      </c>
      <c r="N395" s="20" t="b">
        <v>1</v>
      </c>
      <c r="O395" s="2" t="b">
        <f>IF(Table1938[[#This Row],[Title]]="",TRUE,FALSE)</f>
        <v>0</v>
      </c>
      <c r="P395" s="2" t="b">
        <f>IF(Table1938[[#This Row],[Author]]="",TRUE,FALSE)</f>
        <v>0</v>
      </c>
      <c r="Q395" s="2" t="b">
        <f>IF(Table1938[[#This Row],[DOI]]&lt;&gt;"", FALSE,TRUE)</f>
        <v>0</v>
      </c>
      <c r="R395" s="2" t="b">
        <f>IF(Table1938[[#This Row],[Abstract]]="",TRUE,FALSE)</f>
        <v>0</v>
      </c>
      <c r="S395" s="2" t="b">
        <f>IF(OR(Table1938[[#This Row],[Document Type]]="book",Table1938[[#This Row],[Document Type]]="bookSection"),TRUE,FALSE)</f>
        <v>0</v>
      </c>
      <c r="T395" s="2" t="b">
        <f>NOT(IF(OR(Table1938[[#This Row],[Language]]&lt;&gt;"en",Table1938[[#This Row],[Language]]&lt;&gt;"EN",Table1938[[#This Row],[Language]]&lt;&gt;"spa",Table1938[[#This Row],[Language]]&lt;&gt;"SPA"),TRUE,FALSE))</f>
        <v>0</v>
      </c>
      <c r="U395" s="2" t="b">
        <f>IF(AND(Table1938[[#This Row],[EC-01]]=FALSE,Table1938[[#This Row],[EC-02]]=FALSE,Table1938[[#This Row],[EC-03]]=FALSE,Table1938[[#This Row],[EC-04]]=FALSE,Table1938[[#This Row],[EC-05]]=FALSE,Table1938[[#This Row],[EC-06]]=FALSE),TRUE,FALSE)</f>
        <v>1</v>
      </c>
      <c r="V395" s="2" t="b">
        <f>IF(Table1938[[#This Row],[Date]]&lt;&gt;"",AND(YEAR(Table1938[[#This Row],[Date]])&gt;=2010, YEAR(Table1938[[#This Row],[Date]])&lt;=2024),FALSE)</f>
        <v>1</v>
      </c>
      <c r="W395" s="2" t="b">
        <f>IF(Table1938[[#This Row],[Date]]&lt;&gt;"",AND(YEAR(Table1938[[#This Row],[Date]])&gt;=2010, YEAR(Table1938[[#This Row],[Date]])&lt;=2020),FALSE)</f>
        <v>0</v>
      </c>
      <c r="X395" s="2" t="b">
        <f>IF(AND(Table1938[[#This Row],[Accesible]]=TRUE,Table1938[[#This Row],[DOI]]&lt;&gt;""),TRUE,FALSE)</f>
        <v>1</v>
      </c>
      <c r="Y395" s="2" t="b">
        <f>OR(Table1938[[#This Row],[Document Type]]="journalArticle",Table1938[[#This Row],[Document Type]]="conferencePaper",Table1938[[#This Row],[Document Type]]="review")</f>
        <v>1</v>
      </c>
      <c r="Z395" s="2" t="b" cm="1">
        <f t="array" ref="Z395">SUMPRODUCT(--ISNUMBER(SEARCH({"dimensional analysis","dimensionless coefficients","Π","Pi","theorem","software","design","tools","development","architecture","similar"}, LOWER(Table1938[[#This Row],[Title]]))))&gt;0</f>
        <v>0</v>
      </c>
      <c r="AA395" s="2" t="b" cm="1">
        <f t="array" ref="AA395">SUMPRODUCT(--ISNUMBER(SEARCH({"dimensional analysis","dimensionless coefficients","Π","Pi","theorem","software","design","tools","development","architecture","similar"}, LOWER(Table1938[[#This Row],[Abstract]]))))&gt;0</f>
        <v>1</v>
      </c>
      <c r="AB395" s="2" t="b">
        <f>AND(OR(Table1938[[#This Row],[IC-01 @2024]:[IC-01 @2020]])=TRUE,Table1938[[#This Row],[IC-02]]=TRUE,Table1938[[#This Row],[IC-03]]=TRUE,Table1938[[#This Row],[IC-04]]=TRUE,Table1938[[#This Row],[IC-05]]=TRUE)</f>
        <v>0</v>
      </c>
      <c r="AC395" s="2" t="b">
        <f>AND(Table1938[[#This Row],[Pass-IC]]=TRUE,Table1938[[#This Row],[Pass-EC]]=TRUE)</f>
        <v>0</v>
      </c>
      <c r="AD395" s="2" t="b">
        <f>COUNTIF($D$25:D395, Table1938[[#This Row],[Title]]) = 1</f>
        <v>1</v>
      </c>
      <c r="AE395" s="2" t="b">
        <f>AND(Table1938[[#This Row],[IC + EC]:[Unique]])</f>
        <v>0</v>
      </c>
      <c r="AF395" s="2" t="b">
        <v>0</v>
      </c>
      <c r="AG395" s="2" t="b">
        <v>0</v>
      </c>
      <c r="AH395" s="2" t="b">
        <v>0</v>
      </c>
      <c r="AI395" s="2" t="b">
        <f>IF(AND(Table1938[[#This Row],[Double Check]]=TRUE,Table1938[[#This Row],[Inspected]]=TRUE,Table1938[[#This Row],[Relevant]]=TRUE),TRUE,FALSE)</f>
        <v>0</v>
      </c>
    </row>
    <row r="396" spans="1:35" ht="57.35" x14ac:dyDescent="0.5">
      <c r="A396" s="2">
        <v>395</v>
      </c>
      <c r="B396" s="20" t="s">
        <v>3</v>
      </c>
      <c r="C396" s="20" t="s">
        <v>3524</v>
      </c>
      <c r="D396" s="20" t="s">
        <v>308</v>
      </c>
      <c r="E396" s="20" t="s">
        <v>333</v>
      </c>
      <c r="F396" s="2" t="s">
        <v>358</v>
      </c>
      <c r="G396" s="20" t="s">
        <v>995</v>
      </c>
      <c r="H396" s="36">
        <v>44666</v>
      </c>
      <c r="I396" s="20">
        <v>2022</v>
      </c>
      <c r="J396" s="20" t="s">
        <v>61</v>
      </c>
      <c r="K396" s="20" t="s">
        <v>3525</v>
      </c>
      <c r="L396" s="20" t="s">
        <v>2515</v>
      </c>
      <c r="M396" s="20" t="s">
        <v>383</v>
      </c>
      <c r="N396" s="20" t="b">
        <v>1</v>
      </c>
      <c r="O396" s="2" t="b">
        <f>IF(Table1938[[#This Row],[Title]]="",TRUE,FALSE)</f>
        <v>0</v>
      </c>
      <c r="P396" s="2" t="b">
        <f>IF(Table1938[[#This Row],[Author]]="",TRUE,FALSE)</f>
        <v>0</v>
      </c>
      <c r="Q396" s="2" t="b">
        <f>IF(Table1938[[#This Row],[DOI]]&lt;&gt;"", FALSE,TRUE)</f>
        <v>0</v>
      </c>
      <c r="R396" s="2" t="b">
        <f>IF(Table1938[[#This Row],[Abstract]]="",TRUE,FALSE)</f>
        <v>0</v>
      </c>
      <c r="S396" s="2" t="b">
        <f>IF(OR(Table1938[[#This Row],[Document Type]]="book",Table1938[[#This Row],[Document Type]]="bookSection"),TRUE,FALSE)</f>
        <v>0</v>
      </c>
      <c r="T396" s="2" t="b">
        <f>NOT(IF(OR(Table1938[[#This Row],[Language]]&lt;&gt;"en",Table1938[[#This Row],[Language]]&lt;&gt;"EN",Table1938[[#This Row],[Language]]&lt;&gt;"spa",Table1938[[#This Row],[Language]]&lt;&gt;"SPA"),TRUE,FALSE))</f>
        <v>0</v>
      </c>
      <c r="U396" s="2" t="b">
        <f>IF(AND(Table1938[[#This Row],[EC-01]]=FALSE,Table1938[[#This Row],[EC-02]]=FALSE,Table1938[[#This Row],[EC-03]]=FALSE,Table1938[[#This Row],[EC-04]]=FALSE,Table1938[[#This Row],[EC-05]]=FALSE,Table1938[[#This Row],[EC-06]]=FALSE),TRUE,FALSE)</f>
        <v>1</v>
      </c>
      <c r="V396" s="2" t="b">
        <f>IF(Table1938[[#This Row],[Date]]&lt;&gt;"",AND(YEAR(Table1938[[#This Row],[Date]])&gt;=2010, YEAR(Table1938[[#This Row],[Date]])&lt;=2024),FALSE)</f>
        <v>1</v>
      </c>
      <c r="W396" s="2" t="b">
        <f>IF(Table1938[[#This Row],[Date]]&lt;&gt;"",AND(YEAR(Table1938[[#This Row],[Date]])&gt;=2010, YEAR(Table1938[[#This Row],[Date]])&lt;=2020),FALSE)</f>
        <v>0</v>
      </c>
      <c r="X396" s="2" t="b">
        <f>IF(AND(Table1938[[#This Row],[Accesible]]=TRUE,Table1938[[#This Row],[DOI]]&lt;&gt;""),TRUE,FALSE)</f>
        <v>1</v>
      </c>
      <c r="Y396" s="2" t="b">
        <f>OR(Table1938[[#This Row],[Document Type]]="journalArticle",Table1938[[#This Row],[Document Type]]="conferencePaper",Table1938[[#This Row],[Document Type]]="review")</f>
        <v>1</v>
      </c>
      <c r="Z396" s="2" t="b" cm="1">
        <f t="array" ref="Z396">SUMPRODUCT(--ISNUMBER(SEARCH({"dimensional analysis","dimensionless coefficients","Π","Pi","theorem","software","design","tools","development","architecture","similar"}, LOWER(Table1938[[#This Row],[Title]]))))&gt;0</f>
        <v>1</v>
      </c>
      <c r="AA396" s="2" t="b" cm="1">
        <f t="array" ref="AA396">SUMPRODUCT(--ISNUMBER(SEARCH({"dimensional analysis","dimensionless coefficients","Π","Pi","theorem","software","design","tools","development","architecture","similar"}, LOWER(Table1938[[#This Row],[Abstract]]))))&gt;0</f>
        <v>1</v>
      </c>
      <c r="AB396" s="2" t="b">
        <f>AND(OR(Table1938[[#This Row],[IC-01 @2024]:[IC-01 @2020]])=TRUE,Table1938[[#This Row],[IC-02]]=TRUE,Table1938[[#This Row],[IC-03]]=TRUE,Table1938[[#This Row],[IC-04]]=TRUE,Table1938[[#This Row],[IC-05]]=TRUE)</f>
        <v>1</v>
      </c>
      <c r="AC396" s="2" t="b">
        <f>AND(Table1938[[#This Row],[Pass-IC]]=TRUE,Table1938[[#This Row],[Pass-EC]]=TRUE)</f>
        <v>1</v>
      </c>
      <c r="AD396" s="2" t="b">
        <f>COUNTIF($D$25:D396, Table1938[[#This Row],[Title]]) = 1</f>
        <v>1</v>
      </c>
      <c r="AE396" s="2" t="b">
        <f>AND(Table1938[[#This Row],[IC + EC]:[Unique]])</f>
        <v>1</v>
      </c>
      <c r="AF396" s="2" t="b">
        <v>1</v>
      </c>
      <c r="AG396" s="2" t="b">
        <v>0</v>
      </c>
      <c r="AH396" s="2" t="b">
        <v>0</v>
      </c>
      <c r="AI396" s="2" t="b">
        <f>IF(AND(Table1938[[#This Row],[Double Check]]=TRUE,Table1938[[#This Row],[Inspected]]=TRUE,Table1938[[#This Row],[Relevant]]=TRUE),TRUE,FALSE)</f>
        <v>0</v>
      </c>
    </row>
    <row r="397" spans="1:35" ht="57.35" x14ac:dyDescent="0.5">
      <c r="A397" s="2">
        <v>396</v>
      </c>
      <c r="B397" s="20" t="s">
        <v>3</v>
      </c>
      <c r="C397" s="20" t="s">
        <v>3526</v>
      </c>
      <c r="D397" s="20" t="s">
        <v>2248</v>
      </c>
      <c r="E397" s="20" t="s">
        <v>2247</v>
      </c>
      <c r="F397" s="2" t="s">
        <v>2250</v>
      </c>
      <c r="G397" s="20" t="s">
        <v>2022</v>
      </c>
      <c r="H397" s="36">
        <v>44866</v>
      </c>
      <c r="I397" s="20">
        <v>2022</v>
      </c>
      <c r="J397" s="20" t="s">
        <v>61</v>
      </c>
      <c r="K397" s="20" t="s">
        <v>3527</v>
      </c>
      <c r="L397" s="20" t="s">
        <v>2515</v>
      </c>
      <c r="M397" s="20" t="s">
        <v>2249</v>
      </c>
      <c r="N397" s="20" t="b">
        <v>1</v>
      </c>
      <c r="O397" s="2" t="b">
        <f>IF(Table1938[[#This Row],[Title]]="",TRUE,FALSE)</f>
        <v>0</v>
      </c>
      <c r="P397" s="2" t="b">
        <f>IF(Table1938[[#This Row],[Author]]="",TRUE,FALSE)</f>
        <v>0</v>
      </c>
      <c r="Q397" s="2" t="b">
        <f>IF(Table1938[[#This Row],[DOI]]&lt;&gt;"", FALSE,TRUE)</f>
        <v>0</v>
      </c>
      <c r="R397" s="2" t="b">
        <f>IF(Table1938[[#This Row],[Abstract]]="",TRUE,FALSE)</f>
        <v>0</v>
      </c>
      <c r="S397" s="2" t="b">
        <f>IF(OR(Table1938[[#This Row],[Document Type]]="book",Table1938[[#This Row],[Document Type]]="bookSection"),TRUE,FALSE)</f>
        <v>0</v>
      </c>
      <c r="T397" s="2" t="b">
        <f>NOT(IF(OR(Table1938[[#This Row],[Language]]&lt;&gt;"en",Table1938[[#This Row],[Language]]&lt;&gt;"EN",Table1938[[#This Row],[Language]]&lt;&gt;"spa",Table1938[[#This Row],[Language]]&lt;&gt;"SPA"),TRUE,FALSE))</f>
        <v>0</v>
      </c>
      <c r="U397" s="2" t="b">
        <f>IF(AND(Table1938[[#This Row],[EC-01]]=FALSE,Table1938[[#This Row],[EC-02]]=FALSE,Table1938[[#This Row],[EC-03]]=FALSE,Table1938[[#This Row],[EC-04]]=FALSE,Table1938[[#This Row],[EC-05]]=FALSE,Table1938[[#This Row],[EC-06]]=FALSE),TRUE,FALSE)</f>
        <v>1</v>
      </c>
      <c r="V397" s="2" t="b">
        <f>IF(Table1938[[#This Row],[Date]]&lt;&gt;"",AND(YEAR(Table1938[[#This Row],[Date]])&gt;=2010, YEAR(Table1938[[#This Row],[Date]])&lt;=2024),FALSE)</f>
        <v>1</v>
      </c>
      <c r="W397" s="2" t="b">
        <f>IF(Table1938[[#This Row],[Date]]&lt;&gt;"",AND(YEAR(Table1938[[#This Row],[Date]])&gt;=2010, YEAR(Table1938[[#This Row],[Date]])&lt;=2020),FALSE)</f>
        <v>0</v>
      </c>
      <c r="X397" s="2" t="b">
        <f>IF(AND(Table1938[[#This Row],[Accesible]]=TRUE,Table1938[[#This Row],[DOI]]&lt;&gt;""),TRUE,FALSE)</f>
        <v>1</v>
      </c>
      <c r="Y397" s="2" t="b">
        <f>OR(Table1938[[#This Row],[Document Type]]="journalArticle",Table1938[[#This Row],[Document Type]]="conferencePaper",Table1938[[#This Row],[Document Type]]="review")</f>
        <v>1</v>
      </c>
      <c r="Z397" s="2" t="b" cm="1">
        <f t="array" ref="Z397">SUMPRODUCT(--ISNUMBER(SEARCH({"dimensional analysis","dimensionless coefficients","Π","Pi","theorem","software","design","tools","development","architecture","similar"}, LOWER(Table1938[[#This Row],[Title]]))))&gt;0</f>
        <v>1</v>
      </c>
      <c r="AA397" s="2" t="b" cm="1">
        <f t="array" ref="AA397">SUMPRODUCT(--ISNUMBER(SEARCH({"dimensional analysis","dimensionless coefficients","Π","Pi","theorem","software","design","tools","development","architecture","similar"}, LOWER(Table1938[[#This Row],[Abstract]]))))&gt;0</f>
        <v>1</v>
      </c>
      <c r="AB397" s="2" t="b">
        <f>AND(OR(Table1938[[#This Row],[IC-01 @2024]:[IC-01 @2020]])=TRUE,Table1938[[#This Row],[IC-02]]=TRUE,Table1938[[#This Row],[IC-03]]=TRUE,Table1938[[#This Row],[IC-04]]=TRUE,Table1938[[#This Row],[IC-05]]=TRUE)</f>
        <v>1</v>
      </c>
      <c r="AC397" s="2" t="b">
        <f>AND(Table1938[[#This Row],[Pass-IC]]=TRUE,Table1938[[#This Row],[Pass-EC]]=TRUE)</f>
        <v>1</v>
      </c>
      <c r="AD397" s="2" t="b">
        <f>COUNTIF($D$25:D397, Table1938[[#This Row],[Title]]) = 1</f>
        <v>1</v>
      </c>
      <c r="AE397" s="2" t="b">
        <f>AND(Table1938[[#This Row],[IC + EC]:[Unique]])</f>
        <v>1</v>
      </c>
      <c r="AF397" s="2" t="b">
        <v>1</v>
      </c>
      <c r="AG397" s="2" t="b">
        <v>0</v>
      </c>
      <c r="AH397" s="2" t="b">
        <v>0</v>
      </c>
      <c r="AI397" s="2" t="b">
        <f>IF(AND(Table1938[[#This Row],[Double Check]]=TRUE,Table1938[[#This Row],[Inspected]]=TRUE,Table1938[[#This Row],[Relevant]]=TRUE),TRUE,FALSE)</f>
        <v>0</v>
      </c>
    </row>
    <row r="398" spans="1:35" ht="71.7" x14ac:dyDescent="0.5">
      <c r="A398" s="2">
        <v>397</v>
      </c>
      <c r="B398" s="20" t="s">
        <v>3</v>
      </c>
      <c r="C398" s="20" t="s">
        <v>3528</v>
      </c>
      <c r="D398" s="20" t="s">
        <v>1316</v>
      </c>
      <c r="E398" s="20" t="s">
        <v>1315</v>
      </c>
      <c r="F398" s="2" t="s">
        <v>1318</v>
      </c>
      <c r="G398" s="20" t="s">
        <v>927</v>
      </c>
      <c r="H398" s="36">
        <v>45413</v>
      </c>
      <c r="I398" s="20">
        <v>2024</v>
      </c>
      <c r="J398" s="20" t="s">
        <v>61</v>
      </c>
      <c r="K398" s="20" t="s">
        <v>3529</v>
      </c>
      <c r="L398" s="20" t="s">
        <v>2515</v>
      </c>
      <c r="M398" s="20" t="s">
        <v>1317</v>
      </c>
      <c r="N398" s="20" t="b">
        <v>1</v>
      </c>
      <c r="O398" s="2" t="b">
        <f>IF(Table1938[[#This Row],[Title]]="",TRUE,FALSE)</f>
        <v>0</v>
      </c>
      <c r="P398" s="2" t="b">
        <f>IF(Table1938[[#This Row],[Author]]="",TRUE,FALSE)</f>
        <v>0</v>
      </c>
      <c r="Q398" s="2" t="b">
        <f>IF(Table1938[[#This Row],[DOI]]&lt;&gt;"", FALSE,TRUE)</f>
        <v>0</v>
      </c>
      <c r="R398" s="2" t="b">
        <f>IF(Table1938[[#This Row],[Abstract]]="",TRUE,FALSE)</f>
        <v>0</v>
      </c>
      <c r="S398" s="2" t="b">
        <f>IF(OR(Table1938[[#This Row],[Document Type]]="book",Table1938[[#This Row],[Document Type]]="bookSection"),TRUE,FALSE)</f>
        <v>0</v>
      </c>
      <c r="T398" s="2" t="b">
        <f>NOT(IF(OR(Table1938[[#This Row],[Language]]&lt;&gt;"en",Table1938[[#This Row],[Language]]&lt;&gt;"EN",Table1938[[#This Row],[Language]]&lt;&gt;"spa",Table1938[[#This Row],[Language]]&lt;&gt;"SPA"),TRUE,FALSE))</f>
        <v>0</v>
      </c>
      <c r="U398" s="2" t="b">
        <f>IF(AND(Table1938[[#This Row],[EC-01]]=FALSE,Table1938[[#This Row],[EC-02]]=FALSE,Table1938[[#This Row],[EC-03]]=FALSE,Table1938[[#This Row],[EC-04]]=FALSE,Table1938[[#This Row],[EC-05]]=FALSE,Table1938[[#This Row],[EC-06]]=FALSE),TRUE,FALSE)</f>
        <v>1</v>
      </c>
      <c r="V398" s="2" t="b">
        <f>IF(Table1938[[#This Row],[Date]]&lt;&gt;"",AND(YEAR(Table1938[[#This Row],[Date]])&gt;=2010, YEAR(Table1938[[#This Row],[Date]])&lt;=2024),FALSE)</f>
        <v>1</v>
      </c>
      <c r="W398" s="2" t="b">
        <f>IF(Table1938[[#This Row],[Date]]&lt;&gt;"",AND(YEAR(Table1938[[#This Row],[Date]])&gt;=2010, YEAR(Table1938[[#This Row],[Date]])&lt;=2020),FALSE)</f>
        <v>0</v>
      </c>
      <c r="X398" s="2" t="b">
        <f>IF(AND(Table1938[[#This Row],[Accesible]]=TRUE,Table1938[[#This Row],[DOI]]&lt;&gt;""),TRUE,FALSE)</f>
        <v>1</v>
      </c>
      <c r="Y398" s="2" t="b">
        <f>OR(Table1938[[#This Row],[Document Type]]="journalArticle",Table1938[[#This Row],[Document Type]]="conferencePaper",Table1938[[#This Row],[Document Type]]="review")</f>
        <v>1</v>
      </c>
      <c r="Z398" s="2" t="b" cm="1">
        <f t="array" ref="Z398">SUMPRODUCT(--ISNUMBER(SEARCH({"dimensional analysis","dimensionless coefficients","Π","Pi","theorem","software","design","tools","development","architecture","similar"}, LOWER(Table1938[[#This Row],[Title]]))))&gt;0</f>
        <v>0</v>
      </c>
      <c r="AA398" s="2" t="b" cm="1">
        <f t="array" ref="AA398">SUMPRODUCT(--ISNUMBER(SEARCH({"dimensional analysis","dimensionless coefficients","Π","Pi","theorem","software","design","tools","development","architecture","similar"}, LOWER(Table1938[[#This Row],[Abstract]]))))&gt;0</f>
        <v>1</v>
      </c>
      <c r="AB398" s="2" t="b">
        <f>AND(OR(Table1938[[#This Row],[IC-01 @2024]:[IC-01 @2020]])=TRUE,Table1938[[#This Row],[IC-02]]=TRUE,Table1938[[#This Row],[IC-03]]=TRUE,Table1938[[#This Row],[IC-04]]=TRUE,Table1938[[#This Row],[IC-05]]=TRUE)</f>
        <v>0</v>
      </c>
      <c r="AC398" s="2" t="b">
        <f>AND(Table1938[[#This Row],[Pass-IC]]=TRUE,Table1938[[#This Row],[Pass-EC]]=TRUE)</f>
        <v>0</v>
      </c>
      <c r="AD398" s="2" t="b">
        <f>COUNTIF($D$25:D398, Table1938[[#This Row],[Title]]) = 1</f>
        <v>1</v>
      </c>
      <c r="AE398" s="2" t="b">
        <f>AND(Table1938[[#This Row],[IC + EC]:[Unique]])</f>
        <v>0</v>
      </c>
      <c r="AF398" s="2" t="b">
        <v>0</v>
      </c>
      <c r="AG398" s="2" t="b">
        <v>0</v>
      </c>
      <c r="AH398" s="2" t="b">
        <v>0</v>
      </c>
      <c r="AI398" s="2" t="b">
        <f>IF(AND(Table1938[[#This Row],[Double Check]]=TRUE,Table1938[[#This Row],[Inspected]]=TRUE,Table1938[[#This Row],[Relevant]]=TRUE),TRUE,FALSE)</f>
        <v>0</v>
      </c>
    </row>
    <row r="399" spans="1:35" ht="86" x14ac:dyDescent="0.5">
      <c r="A399" s="2">
        <v>398</v>
      </c>
      <c r="B399" s="20" t="s">
        <v>3</v>
      </c>
      <c r="C399" s="20" t="s">
        <v>3530</v>
      </c>
      <c r="D399" s="20" t="s">
        <v>1249</v>
      </c>
      <c r="E399" s="20" t="s">
        <v>1248</v>
      </c>
      <c r="F399" s="2" t="s">
        <v>1251</v>
      </c>
      <c r="G399" s="20" t="s">
        <v>945</v>
      </c>
      <c r="H399" s="36">
        <v>45474</v>
      </c>
      <c r="I399" s="20">
        <v>2024</v>
      </c>
      <c r="J399" s="20" t="s">
        <v>61</v>
      </c>
      <c r="K399" s="20" t="s">
        <v>3531</v>
      </c>
      <c r="L399" s="20" t="s">
        <v>2515</v>
      </c>
      <c r="M399" s="20" t="s">
        <v>1250</v>
      </c>
      <c r="N399" s="20" t="b">
        <v>1</v>
      </c>
      <c r="O399" s="2" t="b">
        <f>IF(Table1938[[#This Row],[Title]]="",TRUE,FALSE)</f>
        <v>0</v>
      </c>
      <c r="P399" s="2" t="b">
        <f>IF(Table1938[[#This Row],[Author]]="",TRUE,FALSE)</f>
        <v>0</v>
      </c>
      <c r="Q399" s="2" t="b">
        <f>IF(Table1938[[#This Row],[DOI]]&lt;&gt;"", FALSE,TRUE)</f>
        <v>0</v>
      </c>
      <c r="R399" s="2" t="b">
        <f>IF(Table1938[[#This Row],[Abstract]]="",TRUE,FALSE)</f>
        <v>0</v>
      </c>
      <c r="S399" s="2" t="b">
        <f>IF(OR(Table1938[[#This Row],[Document Type]]="book",Table1938[[#This Row],[Document Type]]="bookSection"),TRUE,FALSE)</f>
        <v>0</v>
      </c>
      <c r="T399" s="2" t="b">
        <f>NOT(IF(OR(Table1938[[#This Row],[Language]]&lt;&gt;"en",Table1938[[#This Row],[Language]]&lt;&gt;"EN",Table1938[[#This Row],[Language]]&lt;&gt;"spa",Table1938[[#This Row],[Language]]&lt;&gt;"SPA"),TRUE,FALSE))</f>
        <v>0</v>
      </c>
      <c r="U399" s="2" t="b">
        <f>IF(AND(Table1938[[#This Row],[EC-01]]=FALSE,Table1938[[#This Row],[EC-02]]=FALSE,Table1938[[#This Row],[EC-03]]=FALSE,Table1938[[#This Row],[EC-04]]=FALSE,Table1938[[#This Row],[EC-05]]=FALSE,Table1938[[#This Row],[EC-06]]=FALSE),TRUE,FALSE)</f>
        <v>1</v>
      </c>
      <c r="V399" s="2" t="b">
        <f>IF(Table1938[[#This Row],[Date]]&lt;&gt;"",AND(YEAR(Table1938[[#This Row],[Date]])&gt;=2010, YEAR(Table1938[[#This Row],[Date]])&lt;=2024),FALSE)</f>
        <v>1</v>
      </c>
      <c r="W399" s="2" t="b">
        <f>IF(Table1938[[#This Row],[Date]]&lt;&gt;"",AND(YEAR(Table1938[[#This Row],[Date]])&gt;=2010, YEAR(Table1938[[#This Row],[Date]])&lt;=2020),FALSE)</f>
        <v>0</v>
      </c>
      <c r="X399" s="2" t="b">
        <f>IF(AND(Table1938[[#This Row],[Accesible]]=TRUE,Table1938[[#This Row],[DOI]]&lt;&gt;""),TRUE,FALSE)</f>
        <v>1</v>
      </c>
      <c r="Y399" s="2" t="b">
        <f>OR(Table1938[[#This Row],[Document Type]]="journalArticle",Table1938[[#This Row],[Document Type]]="conferencePaper",Table1938[[#This Row],[Document Type]]="review")</f>
        <v>1</v>
      </c>
      <c r="Z399" s="2" t="b" cm="1">
        <f t="array" ref="Z399">SUMPRODUCT(--ISNUMBER(SEARCH({"dimensional analysis","dimensionless coefficients","Π","Pi","theorem","software","design","tools","development","architecture","similar"}, LOWER(Table1938[[#This Row],[Title]]))))&gt;0</f>
        <v>0</v>
      </c>
      <c r="AA399" s="2" t="b" cm="1">
        <f t="array" ref="AA399">SUMPRODUCT(--ISNUMBER(SEARCH({"dimensional analysis","dimensionless coefficients","Π","Pi","theorem","software","design","tools","development","architecture","similar"}, LOWER(Table1938[[#This Row],[Abstract]]))))&gt;0</f>
        <v>1</v>
      </c>
      <c r="AB399" s="2" t="b">
        <f>AND(OR(Table1938[[#This Row],[IC-01 @2024]:[IC-01 @2020]])=TRUE,Table1938[[#This Row],[IC-02]]=TRUE,Table1938[[#This Row],[IC-03]]=TRUE,Table1938[[#This Row],[IC-04]]=TRUE,Table1938[[#This Row],[IC-05]]=TRUE)</f>
        <v>0</v>
      </c>
      <c r="AC399" s="2" t="b">
        <f>AND(Table1938[[#This Row],[Pass-IC]]=TRUE,Table1938[[#This Row],[Pass-EC]]=TRUE)</f>
        <v>0</v>
      </c>
      <c r="AD399" s="2" t="b">
        <f>COUNTIF($D$25:D399, Table1938[[#This Row],[Title]]) = 1</f>
        <v>1</v>
      </c>
      <c r="AE399" s="2" t="b">
        <f>AND(Table1938[[#This Row],[IC + EC]:[Unique]])</f>
        <v>0</v>
      </c>
      <c r="AF399" s="2" t="b">
        <v>0</v>
      </c>
      <c r="AG399" s="2" t="b">
        <v>0</v>
      </c>
      <c r="AH399" s="2" t="b">
        <v>0</v>
      </c>
      <c r="AI399" s="2" t="b">
        <f>IF(AND(Table1938[[#This Row],[Double Check]]=TRUE,Table1938[[#This Row],[Inspected]]=TRUE,Table1938[[#This Row],[Relevant]]=TRUE),TRUE,FALSE)</f>
        <v>0</v>
      </c>
    </row>
    <row r="400" spans="1:35" ht="28.7" x14ac:dyDescent="0.5">
      <c r="A400" s="2">
        <v>399</v>
      </c>
      <c r="B400" s="20" t="s">
        <v>3</v>
      </c>
      <c r="C400" s="20" t="s">
        <v>3532</v>
      </c>
      <c r="D400" s="20" t="s">
        <v>2016</v>
      </c>
      <c r="E400" s="20" t="s">
        <v>2015</v>
      </c>
      <c r="F400" s="2" t="s">
        <v>2019</v>
      </c>
      <c r="G400" s="20" t="s">
        <v>2017</v>
      </c>
      <c r="H400" s="36">
        <v>40228</v>
      </c>
      <c r="I400" s="20">
        <v>2010</v>
      </c>
      <c r="J400" s="20" t="s">
        <v>61</v>
      </c>
      <c r="K400" s="20" t="s">
        <v>3533</v>
      </c>
      <c r="L400" s="20" t="s">
        <v>2515</v>
      </c>
      <c r="M400" s="20" t="s">
        <v>2018</v>
      </c>
      <c r="N400" s="20" t="b">
        <v>1</v>
      </c>
      <c r="O400" s="2" t="b">
        <f>IF(Table1938[[#This Row],[Title]]="",TRUE,FALSE)</f>
        <v>0</v>
      </c>
      <c r="P400" s="2" t="b">
        <f>IF(Table1938[[#This Row],[Author]]="",TRUE,FALSE)</f>
        <v>0</v>
      </c>
      <c r="Q400" s="2" t="b">
        <f>IF(Table1938[[#This Row],[DOI]]&lt;&gt;"", FALSE,TRUE)</f>
        <v>0</v>
      </c>
      <c r="R400" s="2" t="b">
        <f>IF(Table1938[[#This Row],[Abstract]]="",TRUE,FALSE)</f>
        <v>0</v>
      </c>
      <c r="S400" s="2" t="b">
        <f>IF(OR(Table1938[[#This Row],[Document Type]]="book",Table1938[[#This Row],[Document Type]]="bookSection"),TRUE,FALSE)</f>
        <v>0</v>
      </c>
      <c r="T400" s="2" t="b">
        <f>NOT(IF(OR(Table1938[[#This Row],[Language]]&lt;&gt;"en",Table1938[[#This Row],[Language]]&lt;&gt;"EN",Table1938[[#This Row],[Language]]&lt;&gt;"spa",Table1938[[#This Row],[Language]]&lt;&gt;"SPA"),TRUE,FALSE))</f>
        <v>0</v>
      </c>
      <c r="U400" s="2" t="b">
        <f>IF(AND(Table1938[[#This Row],[EC-01]]=FALSE,Table1938[[#This Row],[EC-02]]=FALSE,Table1938[[#This Row],[EC-03]]=FALSE,Table1938[[#This Row],[EC-04]]=FALSE,Table1938[[#This Row],[EC-05]]=FALSE,Table1938[[#This Row],[EC-06]]=FALSE),TRUE,FALSE)</f>
        <v>1</v>
      </c>
      <c r="V400" s="2" t="b">
        <f>IF(Table1938[[#This Row],[Date]]&lt;&gt;"",AND(YEAR(Table1938[[#This Row],[Date]])&gt;=2010, YEAR(Table1938[[#This Row],[Date]])&lt;=2024),FALSE)</f>
        <v>1</v>
      </c>
      <c r="W400" s="2" t="b">
        <f>IF(Table1938[[#This Row],[Date]]&lt;&gt;"",AND(YEAR(Table1938[[#This Row],[Date]])&gt;=2010, YEAR(Table1938[[#This Row],[Date]])&lt;=2020),FALSE)</f>
        <v>1</v>
      </c>
      <c r="X400" s="2" t="b">
        <f>IF(AND(Table1938[[#This Row],[Accesible]]=TRUE,Table1938[[#This Row],[DOI]]&lt;&gt;""),TRUE,FALSE)</f>
        <v>1</v>
      </c>
      <c r="Y400" s="2" t="b">
        <f>OR(Table1938[[#This Row],[Document Type]]="journalArticle",Table1938[[#This Row],[Document Type]]="conferencePaper",Table1938[[#This Row],[Document Type]]="review")</f>
        <v>1</v>
      </c>
      <c r="Z400" s="2" t="b" cm="1">
        <f t="array" ref="Z400">SUMPRODUCT(--ISNUMBER(SEARCH({"dimensional analysis","dimensionless coefficients","Π","Pi","theorem","software","design","tools","development","architecture","similar"}, LOWER(Table1938[[#This Row],[Title]]))))&gt;0</f>
        <v>0</v>
      </c>
      <c r="AA400" s="2" t="b" cm="1">
        <f t="array" ref="AA400">SUMPRODUCT(--ISNUMBER(SEARCH({"dimensional analysis","dimensionless coefficients","Π","Pi","theorem","software","design","tools","development","architecture","similar"}, LOWER(Table1938[[#This Row],[Abstract]]))))&gt;0</f>
        <v>1</v>
      </c>
      <c r="AB400" s="2" t="b">
        <f>AND(OR(Table1938[[#This Row],[IC-01 @2024]:[IC-01 @2020]])=TRUE,Table1938[[#This Row],[IC-02]]=TRUE,Table1938[[#This Row],[IC-03]]=TRUE,Table1938[[#This Row],[IC-04]]=TRUE,Table1938[[#This Row],[IC-05]]=TRUE)</f>
        <v>0</v>
      </c>
      <c r="AC400" s="2" t="b">
        <f>AND(Table1938[[#This Row],[Pass-IC]]=TRUE,Table1938[[#This Row],[Pass-EC]]=TRUE)</f>
        <v>0</v>
      </c>
      <c r="AD400" s="2" t="b">
        <f>COUNTIF($D$25:D400, Table1938[[#This Row],[Title]]) = 1</f>
        <v>1</v>
      </c>
      <c r="AE400" s="2" t="b">
        <f>AND(Table1938[[#This Row],[IC + EC]:[Unique]])</f>
        <v>0</v>
      </c>
      <c r="AF400" s="2" t="b">
        <v>0</v>
      </c>
      <c r="AG400" s="2" t="b">
        <v>0</v>
      </c>
      <c r="AH400" s="2" t="b">
        <v>0</v>
      </c>
      <c r="AI400" s="2" t="b">
        <f>IF(AND(Table1938[[#This Row],[Double Check]]=TRUE,Table1938[[#This Row],[Inspected]]=TRUE,Table1938[[#This Row],[Relevant]]=TRUE),TRUE,FALSE)</f>
        <v>0</v>
      </c>
    </row>
    <row r="401" spans="1:35" ht="71.7" x14ac:dyDescent="0.5">
      <c r="A401" s="2">
        <v>400</v>
      </c>
      <c r="B401" s="20" t="s">
        <v>3</v>
      </c>
      <c r="C401" s="20" t="s">
        <v>3534</v>
      </c>
      <c r="D401" s="20" t="s">
        <v>1235</v>
      </c>
      <c r="E401" s="20" t="s">
        <v>1234</v>
      </c>
      <c r="F401" s="2" t="s">
        <v>1238</v>
      </c>
      <c r="G401" s="20" t="s">
        <v>1236</v>
      </c>
      <c r="H401" s="36">
        <v>45078</v>
      </c>
      <c r="I401" s="20">
        <v>2023</v>
      </c>
      <c r="J401" s="20" t="s">
        <v>61</v>
      </c>
      <c r="K401" s="20" t="s">
        <v>3535</v>
      </c>
      <c r="L401" s="20" t="s">
        <v>2515</v>
      </c>
      <c r="M401" s="20" t="s">
        <v>1237</v>
      </c>
      <c r="N401" s="20" t="b">
        <v>1</v>
      </c>
      <c r="O401" s="2" t="b">
        <f>IF(Table1938[[#This Row],[Title]]="",TRUE,FALSE)</f>
        <v>0</v>
      </c>
      <c r="P401" s="2" t="b">
        <f>IF(Table1938[[#This Row],[Author]]="",TRUE,FALSE)</f>
        <v>0</v>
      </c>
      <c r="Q401" s="2" t="b">
        <f>IF(Table1938[[#This Row],[DOI]]&lt;&gt;"", FALSE,TRUE)</f>
        <v>0</v>
      </c>
      <c r="R401" s="2" t="b">
        <f>IF(Table1938[[#This Row],[Abstract]]="",TRUE,FALSE)</f>
        <v>0</v>
      </c>
      <c r="S401" s="2" t="b">
        <f>IF(OR(Table1938[[#This Row],[Document Type]]="book",Table1938[[#This Row],[Document Type]]="bookSection"),TRUE,FALSE)</f>
        <v>0</v>
      </c>
      <c r="T401" s="2" t="b">
        <f>NOT(IF(OR(Table1938[[#This Row],[Language]]&lt;&gt;"en",Table1938[[#This Row],[Language]]&lt;&gt;"EN",Table1938[[#This Row],[Language]]&lt;&gt;"spa",Table1938[[#This Row],[Language]]&lt;&gt;"SPA"),TRUE,FALSE))</f>
        <v>0</v>
      </c>
      <c r="U401" s="2" t="b">
        <f>IF(AND(Table1938[[#This Row],[EC-01]]=FALSE,Table1938[[#This Row],[EC-02]]=FALSE,Table1938[[#This Row],[EC-03]]=FALSE,Table1938[[#This Row],[EC-04]]=FALSE,Table1938[[#This Row],[EC-05]]=FALSE,Table1938[[#This Row],[EC-06]]=FALSE),TRUE,FALSE)</f>
        <v>1</v>
      </c>
      <c r="V401" s="2" t="b">
        <f>IF(Table1938[[#This Row],[Date]]&lt;&gt;"",AND(YEAR(Table1938[[#This Row],[Date]])&gt;=2010, YEAR(Table1938[[#This Row],[Date]])&lt;=2024),FALSE)</f>
        <v>1</v>
      </c>
      <c r="W401" s="2" t="b">
        <f>IF(Table1938[[#This Row],[Date]]&lt;&gt;"",AND(YEAR(Table1938[[#This Row],[Date]])&gt;=2010, YEAR(Table1938[[#This Row],[Date]])&lt;=2020),FALSE)</f>
        <v>0</v>
      </c>
      <c r="X401" s="2" t="b">
        <f>IF(AND(Table1938[[#This Row],[Accesible]]=TRUE,Table1938[[#This Row],[DOI]]&lt;&gt;""),TRUE,FALSE)</f>
        <v>1</v>
      </c>
      <c r="Y401" s="2" t="b">
        <f>OR(Table1938[[#This Row],[Document Type]]="journalArticle",Table1938[[#This Row],[Document Type]]="conferencePaper",Table1938[[#This Row],[Document Type]]="review")</f>
        <v>1</v>
      </c>
      <c r="Z401" s="2" t="b" cm="1">
        <f t="array" ref="Z401">SUMPRODUCT(--ISNUMBER(SEARCH({"dimensional analysis","dimensionless coefficients","Π","Pi","theorem","software","design","tools","development","architecture","similar"}, LOWER(Table1938[[#This Row],[Title]]))))&gt;0</f>
        <v>1</v>
      </c>
      <c r="AA401" s="2" t="b" cm="1">
        <f t="array" ref="AA401">SUMPRODUCT(--ISNUMBER(SEARCH({"dimensional analysis","dimensionless coefficients","Π","Pi","theorem","software","design","tools","development","architecture","similar"}, LOWER(Table1938[[#This Row],[Abstract]]))))&gt;0</f>
        <v>1</v>
      </c>
      <c r="AB401" s="2" t="b">
        <f>AND(OR(Table1938[[#This Row],[IC-01 @2024]:[IC-01 @2020]])=TRUE,Table1938[[#This Row],[IC-02]]=TRUE,Table1938[[#This Row],[IC-03]]=TRUE,Table1938[[#This Row],[IC-04]]=TRUE,Table1938[[#This Row],[IC-05]]=TRUE)</f>
        <v>1</v>
      </c>
      <c r="AC401" s="2" t="b">
        <f>AND(Table1938[[#This Row],[Pass-IC]]=TRUE,Table1938[[#This Row],[Pass-EC]]=TRUE)</f>
        <v>1</v>
      </c>
      <c r="AD401" s="2" t="b">
        <f>COUNTIF($D$25:D401, Table1938[[#This Row],[Title]]) = 1</f>
        <v>1</v>
      </c>
      <c r="AE401" s="2" t="b">
        <f>AND(Table1938[[#This Row],[IC + EC]:[Unique]])</f>
        <v>1</v>
      </c>
      <c r="AF401" s="2" t="b">
        <v>1</v>
      </c>
      <c r="AG401" s="2" t="b">
        <v>0</v>
      </c>
      <c r="AH401" s="2" t="b">
        <v>0</v>
      </c>
      <c r="AI401" s="2" t="b">
        <f>IF(AND(Table1938[[#This Row],[Double Check]]=TRUE,Table1938[[#This Row],[Inspected]]=TRUE,Table1938[[#This Row],[Relevant]]=TRUE),TRUE,FALSE)</f>
        <v>0</v>
      </c>
    </row>
    <row r="402" spans="1:35" ht="57.35" x14ac:dyDescent="0.5">
      <c r="A402" s="2">
        <v>401</v>
      </c>
      <c r="B402" s="20" t="s">
        <v>3</v>
      </c>
      <c r="C402" s="20" t="s">
        <v>3536</v>
      </c>
      <c r="D402" s="20" t="s">
        <v>1495</v>
      </c>
      <c r="E402" s="20" t="s">
        <v>1494</v>
      </c>
      <c r="F402" s="2" t="s">
        <v>1497</v>
      </c>
      <c r="G402" s="20" t="s">
        <v>939</v>
      </c>
      <c r="H402" s="36">
        <v>44896</v>
      </c>
      <c r="I402" s="20">
        <v>2022</v>
      </c>
      <c r="J402" s="20" t="s">
        <v>61</v>
      </c>
      <c r="K402" s="20" t="s">
        <v>3537</v>
      </c>
      <c r="L402" s="20" t="s">
        <v>2515</v>
      </c>
      <c r="M402" s="20" t="s">
        <v>1496</v>
      </c>
      <c r="N402" s="20" t="b">
        <v>1</v>
      </c>
      <c r="O402" s="2" t="b">
        <f>IF(Table1938[[#This Row],[Title]]="",TRUE,FALSE)</f>
        <v>0</v>
      </c>
      <c r="P402" s="2" t="b">
        <f>IF(Table1938[[#This Row],[Author]]="",TRUE,FALSE)</f>
        <v>0</v>
      </c>
      <c r="Q402" s="2" t="b">
        <f>IF(Table1938[[#This Row],[DOI]]&lt;&gt;"", FALSE,TRUE)</f>
        <v>0</v>
      </c>
      <c r="R402" s="2" t="b">
        <f>IF(Table1938[[#This Row],[Abstract]]="",TRUE,FALSE)</f>
        <v>0</v>
      </c>
      <c r="S402" s="2" t="b">
        <f>IF(OR(Table1938[[#This Row],[Document Type]]="book",Table1938[[#This Row],[Document Type]]="bookSection"),TRUE,FALSE)</f>
        <v>0</v>
      </c>
      <c r="T402" s="2" t="b">
        <f>NOT(IF(OR(Table1938[[#This Row],[Language]]&lt;&gt;"en",Table1938[[#This Row],[Language]]&lt;&gt;"EN",Table1938[[#This Row],[Language]]&lt;&gt;"spa",Table1938[[#This Row],[Language]]&lt;&gt;"SPA"),TRUE,FALSE))</f>
        <v>0</v>
      </c>
      <c r="U402" s="2" t="b">
        <f>IF(AND(Table1938[[#This Row],[EC-01]]=FALSE,Table1938[[#This Row],[EC-02]]=FALSE,Table1938[[#This Row],[EC-03]]=FALSE,Table1938[[#This Row],[EC-04]]=FALSE,Table1938[[#This Row],[EC-05]]=FALSE,Table1938[[#This Row],[EC-06]]=FALSE),TRUE,FALSE)</f>
        <v>1</v>
      </c>
      <c r="V402" s="2" t="b">
        <f>IF(Table1938[[#This Row],[Date]]&lt;&gt;"",AND(YEAR(Table1938[[#This Row],[Date]])&gt;=2010, YEAR(Table1938[[#This Row],[Date]])&lt;=2024),FALSE)</f>
        <v>1</v>
      </c>
      <c r="W402" s="2" t="b">
        <f>IF(Table1938[[#This Row],[Date]]&lt;&gt;"",AND(YEAR(Table1938[[#This Row],[Date]])&gt;=2010, YEAR(Table1938[[#This Row],[Date]])&lt;=2020),FALSE)</f>
        <v>0</v>
      </c>
      <c r="X402" s="2" t="b">
        <f>IF(AND(Table1938[[#This Row],[Accesible]]=TRUE,Table1938[[#This Row],[DOI]]&lt;&gt;""),TRUE,FALSE)</f>
        <v>1</v>
      </c>
      <c r="Y402" s="2" t="b">
        <f>OR(Table1938[[#This Row],[Document Type]]="journalArticle",Table1938[[#This Row],[Document Type]]="conferencePaper",Table1938[[#This Row],[Document Type]]="review")</f>
        <v>1</v>
      </c>
      <c r="Z402" s="2" t="b" cm="1">
        <f t="array" ref="Z402">SUMPRODUCT(--ISNUMBER(SEARCH({"dimensional analysis","dimensionless coefficients","Π","Pi","theorem","software","design","tools","development","architecture","similar"}, LOWER(Table1938[[#This Row],[Title]]))))&gt;0</f>
        <v>0</v>
      </c>
      <c r="AA402" s="2" t="b" cm="1">
        <f t="array" ref="AA402">SUMPRODUCT(--ISNUMBER(SEARCH({"dimensional analysis","dimensionless coefficients","Π","Pi","theorem","software","design","tools","development","architecture","similar"}, LOWER(Table1938[[#This Row],[Abstract]]))))&gt;0</f>
        <v>1</v>
      </c>
      <c r="AB402" s="2" t="b">
        <f>AND(OR(Table1938[[#This Row],[IC-01 @2024]:[IC-01 @2020]])=TRUE,Table1938[[#This Row],[IC-02]]=TRUE,Table1938[[#This Row],[IC-03]]=TRUE,Table1938[[#This Row],[IC-04]]=TRUE,Table1938[[#This Row],[IC-05]]=TRUE)</f>
        <v>0</v>
      </c>
      <c r="AC402" s="2" t="b">
        <f>AND(Table1938[[#This Row],[Pass-IC]]=TRUE,Table1938[[#This Row],[Pass-EC]]=TRUE)</f>
        <v>0</v>
      </c>
      <c r="AD402" s="2" t="b">
        <f>COUNTIF($D$25:D402, Table1938[[#This Row],[Title]]) = 1</f>
        <v>1</v>
      </c>
      <c r="AE402" s="2" t="b">
        <f>AND(Table1938[[#This Row],[IC + EC]:[Unique]])</f>
        <v>0</v>
      </c>
      <c r="AF402" s="2" t="b">
        <v>0</v>
      </c>
      <c r="AG402" s="2" t="b">
        <v>0</v>
      </c>
      <c r="AH402" s="2" t="b">
        <v>0</v>
      </c>
      <c r="AI402" s="2" t="b">
        <f>IF(AND(Table1938[[#This Row],[Double Check]]=TRUE,Table1938[[#This Row],[Inspected]]=TRUE,Table1938[[#This Row],[Relevant]]=TRUE),TRUE,FALSE)</f>
        <v>0</v>
      </c>
    </row>
    <row r="403" spans="1:35" ht="43" x14ac:dyDescent="0.5">
      <c r="A403" s="2">
        <v>402</v>
      </c>
      <c r="B403" s="20" t="s">
        <v>3</v>
      </c>
      <c r="C403" s="20" t="s">
        <v>3538</v>
      </c>
      <c r="D403" s="20" t="s">
        <v>1954</v>
      </c>
      <c r="E403" s="20" t="s">
        <v>1953</v>
      </c>
      <c r="F403" s="2" t="s">
        <v>1956</v>
      </c>
      <c r="G403" s="20" t="s">
        <v>956</v>
      </c>
      <c r="H403" s="36">
        <v>41699</v>
      </c>
      <c r="I403" s="20">
        <v>2014</v>
      </c>
      <c r="J403" s="20" t="s">
        <v>61</v>
      </c>
      <c r="K403" s="20" t="s">
        <v>3539</v>
      </c>
      <c r="L403" s="20" t="s">
        <v>2515</v>
      </c>
      <c r="M403" s="20" t="s">
        <v>1955</v>
      </c>
      <c r="N403" s="20" t="b">
        <v>1</v>
      </c>
      <c r="O403" s="2" t="b">
        <f>IF(Table1938[[#This Row],[Title]]="",TRUE,FALSE)</f>
        <v>0</v>
      </c>
      <c r="P403" s="2" t="b">
        <f>IF(Table1938[[#This Row],[Author]]="",TRUE,FALSE)</f>
        <v>0</v>
      </c>
      <c r="Q403" s="2" t="b">
        <f>IF(Table1938[[#This Row],[DOI]]&lt;&gt;"", FALSE,TRUE)</f>
        <v>0</v>
      </c>
      <c r="R403" s="2" t="b">
        <f>IF(Table1938[[#This Row],[Abstract]]="",TRUE,FALSE)</f>
        <v>0</v>
      </c>
      <c r="S403" s="2" t="b">
        <f>IF(OR(Table1938[[#This Row],[Document Type]]="book",Table1938[[#This Row],[Document Type]]="bookSection"),TRUE,FALSE)</f>
        <v>0</v>
      </c>
      <c r="T403" s="2" t="b">
        <f>NOT(IF(OR(Table1938[[#This Row],[Language]]&lt;&gt;"en",Table1938[[#This Row],[Language]]&lt;&gt;"EN",Table1938[[#This Row],[Language]]&lt;&gt;"spa",Table1938[[#This Row],[Language]]&lt;&gt;"SPA"),TRUE,FALSE))</f>
        <v>0</v>
      </c>
      <c r="U403" s="2" t="b">
        <f>IF(AND(Table1938[[#This Row],[EC-01]]=FALSE,Table1938[[#This Row],[EC-02]]=FALSE,Table1938[[#This Row],[EC-03]]=FALSE,Table1938[[#This Row],[EC-04]]=FALSE,Table1938[[#This Row],[EC-05]]=FALSE,Table1938[[#This Row],[EC-06]]=FALSE),TRUE,FALSE)</f>
        <v>1</v>
      </c>
      <c r="V403" s="2" t="b">
        <f>IF(Table1938[[#This Row],[Date]]&lt;&gt;"",AND(YEAR(Table1938[[#This Row],[Date]])&gt;=2010, YEAR(Table1938[[#This Row],[Date]])&lt;=2024),FALSE)</f>
        <v>1</v>
      </c>
      <c r="W403" s="2" t="b">
        <f>IF(Table1938[[#This Row],[Date]]&lt;&gt;"",AND(YEAR(Table1938[[#This Row],[Date]])&gt;=2010, YEAR(Table1938[[#This Row],[Date]])&lt;=2020),FALSE)</f>
        <v>1</v>
      </c>
      <c r="X403" s="2" t="b">
        <f>IF(AND(Table1938[[#This Row],[Accesible]]=TRUE,Table1938[[#This Row],[DOI]]&lt;&gt;""),TRUE,FALSE)</f>
        <v>1</v>
      </c>
      <c r="Y403" s="2" t="b">
        <f>OR(Table1938[[#This Row],[Document Type]]="journalArticle",Table1938[[#This Row],[Document Type]]="conferencePaper",Table1938[[#This Row],[Document Type]]="review")</f>
        <v>1</v>
      </c>
      <c r="Z403" s="2" t="b" cm="1">
        <f t="array" ref="Z403">SUMPRODUCT(--ISNUMBER(SEARCH({"dimensional analysis","dimensionless coefficients","Π","Pi","theorem","software","design","tools","development","architecture","similar"}, LOWER(Table1938[[#This Row],[Title]]))))&gt;0</f>
        <v>0</v>
      </c>
      <c r="AA403" s="2" t="b" cm="1">
        <f t="array" ref="AA403">SUMPRODUCT(--ISNUMBER(SEARCH({"dimensional analysis","dimensionless coefficients","Π","Pi","theorem","software","design","tools","development","architecture","similar"}, LOWER(Table1938[[#This Row],[Abstract]]))))&gt;0</f>
        <v>1</v>
      </c>
      <c r="AB403" s="2" t="b">
        <f>AND(OR(Table1938[[#This Row],[IC-01 @2024]:[IC-01 @2020]])=TRUE,Table1938[[#This Row],[IC-02]]=TRUE,Table1938[[#This Row],[IC-03]]=TRUE,Table1938[[#This Row],[IC-04]]=TRUE,Table1938[[#This Row],[IC-05]]=TRUE)</f>
        <v>0</v>
      </c>
      <c r="AC403" s="2" t="b">
        <f>AND(Table1938[[#This Row],[Pass-IC]]=TRUE,Table1938[[#This Row],[Pass-EC]]=TRUE)</f>
        <v>0</v>
      </c>
      <c r="AD403" s="2" t="b">
        <f>COUNTIF($D$25:D403, Table1938[[#This Row],[Title]]) = 1</f>
        <v>1</v>
      </c>
      <c r="AE403" s="2" t="b">
        <f>AND(Table1938[[#This Row],[IC + EC]:[Unique]])</f>
        <v>0</v>
      </c>
      <c r="AF403" s="2" t="b">
        <v>0</v>
      </c>
      <c r="AG403" s="2" t="b">
        <v>0</v>
      </c>
      <c r="AH403" s="2" t="b">
        <v>0</v>
      </c>
      <c r="AI403" s="2" t="b">
        <f>IF(AND(Table1938[[#This Row],[Double Check]]=TRUE,Table1938[[#This Row],[Inspected]]=TRUE,Table1938[[#This Row],[Relevant]]=TRUE),TRUE,FALSE)</f>
        <v>0</v>
      </c>
    </row>
    <row r="404" spans="1:35" ht="43" x14ac:dyDescent="0.5">
      <c r="A404" s="2">
        <v>403</v>
      </c>
      <c r="B404" s="20" t="s">
        <v>3</v>
      </c>
      <c r="C404" s="20" t="s">
        <v>3540</v>
      </c>
      <c r="D404" s="20" t="s">
        <v>1648</v>
      </c>
      <c r="E404" s="20" t="s">
        <v>1647</v>
      </c>
      <c r="F404" s="2" t="s">
        <v>1650</v>
      </c>
      <c r="G404" s="20" t="s">
        <v>1006</v>
      </c>
      <c r="H404" s="36">
        <v>44409</v>
      </c>
      <c r="I404" s="20">
        <v>2021</v>
      </c>
      <c r="J404" s="20" t="s">
        <v>61</v>
      </c>
      <c r="K404" s="20" t="s">
        <v>3541</v>
      </c>
      <c r="L404" s="20" t="s">
        <v>2515</v>
      </c>
      <c r="M404" s="20" t="s">
        <v>1649</v>
      </c>
      <c r="N404" s="20" t="b">
        <v>1</v>
      </c>
      <c r="O404" s="2" t="b">
        <f>IF(Table1938[[#This Row],[Title]]="",TRUE,FALSE)</f>
        <v>0</v>
      </c>
      <c r="P404" s="2" t="b">
        <f>IF(Table1938[[#This Row],[Author]]="",TRUE,FALSE)</f>
        <v>0</v>
      </c>
      <c r="Q404" s="2" t="b">
        <f>IF(Table1938[[#This Row],[DOI]]&lt;&gt;"", FALSE,TRUE)</f>
        <v>0</v>
      </c>
      <c r="R404" s="2" t="b">
        <f>IF(Table1938[[#This Row],[Abstract]]="",TRUE,FALSE)</f>
        <v>0</v>
      </c>
      <c r="S404" s="2" t="b">
        <f>IF(OR(Table1938[[#This Row],[Document Type]]="book",Table1938[[#This Row],[Document Type]]="bookSection"),TRUE,FALSE)</f>
        <v>0</v>
      </c>
      <c r="T404" s="2" t="b">
        <f>NOT(IF(OR(Table1938[[#This Row],[Language]]&lt;&gt;"en",Table1938[[#This Row],[Language]]&lt;&gt;"EN",Table1938[[#This Row],[Language]]&lt;&gt;"spa",Table1938[[#This Row],[Language]]&lt;&gt;"SPA"),TRUE,FALSE))</f>
        <v>0</v>
      </c>
      <c r="U404" s="2" t="b">
        <f>IF(AND(Table1938[[#This Row],[EC-01]]=FALSE,Table1938[[#This Row],[EC-02]]=FALSE,Table1938[[#This Row],[EC-03]]=FALSE,Table1938[[#This Row],[EC-04]]=FALSE,Table1938[[#This Row],[EC-05]]=FALSE,Table1938[[#This Row],[EC-06]]=FALSE),TRUE,FALSE)</f>
        <v>1</v>
      </c>
      <c r="V404" s="2" t="b">
        <f>IF(Table1938[[#This Row],[Date]]&lt;&gt;"",AND(YEAR(Table1938[[#This Row],[Date]])&gt;=2010, YEAR(Table1938[[#This Row],[Date]])&lt;=2024),FALSE)</f>
        <v>1</v>
      </c>
      <c r="W404" s="2" t="b">
        <f>IF(Table1938[[#This Row],[Date]]&lt;&gt;"",AND(YEAR(Table1938[[#This Row],[Date]])&gt;=2010, YEAR(Table1938[[#This Row],[Date]])&lt;=2020),FALSE)</f>
        <v>0</v>
      </c>
      <c r="X404" s="2" t="b">
        <f>IF(AND(Table1938[[#This Row],[Accesible]]=TRUE,Table1938[[#This Row],[DOI]]&lt;&gt;""),TRUE,FALSE)</f>
        <v>1</v>
      </c>
      <c r="Y404" s="2" t="b">
        <f>OR(Table1938[[#This Row],[Document Type]]="journalArticle",Table1938[[#This Row],[Document Type]]="conferencePaper",Table1938[[#This Row],[Document Type]]="review")</f>
        <v>1</v>
      </c>
      <c r="Z404" s="2" t="b" cm="1">
        <f t="array" ref="Z404">SUMPRODUCT(--ISNUMBER(SEARCH({"dimensional analysis","dimensionless coefficients","Π","Pi","theorem","software","design","tools","development","architecture","similar"}, LOWER(Table1938[[#This Row],[Title]]))))&gt;0</f>
        <v>0</v>
      </c>
      <c r="AA404" s="2" t="b" cm="1">
        <f t="array" ref="AA404">SUMPRODUCT(--ISNUMBER(SEARCH({"dimensional analysis","dimensionless coefficients","Π","Pi","theorem","software","design","tools","development","architecture","similar"}, LOWER(Table1938[[#This Row],[Abstract]]))))&gt;0</f>
        <v>1</v>
      </c>
      <c r="AB404" s="2" t="b">
        <f>AND(OR(Table1938[[#This Row],[IC-01 @2024]:[IC-01 @2020]])=TRUE,Table1938[[#This Row],[IC-02]]=TRUE,Table1938[[#This Row],[IC-03]]=TRUE,Table1938[[#This Row],[IC-04]]=TRUE,Table1938[[#This Row],[IC-05]]=TRUE)</f>
        <v>0</v>
      </c>
      <c r="AC404" s="2" t="b">
        <f>AND(Table1938[[#This Row],[Pass-IC]]=TRUE,Table1938[[#This Row],[Pass-EC]]=TRUE)</f>
        <v>0</v>
      </c>
      <c r="AD404" s="2" t="b">
        <f>COUNTIF($D$25:D404, Table1938[[#This Row],[Title]]) = 1</f>
        <v>1</v>
      </c>
      <c r="AE404" s="2" t="b">
        <f>AND(Table1938[[#This Row],[IC + EC]:[Unique]])</f>
        <v>0</v>
      </c>
      <c r="AF404" s="2" t="b">
        <v>0</v>
      </c>
      <c r="AG404" s="2" t="b">
        <v>0</v>
      </c>
      <c r="AH404" s="2" t="b">
        <v>0</v>
      </c>
      <c r="AI404" s="2" t="b">
        <f>IF(AND(Table1938[[#This Row],[Double Check]]=TRUE,Table1938[[#This Row],[Inspected]]=TRUE,Table1938[[#This Row],[Relevant]]=TRUE),TRUE,FALSE)</f>
        <v>0</v>
      </c>
    </row>
    <row r="405" spans="1:35" ht="43" x14ac:dyDescent="0.5">
      <c r="A405" s="2">
        <v>404</v>
      </c>
      <c r="B405" s="20" t="s">
        <v>3</v>
      </c>
      <c r="C405" s="20" t="s">
        <v>3542</v>
      </c>
      <c r="D405" s="20" t="s">
        <v>1573</v>
      </c>
      <c r="E405" s="20" t="s">
        <v>1572</v>
      </c>
      <c r="F405" s="2" t="s">
        <v>1575</v>
      </c>
      <c r="G405" s="20" t="s">
        <v>939</v>
      </c>
      <c r="H405" s="36">
        <v>41532</v>
      </c>
      <c r="I405" s="20">
        <v>2013</v>
      </c>
      <c r="J405" s="20" t="s">
        <v>61</v>
      </c>
      <c r="K405" s="20" t="s">
        <v>3543</v>
      </c>
      <c r="L405" s="20" t="s">
        <v>2515</v>
      </c>
      <c r="M405" s="20" t="s">
        <v>1574</v>
      </c>
      <c r="N405" s="20" t="b">
        <v>1</v>
      </c>
      <c r="O405" s="2" t="b">
        <f>IF(Table1938[[#This Row],[Title]]="",TRUE,FALSE)</f>
        <v>0</v>
      </c>
      <c r="P405" s="2" t="b">
        <f>IF(Table1938[[#This Row],[Author]]="",TRUE,FALSE)</f>
        <v>0</v>
      </c>
      <c r="Q405" s="2" t="b">
        <f>IF(Table1938[[#This Row],[DOI]]&lt;&gt;"", FALSE,TRUE)</f>
        <v>0</v>
      </c>
      <c r="R405" s="2" t="b">
        <f>IF(Table1938[[#This Row],[Abstract]]="",TRUE,FALSE)</f>
        <v>0</v>
      </c>
      <c r="S405" s="2" t="b">
        <f>IF(OR(Table1938[[#This Row],[Document Type]]="book",Table1938[[#This Row],[Document Type]]="bookSection"),TRUE,FALSE)</f>
        <v>0</v>
      </c>
      <c r="T405" s="2" t="b">
        <f>NOT(IF(OR(Table1938[[#This Row],[Language]]&lt;&gt;"en",Table1938[[#This Row],[Language]]&lt;&gt;"EN",Table1938[[#This Row],[Language]]&lt;&gt;"spa",Table1938[[#This Row],[Language]]&lt;&gt;"SPA"),TRUE,FALSE))</f>
        <v>0</v>
      </c>
      <c r="U405" s="2" t="b">
        <f>IF(AND(Table1938[[#This Row],[EC-01]]=FALSE,Table1938[[#This Row],[EC-02]]=FALSE,Table1938[[#This Row],[EC-03]]=FALSE,Table1938[[#This Row],[EC-04]]=FALSE,Table1938[[#This Row],[EC-05]]=FALSE,Table1938[[#This Row],[EC-06]]=FALSE),TRUE,FALSE)</f>
        <v>1</v>
      </c>
      <c r="V405" s="2" t="b">
        <f>IF(Table1938[[#This Row],[Date]]&lt;&gt;"",AND(YEAR(Table1938[[#This Row],[Date]])&gt;=2010, YEAR(Table1938[[#This Row],[Date]])&lt;=2024),FALSE)</f>
        <v>1</v>
      </c>
      <c r="W405" s="2" t="b">
        <f>IF(Table1938[[#This Row],[Date]]&lt;&gt;"",AND(YEAR(Table1938[[#This Row],[Date]])&gt;=2010, YEAR(Table1938[[#This Row],[Date]])&lt;=2020),FALSE)</f>
        <v>1</v>
      </c>
      <c r="X405" s="2" t="b">
        <f>IF(AND(Table1938[[#This Row],[Accesible]]=TRUE,Table1938[[#This Row],[DOI]]&lt;&gt;""),TRUE,FALSE)</f>
        <v>1</v>
      </c>
      <c r="Y405" s="2" t="b">
        <f>OR(Table1938[[#This Row],[Document Type]]="journalArticle",Table1938[[#This Row],[Document Type]]="conferencePaper",Table1938[[#This Row],[Document Type]]="review")</f>
        <v>1</v>
      </c>
      <c r="Z405" s="2" t="b" cm="1">
        <f t="array" ref="Z405">SUMPRODUCT(--ISNUMBER(SEARCH({"dimensional analysis","dimensionless coefficients","Π","Pi","theorem","software","design","tools","development","architecture","similar"}, LOWER(Table1938[[#This Row],[Title]]))))&gt;0</f>
        <v>0</v>
      </c>
      <c r="AA405" s="2" t="b" cm="1">
        <f t="array" ref="AA405">SUMPRODUCT(--ISNUMBER(SEARCH({"dimensional analysis","dimensionless coefficients","Π","Pi","theorem","software","design","tools","development","architecture","similar"}, LOWER(Table1938[[#This Row],[Abstract]]))))&gt;0</f>
        <v>1</v>
      </c>
      <c r="AB405" s="2" t="b">
        <f>AND(OR(Table1938[[#This Row],[IC-01 @2024]:[IC-01 @2020]])=TRUE,Table1938[[#This Row],[IC-02]]=TRUE,Table1938[[#This Row],[IC-03]]=TRUE,Table1938[[#This Row],[IC-04]]=TRUE,Table1938[[#This Row],[IC-05]]=TRUE)</f>
        <v>0</v>
      </c>
      <c r="AC405" s="2" t="b">
        <f>AND(Table1938[[#This Row],[Pass-IC]]=TRUE,Table1938[[#This Row],[Pass-EC]]=TRUE)</f>
        <v>0</v>
      </c>
      <c r="AD405" s="2" t="b">
        <f>COUNTIF($D$25:D405, Table1938[[#This Row],[Title]]) = 1</f>
        <v>1</v>
      </c>
      <c r="AE405" s="2" t="b">
        <f>AND(Table1938[[#This Row],[IC + EC]:[Unique]])</f>
        <v>0</v>
      </c>
      <c r="AF405" s="2" t="b">
        <v>0</v>
      </c>
      <c r="AG405" s="2" t="b">
        <v>0</v>
      </c>
      <c r="AH405" s="2" t="b">
        <v>0</v>
      </c>
      <c r="AI405" s="2" t="b">
        <f>IF(AND(Table1938[[#This Row],[Double Check]]=TRUE,Table1938[[#This Row],[Inspected]]=TRUE,Table1938[[#This Row],[Relevant]]=TRUE),TRUE,FALSE)</f>
        <v>0</v>
      </c>
    </row>
    <row r="406" spans="1:35" ht="57.35" x14ac:dyDescent="0.5">
      <c r="A406" s="2">
        <v>405</v>
      </c>
      <c r="B406" s="20" t="s">
        <v>3</v>
      </c>
      <c r="C406" s="20" t="s">
        <v>3544</v>
      </c>
      <c r="D406" s="20" t="s">
        <v>2114</v>
      </c>
      <c r="E406" s="20" t="s">
        <v>2113</v>
      </c>
      <c r="F406" s="2" t="s">
        <v>2116</v>
      </c>
      <c r="G406" s="20" t="s">
        <v>939</v>
      </c>
      <c r="H406" s="36">
        <v>43449</v>
      </c>
      <c r="I406" s="20">
        <v>2018</v>
      </c>
      <c r="J406" s="20" t="s">
        <v>61</v>
      </c>
      <c r="K406" s="20" t="s">
        <v>3545</v>
      </c>
      <c r="L406" s="20" t="s">
        <v>2515</v>
      </c>
      <c r="M406" s="20" t="s">
        <v>2115</v>
      </c>
      <c r="N406" s="20" t="b">
        <v>1</v>
      </c>
      <c r="O406" s="2" t="b">
        <f>IF(Table1938[[#This Row],[Title]]="",TRUE,FALSE)</f>
        <v>0</v>
      </c>
      <c r="P406" s="2" t="b">
        <f>IF(Table1938[[#This Row],[Author]]="",TRUE,FALSE)</f>
        <v>0</v>
      </c>
      <c r="Q406" s="2" t="b">
        <f>IF(Table1938[[#This Row],[DOI]]&lt;&gt;"", FALSE,TRUE)</f>
        <v>0</v>
      </c>
      <c r="R406" s="2" t="b">
        <f>IF(Table1938[[#This Row],[Abstract]]="",TRUE,FALSE)</f>
        <v>0</v>
      </c>
      <c r="S406" s="2" t="b">
        <f>IF(OR(Table1938[[#This Row],[Document Type]]="book",Table1938[[#This Row],[Document Type]]="bookSection"),TRUE,FALSE)</f>
        <v>0</v>
      </c>
      <c r="T406" s="2" t="b">
        <f>NOT(IF(OR(Table1938[[#This Row],[Language]]&lt;&gt;"en",Table1938[[#This Row],[Language]]&lt;&gt;"EN",Table1938[[#This Row],[Language]]&lt;&gt;"spa",Table1938[[#This Row],[Language]]&lt;&gt;"SPA"),TRUE,FALSE))</f>
        <v>0</v>
      </c>
      <c r="U406" s="2" t="b">
        <f>IF(AND(Table1938[[#This Row],[EC-01]]=FALSE,Table1938[[#This Row],[EC-02]]=FALSE,Table1938[[#This Row],[EC-03]]=FALSE,Table1938[[#This Row],[EC-04]]=FALSE,Table1938[[#This Row],[EC-05]]=FALSE,Table1938[[#This Row],[EC-06]]=FALSE),TRUE,FALSE)</f>
        <v>1</v>
      </c>
      <c r="V406" s="2" t="b">
        <f>IF(Table1938[[#This Row],[Date]]&lt;&gt;"",AND(YEAR(Table1938[[#This Row],[Date]])&gt;=2010, YEAR(Table1938[[#This Row],[Date]])&lt;=2024),FALSE)</f>
        <v>1</v>
      </c>
      <c r="W406" s="2" t="b">
        <f>IF(Table1938[[#This Row],[Date]]&lt;&gt;"",AND(YEAR(Table1938[[#This Row],[Date]])&gt;=2010, YEAR(Table1938[[#This Row],[Date]])&lt;=2020),FALSE)</f>
        <v>1</v>
      </c>
      <c r="X406" s="2" t="b">
        <f>IF(AND(Table1938[[#This Row],[Accesible]]=TRUE,Table1938[[#This Row],[DOI]]&lt;&gt;""),TRUE,FALSE)</f>
        <v>1</v>
      </c>
      <c r="Y406" s="2" t="b">
        <f>OR(Table1938[[#This Row],[Document Type]]="journalArticle",Table1938[[#This Row],[Document Type]]="conferencePaper",Table1938[[#This Row],[Document Type]]="review")</f>
        <v>1</v>
      </c>
      <c r="Z406" s="2" t="b" cm="1">
        <f t="array" ref="Z406">SUMPRODUCT(--ISNUMBER(SEARCH({"dimensional analysis","dimensionless coefficients","Π","Pi","theorem","software","design","tools","development","architecture","similar"}, LOWER(Table1938[[#This Row],[Title]]))))&gt;0</f>
        <v>0</v>
      </c>
      <c r="AA406" s="2" t="b" cm="1">
        <f t="array" ref="AA406">SUMPRODUCT(--ISNUMBER(SEARCH({"dimensional analysis","dimensionless coefficients","Π","Pi","theorem","software","design","tools","development","architecture","similar"}, LOWER(Table1938[[#This Row],[Abstract]]))))&gt;0</f>
        <v>0</v>
      </c>
      <c r="AB406" s="2" t="b">
        <f>AND(OR(Table1938[[#This Row],[IC-01 @2024]:[IC-01 @2020]])=TRUE,Table1938[[#This Row],[IC-02]]=TRUE,Table1938[[#This Row],[IC-03]]=TRUE,Table1938[[#This Row],[IC-04]]=TRUE,Table1938[[#This Row],[IC-05]]=TRUE)</f>
        <v>0</v>
      </c>
      <c r="AC406" s="2" t="b">
        <f>AND(Table1938[[#This Row],[Pass-IC]]=TRUE,Table1938[[#This Row],[Pass-EC]]=TRUE)</f>
        <v>0</v>
      </c>
      <c r="AD406" s="2" t="b">
        <f>COUNTIF($D$25:D406, Table1938[[#This Row],[Title]]) = 1</f>
        <v>1</v>
      </c>
      <c r="AE406" s="2" t="b">
        <f>AND(Table1938[[#This Row],[IC + EC]:[Unique]])</f>
        <v>0</v>
      </c>
      <c r="AF406" s="2" t="b">
        <v>0</v>
      </c>
      <c r="AG406" s="2" t="b">
        <v>0</v>
      </c>
      <c r="AH406" s="2" t="b">
        <v>0</v>
      </c>
      <c r="AI406" s="2" t="b">
        <f>IF(AND(Table1938[[#This Row],[Double Check]]=TRUE,Table1938[[#This Row],[Inspected]]=TRUE,Table1938[[#This Row],[Relevant]]=TRUE),TRUE,FALSE)</f>
        <v>0</v>
      </c>
    </row>
    <row r="407" spans="1:35" ht="86" x14ac:dyDescent="0.5">
      <c r="A407" s="2">
        <v>406</v>
      </c>
      <c r="B407" s="20" t="s">
        <v>3</v>
      </c>
      <c r="C407" s="20" t="s">
        <v>3546</v>
      </c>
      <c r="D407" s="20" t="s">
        <v>1756</v>
      </c>
      <c r="E407" s="20" t="s">
        <v>1755</v>
      </c>
      <c r="F407" s="2" t="s">
        <v>1758</v>
      </c>
      <c r="G407" s="20" t="s">
        <v>1236</v>
      </c>
      <c r="H407" s="36">
        <v>44652</v>
      </c>
      <c r="I407" s="20">
        <v>2022</v>
      </c>
      <c r="J407" s="20" t="s">
        <v>61</v>
      </c>
      <c r="K407" s="20" t="s">
        <v>3547</v>
      </c>
      <c r="L407" s="20" t="s">
        <v>2515</v>
      </c>
      <c r="M407" s="20" t="s">
        <v>1757</v>
      </c>
      <c r="N407" s="20" t="b">
        <v>1</v>
      </c>
      <c r="O407" s="2" t="b">
        <f>IF(Table1938[[#This Row],[Title]]="",TRUE,FALSE)</f>
        <v>0</v>
      </c>
      <c r="P407" s="2" t="b">
        <f>IF(Table1938[[#This Row],[Author]]="",TRUE,FALSE)</f>
        <v>0</v>
      </c>
      <c r="Q407" s="2" t="b">
        <f>IF(Table1938[[#This Row],[DOI]]&lt;&gt;"", FALSE,TRUE)</f>
        <v>0</v>
      </c>
      <c r="R407" s="2" t="b">
        <f>IF(Table1938[[#This Row],[Abstract]]="",TRUE,FALSE)</f>
        <v>0</v>
      </c>
      <c r="S407" s="2" t="b">
        <f>IF(OR(Table1938[[#This Row],[Document Type]]="book",Table1938[[#This Row],[Document Type]]="bookSection"),TRUE,FALSE)</f>
        <v>0</v>
      </c>
      <c r="T407" s="2" t="b">
        <f>NOT(IF(OR(Table1938[[#This Row],[Language]]&lt;&gt;"en",Table1938[[#This Row],[Language]]&lt;&gt;"EN",Table1938[[#This Row],[Language]]&lt;&gt;"spa",Table1938[[#This Row],[Language]]&lt;&gt;"SPA"),TRUE,FALSE))</f>
        <v>0</v>
      </c>
      <c r="U407" s="2" t="b">
        <f>IF(AND(Table1938[[#This Row],[EC-01]]=FALSE,Table1938[[#This Row],[EC-02]]=FALSE,Table1938[[#This Row],[EC-03]]=FALSE,Table1938[[#This Row],[EC-04]]=FALSE,Table1938[[#This Row],[EC-05]]=FALSE,Table1938[[#This Row],[EC-06]]=FALSE),TRUE,FALSE)</f>
        <v>1</v>
      </c>
      <c r="V407" s="2" t="b">
        <f>IF(Table1938[[#This Row],[Date]]&lt;&gt;"",AND(YEAR(Table1938[[#This Row],[Date]])&gt;=2010, YEAR(Table1938[[#This Row],[Date]])&lt;=2024),FALSE)</f>
        <v>1</v>
      </c>
      <c r="W407" s="2" t="b">
        <f>IF(Table1938[[#This Row],[Date]]&lt;&gt;"",AND(YEAR(Table1938[[#This Row],[Date]])&gt;=2010, YEAR(Table1938[[#This Row],[Date]])&lt;=2020),FALSE)</f>
        <v>0</v>
      </c>
      <c r="X407" s="2" t="b">
        <f>IF(AND(Table1938[[#This Row],[Accesible]]=TRUE,Table1938[[#This Row],[DOI]]&lt;&gt;""),TRUE,FALSE)</f>
        <v>1</v>
      </c>
      <c r="Y407" s="2" t="b">
        <f>OR(Table1938[[#This Row],[Document Type]]="journalArticle",Table1938[[#This Row],[Document Type]]="conferencePaper",Table1938[[#This Row],[Document Type]]="review")</f>
        <v>1</v>
      </c>
      <c r="Z407" s="2" t="b" cm="1">
        <f t="array" ref="Z407">SUMPRODUCT(--ISNUMBER(SEARCH({"dimensional analysis","dimensionless coefficients","Π","Pi","theorem","software","design","tools","development","architecture","similar"}, LOWER(Table1938[[#This Row],[Title]]))))&gt;0</f>
        <v>1</v>
      </c>
      <c r="AA407" s="2" t="b" cm="1">
        <f t="array" ref="AA407">SUMPRODUCT(--ISNUMBER(SEARCH({"dimensional analysis","dimensionless coefficients","Π","Pi","theorem","software","design","tools","development","architecture","similar"}, LOWER(Table1938[[#This Row],[Abstract]]))))&gt;0</f>
        <v>1</v>
      </c>
      <c r="AB407" s="2" t="b">
        <f>AND(OR(Table1938[[#This Row],[IC-01 @2024]:[IC-01 @2020]])=TRUE,Table1938[[#This Row],[IC-02]]=TRUE,Table1938[[#This Row],[IC-03]]=TRUE,Table1938[[#This Row],[IC-04]]=TRUE,Table1938[[#This Row],[IC-05]]=TRUE)</f>
        <v>1</v>
      </c>
      <c r="AC407" s="2" t="b">
        <f>AND(Table1938[[#This Row],[Pass-IC]]=TRUE,Table1938[[#This Row],[Pass-EC]]=TRUE)</f>
        <v>1</v>
      </c>
      <c r="AD407" s="2" t="b">
        <f>COUNTIF($D$25:D407, Table1938[[#This Row],[Title]]) = 1</f>
        <v>1</v>
      </c>
      <c r="AE407" s="2" t="b">
        <f>AND(Table1938[[#This Row],[IC + EC]:[Unique]])</f>
        <v>1</v>
      </c>
      <c r="AF407" s="2" t="b">
        <v>1</v>
      </c>
      <c r="AG407" s="2" t="b">
        <v>0</v>
      </c>
      <c r="AH407" s="2" t="b">
        <v>0</v>
      </c>
      <c r="AI407" s="2" t="b">
        <f>IF(AND(Table1938[[#This Row],[Double Check]]=TRUE,Table1938[[#This Row],[Inspected]]=TRUE,Table1938[[#This Row],[Relevant]]=TRUE),TRUE,FALSE)</f>
        <v>0</v>
      </c>
    </row>
    <row r="408" spans="1:35" ht="71.7" x14ac:dyDescent="0.5">
      <c r="A408" s="2">
        <v>407</v>
      </c>
      <c r="B408" s="20" t="s">
        <v>3</v>
      </c>
      <c r="C408" s="20" t="s">
        <v>3548</v>
      </c>
      <c r="D408" s="20" t="s">
        <v>2164</v>
      </c>
      <c r="E408" s="20" t="s">
        <v>2163</v>
      </c>
      <c r="F408" s="2" t="s">
        <v>2166</v>
      </c>
      <c r="G408" s="20" t="s">
        <v>939</v>
      </c>
      <c r="H408" s="36">
        <v>45200</v>
      </c>
      <c r="I408" s="20">
        <v>2023</v>
      </c>
      <c r="J408" s="20" t="s">
        <v>61</v>
      </c>
      <c r="K408" s="20" t="s">
        <v>3549</v>
      </c>
      <c r="L408" s="20" t="s">
        <v>2515</v>
      </c>
      <c r="M408" s="20" t="s">
        <v>2165</v>
      </c>
      <c r="N408" s="20" t="b">
        <v>1</v>
      </c>
      <c r="O408" s="2" t="b">
        <f>IF(Table1938[[#This Row],[Title]]="",TRUE,FALSE)</f>
        <v>0</v>
      </c>
      <c r="P408" s="2" t="b">
        <f>IF(Table1938[[#This Row],[Author]]="",TRUE,FALSE)</f>
        <v>0</v>
      </c>
      <c r="Q408" s="2" t="b">
        <f>IF(Table1938[[#This Row],[DOI]]&lt;&gt;"", FALSE,TRUE)</f>
        <v>0</v>
      </c>
      <c r="R408" s="2" t="b">
        <f>IF(Table1938[[#This Row],[Abstract]]="",TRUE,FALSE)</f>
        <v>0</v>
      </c>
      <c r="S408" s="2" t="b">
        <f>IF(OR(Table1938[[#This Row],[Document Type]]="book",Table1938[[#This Row],[Document Type]]="bookSection"),TRUE,FALSE)</f>
        <v>0</v>
      </c>
      <c r="T408" s="2" t="b">
        <f>NOT(IF(OR(Table1938[[#This Row],[Language]]&lt;&gt;"en",Table1938[[#This Row],[Language]]&lt;&gt;"EN",Table1938[[#This Row],[Language]]&lt;&gt;"spa",Table1938[[#This Row],[Language]]&lt;&gt;"SPA"),TRUE,FALSE))</f>
        <v>0</v>
      </c>
      <c r="U408" s="2" t="b">
        <f>IF(AND(Table1938[[#This Row],[EC-01]]=FALSE,Table1938[[#This Row],[EC-02]]=FALSE,Table1938[[#This Row],[EC-03]]=FALSE,Table1938[[#This Row],[EC-04]]=FALSE,Table1938[[#This Row],[EC-05]]=FALSE,Table1938[[#This Row],[EC-06]]=FALSE),TRUE,FALSE)</f>
        <v>1</v>
      </c>
      <c r="V408" s="2" t="b">
        <f>IF(Table1938[[#This Row],[Date]]&lt;&gt;"",AND(YEAR(Table1938[[#This Row],[Date]])&gt;=2010, YEAR(Table1938[[#This Row],[Date]])&lt;=2024),FALSE)</f>
        <v>1</v>
      </c>
      <c r="W408" s="2" t="b">
        <f>IF(Table1938[[#This Row],[Date]]&lt;&gt;"",AND(YEAR(Table1938[[#This Row],[Date]])&gt;=2010, YEAR(Table1938[[#This Row],[Date]])&lt;=2020),FALSE)</f>
        <v>0</v>
      </c>
      <c r="X408" s="2" t="b">
        <f>IF(AND(Table1938[[#This Row],[Accesible]]=TRUE,Table1938[[#This Row],[DOI]]&lt;&gt;""),TRUE,FALSE)</f>
        <v>1</v>
      </c>
      <c r="Y408" s="2" t="b">
        <f>OR(Table1938[[#This Row],[Document Type]]="journalArticle",Table1938[[#This Row],[Document Type]]="conferencePaper",Table1938[[#This Row],[Document Type]]="review")</f>
        <v>1</v>
      </c>
      <c r="Z408" s="2" t="b" cm="1">
        <f t="array" ref="Z408">SUMPRODUCT(--ISNUMBER(SEARCH({"dimensional analysis","dimensionless coefficients","Π","Pi","theorem","software","design","tools","development","architecture","similar"}, LOWER(Table1938[[#This Row],[Title]]))))&gt;0</f>
        <v>0</v>
      </c>
      <c r="AA408" s="2" t="b" cm="1">
        <f t="array" ref="AA408">SUMPRODUCT(--ISNUMBER(SEARCH({"dimensional analysis","dimensionless coefficients","Π","Pi","theorem","software","design","tools","development","architecture","similar"}, LOWER(Table1938[[#This Row],[Abstract]]))))&gt;0</f>
        <v>1</v>
      </c>
      <c r="AB408" s="2" t="b">
        <f>AND(OR(Table1938[[#This Row],[IC-01 @2024]:[IC-01 @2020]])=TRUE,Table1938[[#This Row],[IC-02]]=TRUE,Table1938[[#This Row],[IC-03]]=TRUE,Table1938[[#This Row],[IC-04]]=TRUE,Table1938[[#This Row],[IC-05]]=TRUE)</f>
        <v>0</v>
      </c>
      <c r="AC408" s="2" t="b">
        <f>AND(Table1938[[#This Row],[Pass-IC]]=TRUE,Table1938[[#This Row],[Pass-EC]]=TRUE)</f>
        <v>0</v>
      </c>
      <c r="AD408" s="2" t="b">
        <f>COUNTIF($D$25:D408, Table1938[[#This Row],[Title]]) = 1</f>
        <v>1</v>
      </c>
      <c r="AE408" s="2" t="b">
        <f>AND(Table1938[[#This Row],[IC + EC]:[Unique]])</f>
        <v>0</v>
      </c>
      <c r="AF408" s="2" t="b">
        <v>0</v>
      </c>
      <c r="AG408" s="2" t="b">
        <v>0</v>
      </c>
      <c r="AH408" s="2" t="b">
        <v>0</v>
      </c>
      <c r="AI408" s="2" t="b">
        <f>IF(AND(Table1938[[#This Row],[Double Check]]=TRUE,Table1938[[#This Row],[Inspected]]=TRUE,Table1938[[#This Row],[Relevant]]=TRUE),TRUE,FALSE)</f>
        <v>0</v>
      </c>
    </row>
    <row r="409" spans="1:35" ht="71.7" x14ac:dyDescent="0.5">
      <c r="A409" s="2">
        <v>408</v>
      </c>
      <c r="B409" s="20" t="s">
        <v>3</v>
      </c>
      <c r="C409" s="20" t="s">
        <v>3550</v>
      </c>
      <c r="D409" s="20" t="s">
        <v>2143</v>
      </c>
      <c r="E409" s="20" t="s">
        <v>2142</v>
      </c>
      <c r="F409" s="2" t="s">
        <v>2145</v>
      </c>
      <c r="G409" s="20" t="s">
        <v>1007</v>
      </c>
      <c r="H409" s="36">
        <v>44013</v>
      </c>
      <c r="I409" s="20">
        <v>2020</v>
      </c>
      <c r="J409" s="20" t="s">
        <v>61</v>
      </c>
      <c r="K409" s="20" t="s">
        <v>3551</v>
      </c>
      <c r="L409" s="20" t="s">
        <v>2515</v>
      </c>
      <c r="M409" s="20" t="s">
        <v>2144</v>
      </c>
      <c r="N409" s="20" t="b">
        <v>1</v>
      </c>
      <c r="O409" s="2" t="b">
        <f>IF(Table1938[[#This Row],[Title]]="",TRUE,FALSE)</f>
        <v>0</v>
      </c>
      <c r="P409" s="2" t="b">
        <f>IF(Table1938[[#This Row],[Author]]="",TRUE,FALSE)</f>
        <v>0</v>
      </c>
      <c r="Q409" s="2" t="b">
        <f>IF(Table1938[[#This Row],[DOI]]&lt;&gt;"", FALSE,TRUE)</f>
        <v>0</v>
      </c>
      <c r="R409" s="2" t="b">
        <f>IF(Table1938[[#This Row],[Abstract]]="",TRUE,FALSE)</f>
        <v>0</v>
      </c>
      <c r="S409" s="2" t="b">
        <f>IF(OR(Table1938[[#This Row],[Document Type]]="book",Table1938[[#This Row],[Document Type]]="bookSection"),TRUE,FALSE)</f>
        <v>0</v>
      </c>
      <c r="T409" s="2" t="b">
        <f>NOT(IF(OR(Table1938[[#This Row],[Language]]&lt;&gt;"en",Table1938[[#This Row],[Language]]&lt;&gt;"EN",Table1938[[#This Row],[Language]]&lt;&gt;"spa",Table1938[[#This Row],[Language]]&lt;&gt;"SPA"),TRUE,FALSE))</f>
        <v>0</v>
      </c>
      <c r="U409" s="2" t="b">
        <f>IF(AND(Table1938[[#This Row],[EC-01]]=FALSE,Table1938[[#This Row],[EC-02]]=FALSE,Table1938[[#This Row],[EC-03]]=FALSE,Table1938[[#This Row],[EC-04]]=FALSE,Table1938[[#This Row],[EC-05]]=FALSE,Table1938[[#This Row],[EC-06]]=FALSE),TRUE,FALSE)</f>
        <v>1</v>
      </c>
      <c r="V409" s="2" t="b">
        <f>IF(Table1938[[#This Row],[Date]]&lt;&gt;"",AND(YEAR(Table1938[[#This Row],[Date]])&gt;=2010, YEAR(Table1938[[#This Row],[Date]])&lt;=2024),FALSE)</f>
        <v>1</v>
      </c>
      <c r="W409" s="2" t="b">
        <f>IF(Table1938[[#This Row],[Date]]&lt;&gt;"",AND(YEAR(Table1938[[#This Row],[Date]])&gt;=2010, YEAR(Table1938[[#This Row],[Date]])&lt;=2020),FALSE)</f>
        <v>1</v>
      </c>
      <c r="X409" s="2" t="b">
        <f>IF(AND(Table1938[[#This Row],[Accesible]]=TRUE,Table1938[[#This Row],[DOI]]&lt;&gt;""),TRUE,FALSE)</f>
        <v>1</v>
      </c>
      <c r="Y409" s="2" t="b">
        <f>OR(Table1938[[#This Row],[Document Type]]="journalArticle",Table1938[[#This Row],[Document Type]]="conferencePaper",Table1938[[#This Row],[Document Type]]="review")</f>
        <v>1</v>
      </c>
      <c r="Z409" s="2" t="b" cm="1">
        <f t="array" ref="Z409">SUMPRODUCT(--ISNUMBER(SEARCH({"dimensional analysis","dimensionless coefficients","Π","Pi","theorem","software","design","tools","development","architecture","similar"}, LOWER(Table1938[[#This Row],[Title]]))))&gt;0</f>
        <v>0</v>
      </c>
      <c r="AA409" s="2" t="b" cm="1">
        <f t="array" ref="AA409">SUMPRODUCT(--ISNUMBER(SEARCH({"dimensional analysis","dimensionless coefficients","Π","Pi","theorem","software","design","tools","development","architecture","similar"}, LOWER(Table1938[[#This Row],[Abstract]]))))&gt;0</f>
        <v>0</v>
      </c>
      <c r="AB409" s="2" t="b">
        <f>AND(OR(Table1938[[#This Row],[IC-01 @2024]:[IC-01 @2020]])=TRUE,Table1938[[#This Row],[IC-02]]=TRUE,Table1938[[#This Row],[IC-03]]=TRUE,Table1938[[#This Row],[IC-04]]=TRUE,Table1938[[#This Row],[IC-05]]=TRUE)</f>
        <v>0</v>
      </c>
      <c r="AC409" s="2" t="b">
        <f>AND(Table1938[[#This Row],[Pass-IC]]=TRUE,Table1938[[#This Row],[Pass-EC]]=TRUE)</f>
        <v>0</v>
      </c>
      <c r="AD409" s="2" t="b">
        <f>COUNTIF($D$25:D409, Table1938[[#This Row],[Title]]) = 1</f>
        <v>1</v>
      </c>
      <c r="AE409" s="2" t="b">
        <f>AND(Table1938[[#This Row],[IC + EC]:[Unique]])</f>
        <v>0</v>
      </c>
      <c r="AF409" s="2" t="b">
        <v>0</v>
      </c>
      <c r="AG409" s="2" t="b">
        <v>0</v>
      </c>
      <c r="AH409" s="2" t="b">
        <v>0</v>
      </c>
      <c r="AI409" s="2" t="b">
        <f>IF(AND(Table1938[[#This Row],[Double Check]]=TRUE,Table1938[[#This Row],[Inspected]]=TRUE,Table1938[[#This Row],[Relevant]]=TRUE),TRUE,FALSE)</f>
        <v>0</v>
      </c>
    </row>
    <row r="410" spans="1:35" ht="57.35" x14ac:dyDescent="0.5">
      <c r="A410" s="2">
        <v>409</v>
      </c>
      <c r="B410" s="20" t="s">
        <v>3</v>
      </c>
      <c r="C410" s="20" t="s">
        <v>3552</v>
      </c>
      <c r="D410" s="20" t="s">
        <v>1628</v>
      </c>
      <c r="E410" s="20" t="s">
        <v>1627</v>
      </c>
      <c r="F410" s="2" t="s">
        <v>1630</v>
      </c>
      <c r="G410" s="20" t="s">
        <v>1002</v>
      </c>
      <c r="H410" s="36">
        <v>44470</v>
      </c>
      <c r="I410" s="20">
        <v>2021</v>
      </c>
      <c r="J410" s="20" t="s">
        <v>61</v>
      </c>
      <c r="K410" s="20" t="s">
        <v>3553</v>
      </c>
      <c r="L410" s="20" t="s">
        <v>2515</v>
      </c>
      <c r="M410" s="20" t="s">
        <v>1629</v>
      </c>
      <c r="N410" s="20" t="b">
        <v>1</v>
      </c>
      <c r="O410" s="2" t="b">
        <f>IF(Table1938[[#This Row],[Title]]="",TRUE,FALSE)</f>
        <v>0</v>
      </c>
      <c r="P410" s="2" t="b">
        <f>IF(Table1938[[#This Row],[Author]]="",TRUE,FALSE)</f>
        <v>0</v>
      </c>
      <c r="Q410" s="2" t="b">
        <f>IF(Table1938[[#This Row],[DOI]]&lt;&gt;"", FALSE,TRUE)</f>
        <v>0</v>
      </c>
      <c r="R410" s="2" t="b">
        <f>IF(Table1938[[#This Row],[Abstract]]="",TRUE,FALSE)</f>
        <v>0</v>
      </c>
      <c r="S410" s="2" t="b">
        <f>IF(OR(Table1938[[#This Row],[Document Type]]="book",Table1938[[#This Row],[Document Type]]="bookSection"),TRUE,FALSE)</f>
        <v>0</v>
      </c>
      <c r="T410" s="2" t="b">
        <f>NOT(IF(OR(Table1938[[#This Row],[Language]]&lt;&gt;"en",Table1938[[#This Row],[Language]]&lt;&gt;"EN",Table1938[[#This Row],[Language]]&lt;&gt;"spa",Table1938[[#This Row],[Language]]&lt;&gt;"SPA"),TRUE,FALSE))</f>
        <v>0</v>
      </c>
      <c r="U410" s="2" t="b">
        <f>IF(AND(Table1938[[#This Row],[EC-01]]=FALSE,Table1938[[#This Row],[EC-02]]=FALSE,Table1938[[#This Row],[EC-03]]=FALSE,Table1938[[#This Row],[EC-04]]=FALSE,Table1938[[#This Row],[EC-05]]=FALSE,Table1938[[#This Row],[EC-06]]=FALSE),TRUE,FALSE)</f>
        <v>1</v>
      </c>
      <c r="V410" s="2" t="b">
        <f>IF(Table1938[[#This Row],[Date]]&lt;&gt;"",AND(YEAR(Table1938[[#This Row],[Date]])&gt;=2010, YEAR(Table1938[[#This Row],[Date]])&lt;=2024),FALSE)</f>
        <v>1</v>
      </c>
      <c r="W410" s="2" t="b">
        <f>IF(Table1938[[#This Row],[Date]]&lt;&gt;"",AND(YEAR(Table1938[[#This Row],[Date]])&gt;=2010, YEAR(Table1938[[#This Row],[Date]])&lt;=2020),FALSE)</f>
        <v>0</v>
      </c>
      <c r="X410" s="2" t="b">
        <f>IF(AND(Table1938[[#This Row],[Accesible]]=TRUE,Table1938[[#This Row],[DOI]]&lt;&gt;""),TRUE,FALSE)</f>
        <v>1</v>
      </c>
      <c r="Y410" s="2" t="b">
        <f>OR(Table1938[[#This Row],[Document Type]]="journalArticle",Table1938[[#This Row],[Document Type]]="conferencePaper",Table1938[[#This Row],[Document Type]]="review")</f>
        <v>1</v>
      </c>
      <c r="Z410" s="2" t="b" cm="1">
        <f t="array" ref="Z410">SUMPRODUCT(--ISNUMBER(SEARCH({"dimensional analysis","dimensionless coefficients","Π","Pi","theorem","software","design","tools","development","architecture","similar"}, LOWER(Table1938[[#This Row],[Title]]))))&gt;0</f>
        <v>1</v>
      </c>
      <c r="AA410" s="2" t="b" cm="1">
        <f t="array" ref="AA410">SUMPRODUCT(--ISNUMBER(SEARCH({"dimensional analysis","dimensionless coefficients","Π","Pi","theorem","software","design","tools","development","architecture","similar"}, LOWER(Table1938[[#This Row],[Abstract]]))))&gt;0</f>
        <v>1</v>
      </c>
      <c r="AB410" s="2" t="b">
        <f>AND(OR(Table1938[[#This Row],[IC-01 @2024]:[IC-01 @2020]])=TRUE,Table1938[[#This Row],[IC-02]]=TRUE,Table1938[[#This Row],[IC-03]]=TRUE,Table1938[[#This Row],[IC-04]]=TRUE,Table1938[[#This Row],[IC-05]]=TRUE)</f>
        <v>1</v>
      </c>
      <c r="AC410" s="2" t="b">
        <f>AND(Table1938[[#This Row],[Pass-IC]]=TRUE,Table1938[[#This Row],[Pass-EC]]=TRUE)</f>
        <v>1</v>
      </c>
      <c r="AD410" s="2" t="b">
        <f>COUNTIF($D$25:D410, Table1938[[#This Row],[Title]]) = 1</f>
        <v>1</v>
      </c>
      <c r="AE410" s="2" t="b">
        <f>AND(Table1938[[#This Row],[IC + EC]:[Unique]])</f>
        <v>1</v>
      </c>
      <c r="AF410" s="2" t="b">
        <v>1</v>
      </c>
      <c r="AG410" s="2" t="b">
        <v>0</v>
      </c>
      <c r="AH410" s="2" t="b">
        <v>0</v>
      </c>
      <c r="AI410" s="2" t="b">
        <f>IF(AND(Table1938[[#This Row],[Double Check]]=TRUE,Table1938[[#This Row],[Inspected]]=TRUE,Table1938[[#This Row],[Relevant]]=TRUE),TRUE,FALSE)</f>
        <v>0</v>
      </c>
    </row>
    <row r="411" spans="1:35" ht="43" x14ac:dyDescent="0.5">
      <c r="A411" s="2">
        <v>410</v>
      </c>
      <c r="B411" s="20" t="s">
        <v>3</v>
      </c>
      <c r="C411" s="20" t="s">
        <v>3554</v>
      </c>
      <c r="D411" s="20" t="s">
        <v>1681</v>
      </c>
      <c r="E411" s="20" t="s">
        <v>1680</v>
      </c>
      <c r="F411" s="2" t="s">
        <v>1683</v>
      </c>
      <c r="G411" s="20" t="s">
        <v>955</v>
      </c>
      <c r="H411" s="36">
        <v>42339</v>
      </c>
      <c r="I411" s="20">
        <v>2015</v>
      </c>
      <c r="J411" s="20" t="s">
        <v>61</v>
      </c>
      <c r="K411" s="20" t="s">
        <v>3555</v>
      </c>
      <c r="L411" s="20" t="s">
        <v>2515</v>
      </c>
      <c r="M411" s="20" t="s">
        <v>1682</v>
      </c>
      <c r="N411" s="20" t="b">
        <v>1</v>
      </c>
      <c r="O411" s="2" t="b">
        <f>IF(Table1938[[#This Row],[Title]]="",TRUE,FALSE)</f>
        <v>0</v>
      </c>
      <c r="P411" s="2" t="b">
        <f>IF(Table1938[[#This Row],[Author]]="",TRUE,FALSE)</f>
        <v>0</v>
      </c>
      <c r="Q411" s="2" t="b">
        <f>IF(Table1938[[#This Row],[DOI]]&lt;&gt;"", FALSE,TRUE)</f>
        <v>0</v>
      </c>
      <c r="R411" s="2" t="b">
        <f>IF(Table1938[[#This Row],[Abstract]]="",TRUE,FALSE)</f>
        <v>0</v>
      </c>
      <c r="S411" s="2" t="b">
        <f>IF(OR(Table1938[[#This Row],[Document Type]]="book",Table1938[[#This Row],[Document Type]]="bookSection"),TRUE,FALSE)</f>
        <v>0</v>
      </c>
      <c r="T411" s="2" t="b">
        <f>NOT(IF(OR(Table1938[[#This Row],[Language]]&lt;&gt;"en",Table1938[[#This Row],[Language]]&lt;&gt;"EN",Table1938[[#This Row],[Language]]&lt;&gt;"spa",Table1938[[#This Row],[Language]]&lt;&gt;"SPA"),TRUE,FALSE))</f>
        <v>0</v>
      </c>
      <c r="U411" s="2" t="b">
        <f>IF(AND(Table1938[[#This Row],[EC-01]]=FALSE,Table1938[[#This Row],[EC-02]]=FALSE,Table1938[[#This Row],[EC-03]]=FALSE,Table1938[[#This Row],[EC-04]]=FALSE,Table1938[[#This Row],[EC-05]]=FALSE,Table1938[[#This Row],[EC-06]]=FALSE),TRUE,FALSE)</f>
        <v>1</v>
      </c>
      <c r="V411" s="2" t="b">
        <f>IF(Table1938[[#This Row],[Date]]&lt;&gt;"",AND(YEAR(Table1938[[#This Row],[Date]])&gt;=2010, YEAR(Table1938[[#This Row],[Date]])&lt;=2024),FALSE)</f>
        <v>1</v>
      </c>
      <c r="W411" s="2" t="b">
        <f>IF(Table1938[[#This Row],[Date]]&lt;&gt;"",AND(YEAR(Table1938[[#This Row],[Date]])&gt;=2010, YEAR(Table1938[[#This Row],[Date]])&lt;=2020),FALSE)</f>
        <v>1</v>
      </c>
      <c r="X411" s="2" t="b">
        <f>IF(AND(Table1938[[#This Row],[Accesible]]=TRUE,Table1938[[#This Row],[DOI]]&lt;&gt;""),TRUE,FALSE)</f>
        <v>1</v>
      </c>
      <c r="Y411" s="2" t="b">
        <f>OR(Table1938[[#This Row],[Document Type]]="journalArticle",Table1938[[#This Row],[Document Type]]="conferencePaper",Table1938[[#This Row],[Document Type]]="review")</f>
        <v>1</v>
      </c>
      <c r="Z411" s="2" t="b" cm="1">
        <f t="array" ref="Z411">SUMPRODUCT(--ISNUMBER(SEARCH({"dimensional analysis","dimensionless coefficients","Π","Pi","theorem","software","design","tools","development","architecture","similar"}, LOWER(Table1938[[#This Row],[Title]]))))&gt;0</f>
        <v>1</v>
      </c>
      <c r="AA411" s="2" t="b" cm="1">
        <f t="array" ref="AA411">SUMPRODUCT(--ISNUMBER(SEARCH({"dimensional analysis","dimensionless coefficients","Π","Pi","theorem","software","design","tools","development","architecture","similar"}, LOWER(Table1938[[#This Row],[Abstract]]))))&gt;0</f>
        <v>1</v>
      </c>
      <c r="AB411" s="2" t="b">
        <f>AND(OR(Table1938[[#This Row],[IC-01 @2024]:[IC-01 @2020]])=TRUE,Table1938[[#This Row],[IC-02]]=TRUE,Table1938[[#This Row],[IC-03]]=TRUE,Table1938[[#This Row],[IC-04]]=TRUE,Table1938[[#This Row],[IC-05]]=TRUE)</f>
        <v>1</v>
      </c>
      <c r="AC411" s="2" t="b">
        <f>AND(Table1938[[#This Row],[Pass-IC]]=TRUE,Table1938[[#This Row],[Pass-EC]]=TRUE)</f>
        <v>1</v>
      </c>
      <c r="AD411" s="2" t="b">
        <f>COUNTIF($D$25:D411, Table1938[[#This Row],[Title]]) = 1</f>
        <v>1</v>
      </c>
      <c r="AE411" s="2" t="b">
        <f>AND(Table1938[[#This Row],[IC + EC]:[Unique]])</f>
        <v>1</v>
      </c>
      <c r="AF411" s="2" t="b">
        <v>1</v>
      </c>
      <c r="AG411" s="2" t="b">
        <v>0</v>
      </c>
      <c r="AH411" s="2" t="b">
        <v>0</v>
      </c>
      <c r="AI411" s="2" t="b">
        <f>IF(AND(Table1938[[#This Row],[Double Check]]=TRUE,Table1938[[#This Row],[Inspected]]=TRUE,Table1938[[#This Row],[Relevant]]=TRUE),TRUE,FALSE)</f>
        <v>0</v>
      </c>
    </row>
    <row r="412" spans="1:35" ht="57.35" x14ac:dyDescent="0.5">
      <c r="A412" s="2">
        <v>411</v>
      </c>
      <c r="B412" s="20" t="s">
        <v>3</v>
      </c>
      <c r="C412" s="20" t="s">
        <v>3556</v>
      </c>
      <c r="D412" s="20" t="s">
        <v>1430</v>
      </c>
      <c r="E412" s="20" t="s">
        <v>1429</v>
      </c>
      <c r="F412" s="2" t="s">
        <v>1432</v>
      </c>
      <c r="G412" s="20" t="s">
        <v>1002</v>
      </c>
      <c r="H412" s="36">
        <v>45413</v>
      </c>
      <c r="I412" s="20">
        <v>2024</v>
      </c>
      <c r="J412" s="20" t="s">
        <v>61</v>
      </c>
      <c r="K412" s="20" t="s">
        <v>3557</v>
      </c>
      <c r="L412" s="20" t="s">
        <v>2515</v>
      </c>
      <c r="M412" s="20" t="s">
        <v>1431</v>
      </c>
      <c r="N412" s="20" t="b">
        <v>1</v>
      </c>
      <c r="O412" s="2" t="b">
        <f>IF(Table1938[[#This Row],[Title]]="",TRUE,FALSE)</f>
        <v>0</v>
      </c>
      <c r="P412" s="2" t="b">
        <f>IF(Table1938[[#This Row],[Author]]="",TRUE,FALSE)</f>
        <v>0</v>
      </c>
      <c r="Q412" s="2" t="b">
        <f>IF(Table1938[[#This Row],[DOI]]&lt;&gt;"", FALSE,TRUE)</f>
        <v>0</v>
      </c>
      <c r="R412" s="2" t="b">
        <f>IF(Table1938[[#This Row],[Abstract]]="",TRUE,FALSE)</f>
        <v>0</v>
      </c>
      <c r="S412" s="2" t="b">
        <f>IF(OR(Table1938[[#This Row],[Document Type]]="book",Table1938[[#This Row],[Document Type]]="bookSection"),TRUE,FALSE)</f>
        <v>0</v>
      </c>
      <c r="T412" s="2" t="b">
        <f>NOT(IF(OR(Table1938[[#This Row],[Language]]&lt;&gt;"en",Table1938[[#This Row],[Language]]&lt;&gt;"EN",Table1938[[#This Row],[Language]]&lt;&gt;"spa",Table1938[[#This Row],[Language]]&lt;&gt;"SPA"),TRUE,FALSE))</f>
        <v>0</v>
      </c>
      <c r="U412" s="2" t="b">
        <f>IF(AND(Table1938[[#This Row],[EC-01]]=FALSE,Table1938[[#This Row],[EC-02]]=FALSE,Table1938[[#This Row],[EC-03]]=FALSE,Table1938[[#This Row],[EC-04]]=FALSE,Table1938[[#This Row],[EC-05]]=FALSE,Table1938[[#This Row],[EC-06]]=FALSE),TRUE,FALSE)</f>
        <v>1</v>
      </c>
      <c r="V412" s="2" t="b">
        <f>IF(Table1938[[#This Row],[Date]]&lt;&gt;"",AND(YEAR(Table1938[[#This Row],[Date]])&gt;=2010, YEAR(Table1938[[#This Row],[Date]])&lt;=2024),FALSE)</f>
        <v>1</v>
      </c>
      <c r="W412" s="2" t="b">
        <f>IF(Table1938[[#This Row],[Date]]&lt;&gt;"",AND(YEAR(Table1938[[#This Row],[Date]])&gt;=2010, YEAR(Table1938[[#This Row],[Date]])&lt;=2020),FALSE)</f>
        <v>0</v>
      </c>
      <c r="X412" s="2" t="b">
        <f>IF(AND(Table1938[[#This Row],[Accesible]]=TRUE,Table1938[[#This Row],[DOI]]&lt;&gt;""),TRUE,FALSE)</f>
        <v>1</v>
      </c>
      <c r="Y412" s="2" t="b">
        <f>OR(Table1938[[#This Row],[Document Type]]="journalArticle",Table1938[[#This Row],[Document Type]]="conferencePaper",Table1938[[#This Row],[Document Type]]="review")</f>
        <v>1</v>
      </c>
      <c r="Z412" s="2" t="b" cm="1">
        <f t="array" ref="Z412">SUMPRODUCT(--ISNUMBER(SEARCH({"dimensional analysis","dimensionless coefficients","Π","Pi","theorem","software","design","tools","development","architecture","similar"}, LOWER(Table1938[[#This Row],[Title]]))))&gt;0</f>
        <v>0</v>
      </c>
      <c r="AA412" s="2" t="b" cm="1">
        <f t="array" ref="AA412">SUMPRODUCT(--ISNUMBER(SEARCH({"dimensional analysis","dimensionless coefficients","Π","Pi","theorem","software","design","tools","development","architecture","similar"}, LOWER(Table1938[[#This Row],[Abstract]]))))&gt;0</f>
        <v>1</v>
      </c>
      <c r="AB412" s="2" t="b">
        <f>AND(OR(Table1938[[#This Row],[IC-01 @2024]:[IC-01 @2020]])=TRUE,Table1938[[#This Row],[IC-02]]=TRUE,Table1938[[#This Row],[IC-03]]=TRUE,Table1938[[#This Row],[IC-04]]=TRUE,Table1938[[#This Row],[IC-05]]=TRUE)</f>
        <v>0</v>
      </c>
      <c r="AC412" s="2" t="b">
        <f>AND(Table1938[[#This Row],[Pass-IC]]=TRUE,Table1938[[#This Row],[Pass-EC]]=TRUE)</f>
        <v>0</v>
      </c>
      <c r="AD412" s="2" t="b">
        <f>COUNTIF($D$25:D412, Table1938[[#This Row],[Title]]) = 1</f>
        <v>1</v>
      </c>
      <c r="AE412" s="2" t="b">
        <f>AND(Table1938[[#This Row],[IC + EC]:[Unique]])</f>
        <v>0</v>
      </c>
      <c r="AF412" s="2" t="b">
        <v>0</v>
      </c>
      <c r="AG412" s="2" t="b">
        <v>0</v>
      </c>
      <c r="AH412" s="2" t="b">
        <v>0</v>
      </c>
      <c r="AI412" s="2" t="b">
        <f>IF(AND(Table1938[[#This Row],[Double Check]]=TRUE,Table1938[[#This Row],[Inspected]]=TRUE,Table1938[[#This Row],[Relevant]]=TRUE),TRUE,FALSE)</f>
        <v>0</v>
      </c>
    </row>
    <row r="413" spans="1:35" ht="57.35" x14ac:dyDescent="0.5">
      <c r="A413" s="2">
        <v>412</v>
      </c>
      <c r="B413" s="20" t="s">
        <v>3</v>
      </c>
      <c r="C413" s="20" t="s">
        <v>3558</v>
      </c>
      <c r="D413" s="20" t="s">
        <v>1434</v>
      </c>
      <c r="E413" s="20" t="s">
        <v>1433</v>
      </c>
      <c r="F413" s="2" t="s">
        <v>1436</v>
      </c>
      <c r="G413" s="20" t="s">
        <v>1144</v>
      </c>
      <c r="H413" s="36">
        <v>43927</v>
      </c>
      <c r="I413" s="20">
        <v>2020</v>
      </c>
      <c r="J413" s="20" t="s">
        <v>61</v>
      </c>
      <c r="K413" s="20" t="s">
        <v>3559</v>
      </c>
      <c r="L413" s="20" t="s">
        <v>2515</v>
      </c>
      <c r="M413" s="20" t="s">
        <v>1435</v>
      </c>
      <c r="N413" s="20" t="b">
        <v>1</v>
      </c>
      <c r="O413" s="2" t="b">
        <f>IF(Table1938[[#This Row],[Title]]="",TRUE,FALSE)</f>
        <v>0</v>
      </c>
      <c r="P413" s="2" t="b">
        <f>IF(Table1938[[#This Row],[Author]]="",TRUE,FALSE)</f>
        <v>0</v>
      </c>
      <c r="Q413" s="2" t="b">
        <f>IF(Table1938[[#This Row],[DOI]]&lt;&gt;"", FALSE,TRUE)</f>
        <v>0</v>
      </c>
      <c r="R413" s="2" t="b">
        <f>IF(Table1938[[#This Row],[Abstract]]="",TRUE,FALSE)</f>
        <v>0</v>
      </c>
      <c r="S413" s="2" t="b">
        <f>IF(OR(Table1938[[#This Row],[Document Type]]="book",Table1938[[#This Row],[Document Type]]="bookSection"),TRUE,FALSE)</f>
        <v>0</v>
      </c>
      <c r="T413" s="2" t="b">
        <f>NOT(IF(OR(Table1938[[#This Row],[Language]]&lt;&gt;"en",Table1938[[#This Row],[Language]]&lt;&gt;"EN",Table1938[[#This Row],[Language]]&lt;&gt;"spa",Table1938[[#This Row],[Language]]&lt;&gt;"SPA"),TRUE,FALSE))</f>
        <v>0</v>
      </c>
      <c r="U413" s="2" t="b">
        <f>IF(AND(Table1938[[#This Row],[EC-01]]=FALSE,Table1938[[#This Row],[EC-02]]=FALSE,Table1938[[#This Row],[EC-03]]=FALSE,Table1938[[#This Row],[EC-04]]=FALSE,Table1938[[#This Row],[EC-05]]=FALSE,Table1938[[#This Row],[EC-06]]=FALSE),TRUE,FALSE)</f>
        <v>1</v>
      </c>
      <c r="V413" s="2" t="b">
        <f>IF(Table1938[[#This Row],[Date]]&lt;&gt;"",AND(YEAR(Table1938[[#This Row],[Date]])&gt;=2010, YEAR(Table1938[[#This Row],[Date]])&lt;=2024),FALSE)</f>
        <v>1</v>
      </c>
      <c r="W413" s="2" t="b">
        <f>IF(Table1938[[#This Row],[Date]]&lt;&gt;"",AND(YEAR(Table1938[[#This Row],[Date]])&gt;=2010, YEAR(Table1938[[#This Row],[Date]])&lt;=2020),FALSE)</f>
        <v>1</v>
      </c>
      <c r="X413" s="2" t="b">
        <f>IF(AND(Table1938[[#This Row],[Accesible]]=TRUE,Table1938[[#This Row],[DOI]]&lt;&gt;""),TRUE,FALSE)</f>
        <v>1</v>
      </c>
      <c r="Y413" s="2" t="b">
        <f>OR(Table1938[[#This Row],[Document Type]]="journalArticle",Table1938[[#This Row],[Document Type]]="conferencePaper",Table1938[[#This Row],[Document Type]]="review")</f>
        <v>1</v>
      </c>
      <c r="Z413" s="2" t="b" cm="1">
        <f t="array" ref="Z413">SUMPRODUCT(--ISNUMBER(SEARCH({"dimensional analysis","dimensionless coefficients","Π","Pi","theorem","software","design","tools","development","architecture","similar"}, LOWER(Table1938[[#This Row],[Title]]))))&gt;0</f>
        <v>0</v>
      </c>
      <c r="AA413" s="2" t="b" cm="1">
        <f t="array" ref="AA413">SUMPRODUCT(--ISNUMBER(SEARCH({"dimensional analysis","dimensionless coefficients","Π","Pi","theorem","software","design","tools","development","architecture","similar"}, LOWER(Table1938[[#This Row],[Abstract]]))))&gt;0</f>
        <v>1</v>
      </c>
      <c r="AB413" s="2" t="b">
        <f>AND(OR(Table1938[[#This Row],[IC-01 @2024]:[IC-01 @2020]])=TRUE,Table1938[[#This Row],[IC-02]]=TRUE,Table1938[[#This Row],[IC-03]]=TRUE,Table1938[[#This Row],[IC-04]]=TRUE,Table1938[[#This Row],[IC-05]]=TRUE)</f>
        <v>0</v>
      </c>
      <c r="AC413" s="2" t="b">
        <f>AND(Table1938[[#This Row],[Pass-IC]]=TRUE,Table1938[[#This Row],[Pass-EC]]=TRUE)</f>
        <v>0</v>
      </c>
      <c r="AD413" s="2" t="b">
        <f>COUNTIF($D$25:D413, Table1938[[#This Row],[Title]]) = 1</f>
        <v>1</v>
      </c>
      <c r="AE413" s="2" t="b">
        <f>AND(Table1938[[#This Row],[IC + EC]:[Unique]])</f>
        <v>0</v>
      </c>
      <c r="AF413" s="2" t="b">
        <v>0</v>
      </c>
      <c r="AG413" s="2" t="b">
        <v>0</v>
      </c>
      <c r="AH413" s="2" t="b">
        <v>0</v>
      </c>
      <c r="AI413" s="2" t="b">
        <f>IF(AND(Table1938[[#This Row],[Double Check]]=TRUE,Table1938[[#This Row],[Inspected]]=TRUE,Table1938[[#This Row],[Relevant]]=TRUE),TRUE,FALSE)</f>
        <v>0</v>
      </c>
    </row>
    <row r="414" spans="1:35" ht="57.35" x14ac:dyDescent="0.5">
      <c r="A414" s="2">
        <v>413</v>
      </c>
      <c r="B414" s="20" t="s">
        <v>3</v>
      </c>
      <c r="C414" s="20" t="s">
        <v>3560</v>
      </c>
      <c r="D414" s="20" t="s">
        <v>1390</v>
      </c>
      <c r="E414" s="20" t="s">
        <v>1389</v>
      </c>
      <c r="F414" s="2" t="s">
        <v>1392</v>
      </c>
      <c r="G414" s="20" t="s">
        <v>1104</v>
      </c>
      <c r="H414" s="36">
        <v>42583</v>
      </c>
      <c r="I414" s="20">
        <v>2016</v>
      </c>
      <c r="J414" s="20" t="s">
        <v>61</v>
      </c>
      <c r="K414" s="20" t="s">
        <v>3561</v>
      </c>
      <c r="L414" s="20" t="s">
        <v>2515</v>
      </c>
      <c r="M414" s="20" t="s">
        <v>1391</v>
      </c>
      <c r="N414" s="20" t="b">
        <v>1</v>
      </c>
      <c r="O414" s="2" t="b">
        <f>IF(Table1938[[#This Row],[Title]]="",TRUE,FALSE)</f>
        <v>0</v>
      </c>
      <c r="P414" s="2" t="b">
        <f>IF(Table1938[[#This Row],[Author]]="",TRUE,FALSE)</f>
        <v>0</v>
      </c>
      <c r="Q414" s="2" t="b">
        <f>IF(Table1938[[#This Row],[DOI]]&lt;&gt;"", FALSE,TRUE)</f>
        <v>0</v>
      </c>
      <c r="R414" s="2" t="b">
        <f>IF(Table1938[[#This Row],[Abstract]]="",TRUE,FALSE)</f>
        <v>0</v>
      </c>
      <c r="S414" s="2" t="b">
        <f>IF(OR(Table1938[[#This Row],[Document Type]]="book",Table1938[[#This Row],[Document Type]]="bookSection"),TRUE,FALSE)</f>
        <v>0</v>
      </c>
      <c r="T414" s="2" t="b">
        <f>NOT(IF(OR(Table1938[[#This Row],[Language]]&lt;&gt;"en",Table1938[[#This Row],[Language]]&lt;&gt;"EN",Table1938[[#This Row],[Language]]&lt;&gt;"spa",Table1938[[#This Row],[Language]]&lt;&gt;"SPA"),TRUE,FALSE))</f>
        <v>0</v>
      </c>
      <c r="U414" s="2" t="b">
        <f>IF(AND(Table1938[[#This Row],[EC-01]]=FALSE,Table1938[[#This Row],[EC-02]]=FALSE,Table1938[[#This Row],[EC-03]]=FALSE,Table1938[[#This Row],[EC-04]]=FALSE,Table1938[[#This Row],[EC-05]]=FALSE,Table1938[[#This Row],[EC-06]]=FALSE),TRUE,FALSE)</f>
        <v>1</v>
      </c>
      <c r="V414" s="2" t="b">
        <f>IF(Table1938[[#This Row],[Date]]&lt;&gt;"",AND(YEAR(Table1938[[#This Row],[Date]])&gt;=2010, YEAR(Table1938[[#This Row],[Date]])&lt;=2024),FALSE)</f>
        <v>1</v>
      </c>
      <c r="W414" s="2" t="b">
        <f>IF(Table1938[[#This Row],[Date]]&lt;&gt;"",AND(YEAR(Table1938[[#This Row],[Date]])&gt;=2010, YEAR(Table1938[[#This Row],[Date]])&lt;=2020),FALSE)</f>
        <v>1</v>
      </c>
      <c r="X414" s="2" t="b">
        <f>IF(AND(Table1938[[#This Row],[Accesible]]=TRUE,Table1938[[#This Row],[DOI]]&lt;&gt;""),TRUE,FALSE)</f>
        <v>1</v>
      </c>
      <c r="Y414" s="2" t="b">
        <f>OR(Table1938[[#This Row],[Document Type]]="journalArticle",Table1938[[#This Row],[Document Type]]="conferencePaper",Table1938[[#This Row],[Document Type]]="review")</f>
        <v>1</v>
      </c>
      <c r="Z414" s="2" t="b" cm="1">
        <f t="array" ref="Z414">SUMPRODUCT(--ISNUMBER(SEARCH({"dimensional analysis","dimensionless coefficients","Π","Pi","theorem","software","design","tools","development","architecture","similar"}, LOWER(Table1938[[#This Row],[Title]]))))&gt;0</f>
        <v>0</v>
      </c>
      <c r="AA414" s="2" t="b" cm="1">
        <f t="array" ref="AA414">SUMPRODUCT(--ISNUMBER(SEARCH({"dimensional analysis","dimensionless coefficients","Π","Pi","theorem","software","design","tools","development","architecture","similar"}, LOWER(Table1938[[#This Row],[Abstract]]))))&gt;0</f>
        <v>1</v>
      </c>
      <c r="AB414" s="2" t="b">
        <f>AND(OR(Table1938[[#This Row],[IC-01 @2024]:[IC-01 @2020]])=TRUE,Table1938[[#This Row],[IC-02]]=TRUE,Table1938[[#This Row],[IC-03]]=TRUE,Table1938[[#This Row],[IC-04]]=TRUE,Table1938[[#This Row],[IC-05]]=TRUE)</f>
        <v>0</v>
      </c>
      <c r="AC414" s="2" t="b">
        <f>AND(Table1938[[#This Row],[Pass-IC]]=TRUE,Table1938[[#This Row],[Pass-EC]]=TRUE)</f>
        <v>0</v>
      </c>
      <c r="AD414" s="2" t="b">
        <f>COUNTIF($D$25:D414, Table1938[[#This Row],[Title]]) = 1</f>
        <v>1</v>
      </c>
      <c r="AE414" s="2" t="b">
        <f>AND(Table1938[[#This Row],[IC + EC]:[Unique]])</f>
        <v>0</v>
      </c>
      <c r="AF414" s="2" t="b">
        <v>0</v>
      </c>
      <c r="AG414" s="2" t="b">
        <v>0</v>
      </c>
      <c r="AH414" s="2" t="b">
        <v>0</v>
      </c>
      <c r="AI414" s="2" t="b">
        <f>IF(AND(Table1938[[#This Row],[Double Check]]=TRUE,Table1938[[#This Row],[Inspected]]=TRUE,Table1938[[#This Row],[Relevant]]=TRUE),TRUE,FALSE)</f>
        <v>0</v>
      </c>
    </row>
    <row r="415" spans="1:35" ht="43" x14ac:dyDescent="0.5">
      <c r="A415" s="2">
        <v>414</v>
      </c>
      <c r="B415" s="20" t="s">
        <v>3</v>
      </c>
      <c r="C415" s="20" t="s">
        <v>3562</v>
      </c>
      <c r="D415" s="20" t="s">
        <v>2270</v>
      </c>
      <c r="E415" s="20" t="s">
        <v>2269</v>
      </c>
      <c r="F415" s="2" t="s">
        <v>2273</v>
      </c>
      <c r="G415" s="20" t="s">
        <v>2271</v>
      </c>
      <c r="H415" s="36">
        <v>44270</v>
      </c>
      <c r="I415" s="20">
        <v>2021</v>
      </c>
      <c r="J415" s="20" t="s">
        <v>61</v>
      </c>
      <c r="K415" s="20" t="s">
        <v>3563</v>
      </c>
      <c r="L415" s="20" t="s">
        <v>2515</v>
      </c>
      <c r="M415" s="20" t="s">
        <v>2272</v>
      </c>
      <c r="N415" s="20" t="b">
        <v>1</v>
      </c>
      <c r="O415" s="2" t="b">
        <f>IF(Table1938[[#This Row],[Title]]="",TRUE,FALSE)</f>
        <v>0</v>
      </c>
      <c r="P415" s="2" t="b">
        <f>IF(Table1938[[#This Row],[Author]]="",TRUE,FALSE)</f>
        <v>0</v>
      </c>
      <c r="Q415" s="2" t="b">
        <f>IF(Table1938[[#This Row],[DOI]]&lt;&gt;"", FALSE,TRUE)</f>
        <v>0</v>
      </c>
      <c r="R415" s="2" t="b">
        <f>IF(Table1938[[#This Row],[Abstract]]="",TRUE,FALSE)</f>
        <v>0</v>
      </c>
      <c r="S415" s="2" t="b">
        <f>IF(OR(Table1938[[#This Row],[Document Type]]="book",Table1938[[#This Row],[Document Type]]="bookSection"),TRUE,FALSE)</f>
        <v>0</v>
      </c>
      <c r="T415" s="2" t="b">
        <f>NOT(IF(OR(Table1938[[#This Row],[Language]]&lt;&gt;"en",Table1938[[#This Row],[Language]]&lt;&gt;"EN",Table1938[[#This Row],[Language]]&lt;&gt;"spa",Table1938[[#This Row],[Language]]&lt;&gt;"SPA"),TRUE,FALSE))</f>
        <v>0</v>
      </c>
      <c r="U415" s="2" t="b">
        <f>IF(AND(Table1938[[#This Row],[EC-01]]=FALSE,Table1938[[#This Row],[EC-02]]=FALSE,Table1938[[#This Row],[EC-03]]=FALSE,Table1938[[#This Row],[EC-04]]=FALSE,Table1938[[#This Row],[EC-05]]=FALSE,Table1938[[#This Row],[EC-06]]=FALSE),TRUE,FALSE)</f>
        <v>1</v>
      </c>
      <c r="V415" s="2" t="b">
        <f>IF(Table1938[[#This Row],[Date]]&lt;&gt;"",AND(YEAR(Table1938[[#This Row],[Date]])&gt;=2010, YEAR(Table1938[[#This Row],[Date]])&lt;=2024),FALSE)</f>
        <v>1</v>
      </c>
      <c r="W415" s="2" t="b">
        <f>IF(Table1938[[#This Row],[Date]]&lt;&gt;"",AND(YEAR(Table1938[[#This Row],[Date]])&gt;=2010, YEAR(Table1938[[#This Row],[Date]])&lt;=2020),FALSE)</f>
        <v>0</v>
      </c>
      <c r="X415" s="2" t="b">
        <f>IF(AND(Table1938[[#This Row],[Accesible]]=TRUE,Table1938[[#This Row],[DOI]]&lt;&gt;""),TRUE,FALSE)</f>
        <v>1</v>
      </c>
      <c r="Y415" s="2" t="b">
        <f>OR(Table1938[[#This Row],[Document Type]]="journalArticle",Table1938[[#This Row],[Document Type]]="conferencePaper",Table1938[[#This Row],[Document Type]]="review")</f>
        <v>1</v>
      </c>
      <c r="Z415" s="2" t="b" cm="1">
        <f t="array" ref="Z415">SUMPRODUCT(--ISNUMBER(SEARCH({"dimensional analysis","dimensionless coefficients","Π","Pi","theorem","software","design","tools","development","architecture","similar"}, LOWER(Table1938[[#This Row],[Title]]))))&gt;0</f>
        <v>1</v>
      </c>
      <c r="AA415" s="2" t="b" cm="1">
        <f t="array" ref="AA415">SUMPRODUCT(--ISNUMBER(SEARCH({"dimensional analysis","dimensionless coefficients","Π","Pi","theorem","software","design","tools","development","architecture","similar"}, LOWER(Table1938[[#This Row],[Abstract]]))))&gt;0</f>
        <v>1</v>
      </c>
      <c r="AB415" s="2" t="b">
        <f>AND(OR(Table1938[[#This Row],[IC-01 @2024]:[IC-01 @2020]])=TRUE,Table1938[[#This Row],[IC-02]]=TRUE,Table1938[[#This Row],[IC-03]]=TRUE,Table1938[[#This Row],[IC-04]]=TRUE,Table1938[[#This Row],[IC-05]]=TRUE)</f>
        <v>1</v>
      </c>
      <c r="AC415" s="2" t="b">
        <f>AND(Table1938[[#This Row],[Pass-IC]]=TRUE,Table1938[[#This Row],[Pass-EC]]=TRUE)</f>
        <v>1</v>
      </c>
      <c r="AD415" s="2" t="b">
        <f>COUNTIF($D$25:D415, Table1938[[#This Row],[Title]]) = 1</f>
        <v>1</v>
      </c>
      <c r="AE415" s="2" t="b">
        <f>AND(Table1938[[#This Row],[IC + EC]:[Unique]])</f>
        <v>1</v>
      </c>
      <c r="AF415" s="2" t="b">
        <v>1</v>
      </c>
      <c r="AG415" s="2" t="b">
        <v>0</v>
      </c>
      <c r="AH415" s="2" t="b">
        <v>0</v>
      </c>
      <c r="AI415" s="2" t="b">
        <f>IF(AND(Table1938[[#This Row],[Double Check]]=TRUE,Table1938[[#This Row],[Inspected]]=TRUE,Table1938[[#This Row],[Relevant]]=TRUE),TRUE,FALSE)</f>
        <v>0</v>
      </c>
    </row>
    <row r="416" spans="1:35" ht="71.7" x14ac:dyDescent="0.5">
      <c r="A416" s="2">
        <v>415</v>
      </c>
      <c r="B416" s="20" t="s">
        <v>3</v>
      </c>
      <c r="C416" s="20" t="s">
        <v>3564</v>
      </c>
      <c r="D416" s="20" t="s">
        <v>1816</v>
      </c>
      <c r="E416" s="20" t="s">
        <v>1815</v>
      </c>
      <c r="F416" s="2" t="s">
        <v>1818</v>
      </c>
      <c r="G416" s="20" t="s">
        <v>1002</v>
      </c>
      <c r="H416" s="36">
        <v>45261</v>
      </c>
      <c r="I416" s="20">
        <v>2023</v>
      </c>
      <c r="J416" s="20" t="s">
        <v>61</v>
      </c>
      <c r="K416" s="20" t="s">
        <v>3565</v>
      </c>
      <c r="L416" s="20" t="s">
        <v>2515</v>
      </c>
      <c r="M416" s="20" t="s">
        <v>1817</v>
      </c>
      <c r="N416" s="20" t="b">
        <v>1</v>
      </c>
      <c r="O416" s="2" t="b">
        <f>IF(Table1938[[#This Row],[Title]]="",TRUE,FALSE)</f>
        <v>0</v>
      </c>
      <c r="P416" s="2" t="b">
        <f>IF(Table1938[[#This Row],[Author]]="",TRUE,FALSE)</f>
        <v>0</v>
      </c>
      <c r="Q416" s="2" t="b">
        <f>IF(Table1938[[#This Row],[DOI]]&lt;&gt;"", FALSE,TRUE)</f>
        <v>0</v>
      </c>
      <c r="R416" s="2" t="b">
        <f>IF(Table1938[[#This Row],[Abstract]]="",TRUE,FALSE)</f>
        <v>0</v>
      </c>
      <c r="S416" s="2" t="b">
        <f>IF(OR(Table1938[[#This Row],[Document Type]]="book",Table1938[[#This Row],[Document Type]]="bookSection"),TRUE,FALSE)</f>
        <v>0</v>
      </c>
      <c r="T416" s="2" t="b">
        <f>NOT(IF(OR(Table1938[[#This Row],[Language]]&lt;&gt;"en",Table1938[[#This Row],[Language]]&lt;&gt;"EN",Table1938[[#This Row],[Language]]&lt;&gt;"spa",Table1938[[#This Row],[Language]]&lt;&gt;"SPA"),TRUE,FALSE))</f>
        <v>0</v>
      </c>
      <c r="U416" s="2" t="b">
        <f>IF(AND(Table1938[[#This Row],[EC-01]]=FALSE,Table1938[[#This Row],[EC-02]]=FALSE,Table1938[[#This Row],[EC-03]]=FALSE,Table1938[[#This Row],[EC-04]]=FALSE,Table1938[[#This Row],[EC-05]]=FALSE,Table1938[[#This Row],[EC-06]]=FALSE),TRUE,FALSE)</f>
        <v>1</v>
      </c>
      <c r="V416" s="2" t="b">
        <f>IF(Table1938[[#This Row],[Date]]&lt;&gt;"",AND(YEAR(Table1938[[#This Row],[Date]])&gt;=2010, YEAR(Table1938[[#This Row],[Date]])&lt;=2024),FALSE)</f>
        <v>1</v>
      </c>
      <c r="W416" s="2" t="b">
        <f>IF(Table1938[[#This Row],[Date]]&lt;&gt;"",AND(YEAR(Table1938[[#This Row],[Date]])&gt;=2010, YEAR(Table1938[[#This Row],[Date]])&lt;=2020),FALSE)</f>
        <v>0</v>
      </c>
      <c r="X416" s="2" t="b">
        <f>IF(AND(Table1938[[#This Row],[Accesible]]=TRUE,Table1938[[#This Row],[DOI]]&lt;&gt;""),TRUE,FALSE)</f>
        <v>1</v>
      </c>
      <c r="Y416" s="2" t="b">
        <f>OR(Table1938[[#This Row],[Document Type]]="journalArticle",Table1938[[#This Row],[Document Type]]="conferencePaper",Table1938[[#This Row],[Document Type]]="review")</f>
        <v>1</v>
      </c>
      <c r="Z416" s="2" t="b" cm="1">
        <f t="array" ref="Z416">SUMPRODUCT(--ISNUMBER(SEARCH({"dimensional analysis","dimensionless coefficients","Π","Pi","theorem","software","design","tools","development","architecture","similar"}, LOWER(Table1938[[#This Row],[Title]]))))&gt;0</f>
        <v>0</v>
      </c>
      <c r="AA416" s="2" t="b" cm="1">
        <f t="array" ref="AA416">SUMPRODUCT(--ISNUMBER(SEARCH({"dimensional analysis","dimensionless coefficients","Π","Pi","theorem","software","design","tools","development","architecture","similar"}, LOWER(Table1938[[#This Row],[Abstract]]))))&gt;0</f>
        <v>1</v>
      </c>
      <c r="AB416" s="2" t="b">
        <f>AND(OR(Table1938[[#This Row],[IC-01 @2024]:[IC-01 @2020]])=TRUE,Table1938[[#This Row],[IC-02]]=TRUE,Table1938[[#This Row],[IC-03]]=TRUE,Table1938[[#This Row],[IC-04]]=TRUE,Table1938[[#This Row],[IC-05]]=TRUE)</f>
        <v>0</v>
      </c>
      <c r="AC416" s="2" t="b">
        <f>AND(Table1938[[#This Row],[Pass-IC]]=TRUE,Table1938[[#This Row],[Pass-EC]]=TRUE)</f>
        <v>0</v>
      </c>
      <c r="AD416" s="2" t="b">
        <f>COUNTIF($D$25:D416, Table1938[[#This Row],[Title]]) = 1</f>
        <v>1</v>
      </c>
      <c r="AE416" s="2" t="b">
        <f>AND(Table1938[[#This Row],[IC + EC]:[Unique]])</f>
        <v>0</v>
      </c>
      <c r="AF416" s="2" t="b">
        <v>0</v>
      </c>
      <c r="AG416" s="2" t="b">
        <v>0</v>
      </c>
      <c r="AH416" s="2" t="b">
        <v>0</v>
      </c>
      <c r="AI416" s="2" t="b">
        <f>IF(AND(Table1938[[#This Row],[Double Check]]=TRUE,Table1938[[#This Row],[Inspected]]=TRUE,Table1938[[#This Row],[Relevant]]=TRUE),TRUE,FALSE)</f>
        <v>0</v>
      </c>
    </row>
    <row r="417" spans="1:35" ht="43" x14ac:dyDescent="0.5">
      <c r="A417" s="2">
        <v>416</v>
      </c>
      <c r="B417" s="20" t="s">
        <v>3</v>
      </c>
      <c r="C417" s="20" t="s">
        <v>3566</v>
      </c>
      <c r="D417" s="20" t="s">
        <v>1555</v>
      </c>
      <c r="E417" s="20" t="s">
        <v>1554</v>
      </c>
      <c r="F417" s="2" t="s">
        <v>1557</v>
      </c>
      <c r="G417" s="20" t="s">
        <v>941</v>
      </c>
      <c r="H417" s="36">
        <v>42566</v>
      </c>
      <c r="I417" s="20">
        <v>2016</v>
      </c>
      <c r="J417" s="20" t="s">
        <v>61</v>
      </c>
      <c r="K417" s="20" t="s">
        <v>3567</v>
      </c>
      <c r="L417" s="20" t="s">
        <v>2515</v>
      </c>
      <c r="M417" s="20" t="s">
        <v>1556</v>
      </c>
      <c r="N417" s="20" t="b">
        <v>1</v>
      </c>
      <c r="O417" s="2" t="b">
        <f>IF(Table1938[[#This Row],[Title]]="",TRUE,FALSE)</f>
        <v>0</v>
      </c>
      <c r="P417" s="2" t="b">
        <f>IF(Table1938[[#This Row],[Author]]="",TRUE,FALSE)</f>
        <v>0</v>
      </c>
      <c r="Q417" s="2" t="b">
        <f>IF(Table1938[[#This Row],[DOI]]&lt;&gt;"", FALSE,TRUE)</f>
        <v>0</v>
      </c>
      <c r="R417" s="2" t="b">
        <f>IF(Table1938[[#This Row],[Abstract]]="",TRUE,FALSE)</f>
        <v>0</v>
      </c>
      <c r="S417" s="2" t="b">
        <f>IF(OR(Table1938[[#This Row],[Document Type]]="book",Table1938[[#This Row],[Document Type]]="bookSection"),TRUE,FALSE)</f>
        <v>0</v>
      </c>
      <c r="T417" s="2" t="b">
        <f>NOT(IF(OR(Table1938[[#This Row],[Language]]&lt;&gt;"en",Table1938[[#This Row],[Language]]&lt;&gt;"EN",Table1938[[#This Row],[Language]]&lt;&gt;"spa",Table1938[[#This Row],[Language]]&lt;&gt;"SPA"),TRUE,FALSE))</f>
        <v>0</v>
      </c>
      <c r="U417" s="2" t="b">
        <f>IF(AND(Table1938[[#This Row],[EC-01]]=FALSE,Table1938[[#This Row],[EC-02]]=FALSE,Table1938[[#This Row],[EC-03]]=FALSE,Table1938[[#This Row],[EC-04]]=FALSE,Table1938[[#This Row],[EC-05]]=FALSE,Table1938[[#This Row],[EC-06]]=FALSE),TRUE,FALSE)</f>
        <v>1</v>
      </c>
      <c r="V417" s="2" t="b">
        <f>IF(Table1938[[#This Row],[Date]]&lt;&gt;"",AND(YEAR(Table1938[[#This Row],[Date]])&gt;=2010, YEAR(Table1938[[#This Row],[Date]])&lt;=2024),FALSE)</f>
        <v>1</v>
      </c>
      <c r="W417" s="2" t="b">
        <f>IF(Table1938[[#This Row],[Date]]&lt;&gt;"",AND(YEAR(Table1938[[#This Row],[Date]])&gt;=2010, YEAR(Table1938[[#This Row],[Date]])&lt;=2020),FALSE)</f>
        <v>1</v>
      </c>
      <c r="X417" s="2" t="b">
        <f>IF(AND(Table1938[[#This Row],[Accesible]]=TRUE,Table1938[[#This Row],[DOI]]&lt;&gt;""),TRUE,FALSE)</f>
        <v>1</v>
      </c>
      <c r="Y417" s="2" t="b">
        <f>OR(Table1938[[#This Row],[Document Type]]="journalArticle",Table1938[[#This Row],[Document Type]]="conferencePaper",Table1938[[#This Row],[Document Type]]="review")</f>
        <v>1</v>
      </c>
      <c r="Z417" s="2" t="b" cm="1">
        <f t="array" ref="Z417">SUMPRODUCT(--ISNUMBER(SEARCH({"dimensional analysis","dimensionless coefficients","Π","Pi","theorem","software","design","tools","development","architecture","similar"}, LOWER(Table1938[[#This Row],[Title]]))))&gt;0</f>
        <v>0</v>
      </c>
      <c r="AA417" s="2" t="b" cm="1">
        <f t="array" ref="AA417">SUMPRODUCT(--ISNUMBER(SEARCH({"dimensional analysis","dimensionless coefficients","Π","Pi","theorem","software","design","tools","development","architecture","similar"}, LOWER(Table1938[[#This Row],[Abstract]]))))&gt;0</f>
        <v>1</v>
      </c>
      <c r="AB417" s="2" t="b">
        <f>AND(OR(Table1938[[#This Row],[IC-01 @2024]:[IC-01 @2020]])=TRUE,Table1938[[#This Row],[IC-02]]=TRUE,Table1938[[#This Row],[IC-03]]=TRUE,Table1938[[#This Row],[IC-04]]=TRUE,Table1938[[#This Row],[IC-05]]=TRUE)</f>
        <v>0</v>
      </c>
      <c r="AC417" s="2" t="b">
        <f>AND(Table1938[[#This Row],[Pass-IC]]=TRUE,Table1938[[#This Row],[Pass-EC]]=TRUE)</f>
        <v>0</v>
      </c>
      <c r="AD417" s="2" t="b">
        <f>COUNTIF($D$25:D417, Table1938[[#This Row],[Title]]) = 1</f>
        <v>1</v>
      </c>
      <c r="AE417" s="2" t="b">
        <f>AND(Table1938[[#This Row],[IC + EC]:[Unique]])</f>
        <v>0</v>
      </c>
      <c r="AF417" s="2" t="b">
        <v>0</v>
      </c>
      <c r="AG417" s="2" t="b">
        <v>0</v>
      </c>
      <c r="AH417" s="2" t="b">
        <v>0</v>
      </c>
      <c r="AI417" s="2" t="b">
        <f>IF(AND(Table1938[[#This Row],[Double Check]]=TRUE,Table1938[[#This Row],[Inspected]]=TRUE,Table1938[[#This Row],[Relevant]]=TRUE),TRUE,FALSE)</f>
        <v>0</v>
      </c>
    </row>
    <row r="418" spans="1:35" ht="71.7" x14ac:dyDescent="0.5">
      <c r="A418" s="2">
        <v>417</v>
      </c>
      <c r="B418" s="20" t="s">
        <v>3</v>
      </c>
      <c r="C418" s="20" t="s">
        <v>3568</v>
      </c>
      <c r="D418" s="20" t="s">
        <v>1772</v>
      </c>
      <c r="E418" s="20" t="s">
        <v>1771</v>
      </c>
      <c r="F418" s="2" t="s">
        <v>1774</v>
      </c>
      <c r="G418" s="20" t="s">
        <v>927</v>
      </c>
      <c r="H418" s="36">
        <v>44743</v>
      </c>
      <c r="I418" s="20">
        <v>2022</v>
      </c>
      <c r="J418" s="20" t="s">
        <v>61</v>
      </c>
      <c r="K418" s="20" t="s">
        <v>3569</v>
      </c>
      <c r="L418" s="20" t="s">
        <v>2515</v>
      </c>
      <c r="M418" s="20" t="s">
        <v>1773</v>
      </c>
      <c r="N418" s="20" t="b">
        <v>1</v>
      </c>
      <c r="O418" s="2" t="b">
        <f>IF(Table1938[[#This Row],[Title]]="",TRUE,FALSE)</f>
        <v>0</v>
      </c>
      <c r="P418" s="2" t="b">
        <f>IF(Table1938[[#This Row],[Author]]="",TRUE,FALSE)</f>
        <v>0</v>
      </c>
      <c r="Q418" s="2" t="b">
        <f>IF(Table1938[[#This Row],[DOI]]&lt;&gt;"", FALSE,TRUE)</f>
        <v>0</v>
      </c>
      <c r="R418" s="2" t="b">
        <f>IF(Table1938[[#This Row],[Abstract]]="",TRUE,FALSE)</f>
        <v>0</v>
      </c>
      <c r="S418" s="2" t="b">
        <f>IF(OR(Table1938[[#This Row],[Document Type]]="book",Table1938[[#This Row],[Document Type]]="bookSection"),TRUE,FALSE)</f>
        <v>0</v>
      </c>
      <c r="T418" s="2" t="b">
        <f>NOT(IF(OR(Table1938[[#This Row],[Language]]&lt;&gt;"en",Table1938[[#This Row],[Language]]&lt;&gt;"EN",Table1938[[#This Row],[Language]]&lt;&gt;"spa",Table1938[[#This Row],[Language]]&lt;&gt;"SPA"),TRUE,FALSE))</f>
        <v>0</v>
      </c>
      <c r="U418" s="2" t="b">
        <f>IF(AND(Table1938[[#This Row],[EC-01]]=FALSE,Table1938[[#This Row],[EC-02]]=FALSE,Table1938[[#This Row],[EC-03]]=FALSE,Table1938[[#This Row],[EC-04]]=FALSE,Table1938[[#This Row],[EC-05]]=FALSE,Table1938[[#This Row],[EC-06]]=FALSE),TRUE,FALSE)</f>
        <v>1</v>
      </c>
      <c r="V418" s="2" t="b">
        <f>IF(Table1938[[#This Row],[Date]]&lt;&gt;"",AND(YEAR(Table1938[[#This Row],[Date]])&gt;=2010, YEAR(Table1938[[#This Row],[Date]])&lt;=2024),FALSE)</f>
        <v>1</v>
      </c>
      <c r="W418" s="2" t="b">
        <f>IF(Table1938[[#This Row],[Date]]&lt;&gt;"",AND(YEAR(Table1938[[#This Row],[Date]])&gt;=2010, YEAR(Table1938[[#This Row],[Date]])&lt;=2020),FALSE)</f>
        <v>0</v>
      </c>
      <c r="X418" s="2" t="b">
        <f>IF(AND(Table1938[[#This Row],[Accesible]]=TRUE,Table1938[[#This Row],[DOI]]&lt;&gt;""),TRUE,FALSE)</f>
        <v>1</v>
      </c>
      <c r="Y418" s="2" t="b">
        <f>OR(Table1938[[#This Row],[Document Type]]="journalArticle",Table1938[[#This Row],[Document Type]]="conferencePaper",Table1938[[#This Row],[Document Type]]="review")</f>
        <v>1</v>
      </c>
      <c r="Z418" s="2" t="b" cm="1">
        <f t="array" ref="Z418">SUMPRODUCT(--ISNUMBER(SEARCH({"dimensional analysis","dimensionless coefficients","Π","Pi","theorem","software","design","tools","development","architecture","similar"}, LOWER(Table1938[[#This Row],[Title]]))))&gt;0</f>
        <v>0</v>
      </c>
      <c r="AA418" s="2" t="b" cm="1">
        <f t="array" ref="AA418">SUMPRODUCT(--ISNUMBER(SEARCH({"dimensional analysis","dimensionless coefficients","Π","Pi","theorem","software","design","tools","development","architecture","similar"}, LOWER(Table1938[[#This Row],[Abstract]]))))&gt;0</f>
        <v>1</v>
      </c>
      <c r="AB418" s="2" t="b">
        <f>AND(OR(Table1938[[#This Row],[IC-01 @2024]:[IC-01 @2020]])=TRUE,Table1938[[#This Row],[IC-02]]=TRUE,Table1938[[#This Row],[IC-03]]=TRUE,Table1938[[#This Row],[IC-04]]=TRUE,Table1938[[#This Row],[IC-05]]=TRUE)</f>
        <v>0</v>
      </c>
      <c r="AC418" s="2" t="b">
        <f>AND(Table1938[[#This Row],[Pass-IC]]=TRUE,Table1938[[#This Row],[Pass-EC]]=TRUE)</f>
        <v>0</v>
      </c>
      <c r="AD418" s="2" t="b">
        <f>COUNTIF($D$25:D418, Table1938[[#This Row],[Title]]) = 1</f>
        <v>1</v>
      </c>
      <c r="AE418" s="2" t="b">
        <f>AND(Table1938[[#This Row],[IC + EC]:[Unique]])</f>
        <v>0</v>
      </c>
      <c r="AF418" s="2" t="b">
        <v>0</v>
      </c>
      <c r="AG418" s="2" t="b">
        <v>0</v>
      </c>
      <c r="AH418" s="2" t="b">
        <v>0</v>
      </c>
      <c r="AI418" s="2" t="b">
        <f>IF(AND(Table1938[[#This Row],[Double Check]]=TRUE,Table1938[[#This Row],[Inspected]]=TRUE,Table1938[[#This Row],[Relevant]]=TRUE),TRUE,FALSE)</f>
        <v>0</v>
      </c>
    </row>
    <row r="419" spans="1:35" ht="71.7" x14ac:dyDescent="0.5">
      <c r="A419" s="2">
        <v>418</v>
      </c>
      <c r="B419" s="20" t="s">
        <v>3</v>
      </c>
      <c r="C419" s="20" t="s">
        <v>3570</v>
      </c>
      <c r="D419" s="20" t="s">
        <v>2335</v>
      </c>
      <c r="E419" s="20" t="s">
        <v>2334</v>
      </c>
      <c r="F419" s="2" t="s">
        <v>2337</v>
      </c>
      <c r="G419" s="20" t="s">
        <v>951</v>
      </c>
      <c r="H419" s="36">
        <v>45383</v>
      </c>
      <c r="I419" s="20">
        <v>2024</v>
      </c>
      <c r="J419" s="20" t="s">
        <v>61</v>
      </c>
      <c r="K419" s="20" t="s">
        <v>3571</v>
      </c>
      <c r="L419" s="20" t="s">
        <v>2515</v>
      </c>
      <c r="M419" s="20" t="s">
        <v>2336</v>
      </c>
      <c r="N419" s="20" t="b">
        <v>1</v>
      </c>
      <c r="O419" s="2" t="b">
        <f>IF(Table1938[[#This Row],[Title]]="",TRUE,FALSE)</f>
        <v>0</v>
      </c>
      <c r="P419" s="2" t="b">
        <f>IF(Table1938[[#This Row],[Author]]="",TRUE,FALSE)</f>
        <v>0</v>
      </c>
      <c r="Q419" s="2" t="b">
        <f>IF(Table1938[[#This Row],[DOI]]&lt;&gt;"", FALSE,TRUE)</f>
        <v>0</v>
      </c>
      <c r="R419" s="2" t="b">
        <f>IF(Table1938[[#This Row],[Abstract]]="",TRUE,FALSE)</f>
        <v>0</v>
      </c>
      <c r="S419" s="2" t="b">
        <f>IF(OR(Table1938[[#This Row],[Document Type]]="book",Table1938[[#This Row],[Document Type]]="bookSection"),TRUE,FALSE)</f>
        <v>0</v>
      </c>
      <c r="T419" s="2" t="b">
        <f>NOT(IF(OR(Table1938[[#This Row],[Language]]&lt;&gt;"en",Table1938[[#This Row],[Language]]&lt;&gt;"EN",Table1938[[#This Row],[Language]]&lt;&gt;"spa",Table1938[[#This Row],[Language]]&lt;&gt;"SPA"),TRUE,FALSE))</f>
        <v>0</v>
      </c>
      <c r="U419" s="2" t="b">
        <f>IF(AND(Table1938[[#This Row],[EC-01]]=FALSE,Table1938[[#This Row],[EC-02]]=FALSE,Table1938[[#This Row],[EC-03]]=FALSE,Table1938[[#This Row],[EC-04]]=FALSE,Table1938[[#This Row],[EC-05]]=FALSE,Table1938[[#This Row],[EC-06]]=FALSE),TRUE,FALSE)</f>
        <v>1</v>
      </c>
      <c r="V419" s="2" t="b">
        <f>IF(Table1938[[#This Row],[Date]]&lt;&gt;"",AND(YEAR(Table1938[[#This Row],[Date]])&gt;=2010, YEAR(Table1938[[#This Row],[Date]])&lt;=2024),FALSE)</f>
        <v>1</v>
      </c>
      <c r="W419" s="2" t="b">
        <f>IF(Table1938[[#This Row],[Date]]&lt;&gt;"",AND(YEAR(Table1938[[#This Row],[Date]])&gt;=2010, YEAR(Table1938[[#This Row],[Date]])&lt;=2020),FALSE)</f>
        <v>0</v>
      </c>
      <c r="X419" s="2" t="b">
        <f>IF(AND(Table1938[[#This Row],[Accesible]]=TRUE,Table1938[[#This Row],[DOI]]&lt;&gt;""),TRUE,FALSE)</f>
        <v>1</v>
      </c>
      <c r="Y419" s="2" t="b">
        <f>OR(Table1938[[#This Row],[Document Type]]="journalArticle",Table1938[[#This Row],[Document Type]]="conferencePaper",Table1938[[#This Row],[Document Type]]="review")</f>
        <v>1</v>
      </c>
      <c r="Z419" s="2" t="b" cm="1">
        <f t="array" ref="Z419">SUMPRODUCT(--ISNUMBER(SEARCH({"dimensional analysis","dimensionless coefficients","Π","Pi","theorem","software","design","tools","development","architecture","similar"}, LOWER(Table1938[[#This Row],[Title]]))))&gt;0</f>
        <v>0</v>
      </c>
      <c r="AA419" s="2" t="b" cm="1">
        <f t="array" ref="AA419">SUMPRODUCT(--ISNUMBER(SEARCH({"dimensional analysis","dimensionless coefficients","Π","Pi","theorem","software","design","tools","development","architecture","similar"}, LOWER(Table1938[[#This Row],[Abstract]]))))&gt;0</f>
        <v>1</v>
      </c>
      <c r="AB419" s="2" t="b">
        <f>AND(OR(Table1938[[#This Row],[IC-01 @2024]:[IC-01 @2020]])=TRUE,Table1938[[#This Row],[IC-02]]=TRUE,Table1938[[#This Row],[IC-03]]=TRUE,Table1938[[#This Row],[IC-04]]=TRUE,Table1938[[#This Row],[IC-05]]=TRUE)</f>
        <v>0</v>
      </c>
      <c r="AC419" s="2" t="b">
        <f>AND(Table1938[[#This Row],[Pass-IC]]=TRUE,Table1938[[#This Row],[Pass-EC]]=TRUE)</f>
        <v>0</v>
      </c>
      <c r="AD419" s="2" t="b">
        <f>COUNTIF($D$25:D419, Table1938[[#This Row],[Title]]) = 1</f>
        <v>1</v>
      </c>
      <c r="AE419" s="2" t="b">
        <f>AND(Table1938[[#This Row],[IC + EC]:[Unique]])</f>
        <v>0</v>
      </c>
      <c r="AF419" s="2" t="b">
        <v>0</v>
      </c>
      <c r="AG419" s="2" t="b">
        <v>0</v>
      </c>
      <c r="AH419" s="2" t="b">
        <v>0</v>
      </c>
      <c r="AI419" s="2" t="b">
        <f>IF(AND(Table1938[[#This Row],[Double Check]]=TRUE,Table1938[[#This Row],[Inspected]]=TRUE,Table1938[[#This Row],[Relevant]]=TRUE),TRUE,FALSE)</f>
        <v>0</v>
      </c>
    </row>
    <row r="420" spans="1:35" ht="43" x14ac:dyDescent="0.5">
      <c r="A420" s="2">
        <v>419</v>
      </c>
      <c r="B420" s="20" t="s">
        <v>3</v>
      </c>
      <c r="C420" s="20" t="s">
        <v>3572</v>
      </c>
      <c r="D420" s="20" t="s">
        <v>2360</v>
      </c>
      <c r="E420" s="20" t="s">
        <v>2359</v>
      </c>
      <c r="F420" s="2" t="s">
        <v>2362</v>
      </c>
      <c r="G420" s="20" t="s">
        <v>923</v>
      </c>
      <c r="H420" s="36">
        <v>42085</v>
      </c>
      <c r="I420" s="20">
        <v>2015</v>
      </c>
      <c r="J420" s="20" t="s">
        <v>61</v>
      </c>
      <c r="K420" s="20" t="s">
        <v>3573</v>
      </c>
      <c r="L420" s="20" t="s">
        <v>2515</v>
      </c>
      <c r="M420" s="20" t="s">
        <v>2361</v>
      </c>
      <c r="N420" s="20" t="b">
        <v>1</v>
      </c>
      <c r="O420" s="2" t="b">
        <f>IF(Table1938[[#This Row],[Title]]="",TRUE,FALSE)</f>
        <v>0</v>
      </c>
      <c r="P420" s="2" t="b">
        <f>IF(Table1938[[#This Row],[Author]]="",TRUE,FALSE)</f>
        <v>0</v>
      </c>
      <c r="Q420" s="2" t="b">
        <f>IF(Table1938[[#This Row],[DOI]]&lt;&gt;"", FALSE,TRUE)</f>
        <v>0</v>
      </c>
      <c r="R420" s="2" t="b">
        <f>IF(Table1938[[#This Row],[Abstract]]="",TRUE,FALSE)</f>
        <v>0</v>
      </c>
      <c r="S420" s="2" t="b">
        <f>IF(OR(Table1938[[#This Row],[Document Type]]="book",Table1938[[#This Row],[Document Type]]="bookSection"),TRUE,FALSE)</f>
        <v>0</v>
      </c>
      <c r="T420" s="2" t="b">
        <f>NOT(IF(OR(Table1938[[#This Row],[Language]]&lt;&gt;"en",Table1938[[#This Row],[Language]]&lt;&gt;"EN",Table1938[[#This Row],[Language]]&lt;&gt;"spa",Table1938[[#This Row],[Language]]&lt;&gt;"SPA"),TRUE,FALSE))</f>
        <v>0</v>
      </c>
      <c r="U420" s="2" t="b">
        <f>IF(AND(Table1938[[#This Row],[EC-01]]=FALSE,Table1938[[#This Row],[EC-02]]=FALSE,Table1938[[#This Row],[EC-03]]=FALSE,Table1938[[#This Row],[EC-04]]=FALSE,Table1938[[#This Row],[EC-05]]=FALSE,Table1938[[#This Row],[EC-06]]=FALSE),TRUE,FALSE)</f>
        <v>1</v>
      </c>
      <c r="V420" s="2" t="b">
        <f>IF(Table1938[[#This Row],[Date]]&lt;&gt;"",AND(YEAR(Table1938[[#This Row],[Date]])&gt;=2010, YEAR(Table1938[[#This Row],[Date]])&lt;=2024),FALSE)</f>
        <v>1</v>
      </c>
      <c r="W420" s="2" t="b">
        <f>IF(Table1938[[#This Row],[Date]]&lt;&gt;"",AND(YEAR(Table1938[[#This Row],[Date]])&gt;=2010, YEAR(Table1938[[#This Row],[Date]])&lt;=2020),FALSE)</f>
        <v>1</v>
      </c>
      <c r="X420" s="2" t="b">
        <f>IF(AND(Table1938[[#This Row],[Accesible]]=TRUE,Table1938[[#This Row],[DOI]]&lt;&gt;""),TRUE,FALSE)</f>
        <v>1</v>
      </c>
      <c r="Y420" s="2" t="b">
        <f>OR(Table1938[[#This Row],[Document Type]]="journalArticle",Table1938[[#This Row],[Document Type]]="conferencePaper",Table1938[[#This Row],[Document Type]]="review")</f>
        <v>1</v>
      </c>
      <c r="Z420" s="2" t="b" cm="1">
        <f t="array" ref="Z420">SUMPRODUCT(--ISNUMBER(SEARCH({"dimensional analysis","dimensionless coefficients","Π","Pi","theorem","software","design","tools","development","architecture","similar"}, LOWER(Table1938[[#This Row],[Title]]))))&gt;0</f>
        <v>0</v>
      </c>
      <c r="AA420" s="2" t="b" cm="1">
        <f t="array" ref="AA420">SUMPRODUCT(--ISNUMBER(SEARCH({"dimensional analysis","dimensionless coefficients","Π","Pi","theorem","software","design","tools","development","architecture","similar"}, LOWER(Table1938[[#This Row],[Abstract]]))))&gt;0</f>
        <v>0</v>
      </c>
      <c r="AB420" s="2" t="b">
        <f>AND(OR(Table1938[[#This Row],[IC-01 @2024]:[IC-01 @2020]])=TRUE,Table1938[[#This Row],[IC-02]]=TRUE,Table1938[[#This Row],[IC-03]]=TRUE,Table1938[[#This Row],[IC-04]]=TRUE,Table1938[[#This Row],[IC-05]]=TRUE)</f>
        <v>0</v>
      </c>
      <c r="AC420" s="2" t="b">
        <f>AND(Table1938[[#This Row],[Pass-IC]]=TRUE,Table1938[[#This Row],[Pass-EC]]=TRUE)</f>
        <v>0</v>
      </c>
      <c r="AD420" s="2" t="b">
        <f>COUNTIF($D$25:D420, Table1938[[#This Row],[Title]]) = 1</f>
        <v>1</v>
      </c>
      <c r="AE420" s="2" t="b">
        <f>AND(Table1938[[#This Row],[IC + EC]:[Unique]])</f>
        <v>0</v>
      </c>
      <c r="AF420" s="2" t="b">
        <v>0</v>
      </c>
      <c r="AG420" s="2" t="b">
        <v>0</v>
      </c>
      <c r="AH420" s="2" t="b">
        <v>0</v>
      </c>
      <c r="AI420" s="2" t="b">
        <f>IF(AND(Table1938[[#This Row],[Double Check]]=TRUE,Table1938[[#This Row],[Inspected]]=TRUE,Table1938[[#This Row],[Relevant]]=TRUE),TRUE,FALSE)</f>
        <v>0</v>
      </c>
    </row>
    <row r="421" spans="1:35" ht="86" x14ac:dyDescent="0.5">
      <c r="A421" s="2">
        <v>420</v>
      </c>
      <c r="B421" s="20" t="s">
        <v>3</v>
      </c>
      <c r="C421" s="20" t="s">
        <v>3574</v>
      </c>
      <c r="D421" s="20" t="s">
        <v>1320</v>
      </c>
      <c r="E421" s="20" t="s">
        <v>1319</v>
      </c>
      <c r="F421" s="2" t="s">
        <v>1322</v>
      </c>
      <c r="G421" s="20" t="s">
        <v>968</v>
      </c>
      <c r="H421" s="36">
        <v>40816</v>
      </c>
      <c r="I421" s="20">
        <v>2011</v>
      </c>
      <c r="J421" s="20" t="s">
        <v>61</v>
      </c>
      <c r="K421" s="20" t="s">
        <v>3575</v>
      </c>
      <c r="L421" s="20" t="s">
        <v>2515</v>
      </c>
      <c r="M421" s="20" t="s">
        <v>1321</v>
      </c>
      <c r="N421" s="20" t="b">
        <v>1</v>
      </c>
      <c r="O421" s="2" t="b">
        <f>IF(Table1938[[#This Row],[Title]]="",TRUE,FALSE)</f>
        <v>0</v>
      </c>
      <c r="P421" s="2" t="b">
        <f>IF(Table1938[[#This Row],[Author]]="",TRUE,FALSE)</f>
        <v>0</v>
      </c>
      <c r="Q421" s="2" t="b">
        <f>IF(Table1938[[#This Row],[DOI]]&lt;&gt;"", FALSE,TRUE)</f>
        <v>0</v>
      </c>
      <c r="R421" s="2" t="b">
        <f>IF(Table1938[[#This Row],[Abstract]]="",TRUE,FALSE)</f>
        <v>0</v>
      </c>
      <c r="S421" s="2" t="b">
        <f>IF(OR(Table1938[[#This Row],[Document Type]]="book",Table1938[[#This Row],[Document Type]]="bookSection"),TRUE,FALSE)</f>
        <v>0</v>
      </c>
      <c r="T421" s="2" t="b">
        <f>NOT(IF(OR(Table1938[[#This Row],[Language]]&lt;&gt;"en",Table1938[[#This Row],[Language]]&lt;&gt;"EN",Table1938[[#This Row],[Language]]&lt;&gt;"spa",Table1938[[#This Row],[Language]]&lt;&gt;"SPA"),TRUE,FALSE))</f>
        <v>0</v>
      </c>
      <c r="U421" s="2" t="b">
        <f>IF(AND(Table1938[[#This Row],[EC-01]]=FALSE,Table1938[[#This Row],[EC-02]]=FALSE,Table1938[[#This Row],[EC-03]]=FALSE,Table1938[[#This Row],[EC-04]]=FALSE,Table1938[[#This Row],[EC-05]]=FALSE,Table1938[[#This Row],[EC-06]]=FALSE),TRUE,FALSE)</f>
        <v>1</v>
      </c>
      <c r="V421" s="2" t="b">
        <f>IF(Table1938[[#This Row],[Date]]&lt;&gt;"",AND(YEAR(Table1938[[#This Row],[Date]])&gt;=2010, YEAR(Table1938[[#This Row],[Date]])&lt;=2024),FALSE)</f>
        <v>1</v>
      </c>
      <c r="W421" s="2" t="b">
        <f>IF(Table1938[[#This Row],[Date]]&lt;&gt;"",AND(YEAR(Table1938[[#This Row],[Date]])&gt;=2010, YEAR(Table1938[[#This Row],[Date]])&lt;=2020),FALSE)</f>
        <v>1</v>
      </c>
      <c r="X421" s="2" t="b">
        <f>IF(AND(Table1938[[#This Row],[Accesible]]=TRUE,Table1938[[#This Row],[DOI]]&lt;&gt;""),TRUE,FALSE)</f>
        <v>1</v>
      </c>
      <c r="Y421" s="2" t="b">
        <f>OR(Table1938[[#This Row],[Document Type]]="journalArticle",Table1938[[#This Row],[Document Type]]="conferencePaper",Table1938[[#This Row],[Document Type]]="review")</f>
        <v>1</v>
      </c>
      <c r="Z421" s="2" t="b" cm="1">
        <f t="array" ref="Z421">SUMPRODUCT(--ISNUMBER(SEARCH({"dimensional analysis","dimensionless coefficients","Π","Pi","theorem","software","design","tools","development","architecture","similar"}, LOWER(Table1938[[#This Row],[Title]]))))&gt;0</f>
        <v>0</v>
      </c>
      <c r="AA421" s="2" t="b" cm="1">
        <f t="array" ref="AA421">SUMPRODUCT(--ISNUMBER(SEARCH({"dimensional analysis","dimensionless coefficients","Π","Pi","theorem","software","design","tools","development","architecture","similar"}, LOWER(Table1938[[#This Row],[Abstract]]))))&gt;0</f>
        <v>1</v>
      </c>
      <c r="AB421" s="2" t="b">
        <f>AND(OR(Table1938[[#This Row],[IC-01 @2024]:[IC-01 @2020]])=TRUE,Table1938[[#This Row],[IC-02]]=TRUE,Table1938[[#This Row],[IC-03]]=TRUE,Table1938[[#This Row],[IC-04]]=TRUE,Table1938[[#This Row],[IC-05]]=TRUE)</f>
        <v>0</v>
      </c>
      <c r="AC421" s="2" t="b">
        <f>AND(Table1938[[#This Row],[Pass-IC]]=TRUE,Table1938[[#This Row],[Pass-EC]]=TRUE)</f>
        <v>0</v>
      </c>
      <c r="AD421" s="2" t="b">
        <f>COUNTIF($D$25:D421, Table1938[[#This Row],[Title]]) = 1</f>
        <v>1</v>
      </c>
      <c r="AE421" s="2" t="b">
        <f>AND(Table1938[[#This Row],[IC + EC]:[Unique]])</f>
        <v>0</v>
      </c>
      <c r="AF421" s="2" t="b">
        <v>0</v>
      </c>
      <c r="AG421" s="2" t="b">
        <v>0</v>
      </c>
      <c r="AH421" s="2" t="b">
        <v>0</v>
      </c>
      <c r="AI421" s="2" t="b">
        <f>IF(AND(Table1938[[#This Row],[Double Check]]=TRUE,Table1938[[#This Row],[Inspected]]=TRUE,Table1938[[#This Row],[Relevant]]=TRUE),TRUE,FALSE)</f>
        <v>0</v>
      </c>
    </row>
    <row r="422" spans="1:35" ht="71.7" x14ac:dyDescent="0.5">
      <c r="A422" s="2">
        <v>421</v>
      </c>
      <c r="B422" s="20" t="s">
        <v>3</v>
      </c>
      <c r="C422" s="20" t="s">
        <v>3576</v>
      </c>
      <c r="D422" s="20" t="s">
        <v>1713</v>
      </c>
      <c r="E422" s="20" t="s">
        <v>1712</v>
      </c>
      <c r="F422" s="2" t="s">
        <v>1715</v>
      </c>
      <c r="G422" s="20" t="s">
        <v>928</v>
      </c>
      <c r="H422" s="36">
        <v>44562</v>
      </c>
      <c r="I422" s="20">
        <v>2022</v>
      </c>
      <c r="J422" s="20" t="s">
        <v>61</v>
      </c>
      <c r="K422" s="20" t="s">
        <v>3577</v>
      </c>
      <c r="L422" s="20" t="s">
        <v>2515</v>
      </c>
      <c r="M422" s="20" t="s">
        <v>1714</v>
      </c>
      <c r="N422" s="20" t="b">
        <v>1</v>
      </c>
      <c r="O422" s="2" t="b">
        <f>IF(Table1938[[#This Row],[Title]]="",TRUE,FALSE)</f>
        <v>0</v>
      </c>
      <c r="P422" s="2" t="b">
        <f>IF(Table1938[[#This Row],[Author]]="",TRUE,FALSE)</f>
        <v>0</v>
      </c>
      <c r="Q422" s="2" t="b">
        <f>IF(Table1938[[#This Row],[DOI]]&lt;&gt;"", FALSE,TRUE)</f>
        <v>0</v>
      </c>
      <c r="R422" s="2" t="b">
        <f>IF(Table1938[[#This Row],[Abstract]]="",TRUE,FALSE)</f>
        <v>0</v>
      </c>
      <c r="S422" s="2" t="b">
        <f>IF(OR(Table1938[[#This Row],[Document Type]]="book",Table1938[[#This Row],[Document Type]]="bookSection"),TRUE,FALSE)</f>
        <v>0</v>
      </c>
      <c r="T422" s="2" t="b">
        <f>NOT(IF(OR(Table1938[[#This Row],[Language]]&lt;&gt;"en",Table1938[[#This Row],[Language]]&lt;&gt;"EN",Table1938[[#This Row],[Language]]&lt;&gt;"spa",Table1938[[#This Row],[Language]]&lt;&gt;"SPA"),TRUE,FALSE))</f>
        <v>0</v>
      </c>
      <c r="U422" s="2" t="b">
        <f>IF(AND(Table1938[[#This Row],[EC-01]]=FALSE,Table1938[[#This Row],[EC-02]]=FALSE,Table1938[[#This Row],[EC-03]]=FALSE,Table1938[[#This Row],[EC-04]]=FALSE,Table1938[[#This Row],[EC-05]]=FALSE,Table1938[[#This Row],[EC-06]]=FALSE),TRUE,FALSE)</f>
        <v>1</v>
      </c>
      <c r="V422" s="2" t="b">
        <f>IF(Table1938[[#This Row],[Date]]&lt;&gt;"",AND(YEAR(Table1938[[#This Row],[Date]])&gt;=2010, YEAR(Table1938[[#This Row],[Date]])&lt;=2024),FALSE)</f>
        <v>1</v>
      </c>
      <c r="W422" s="2" t="b">
        <f>IF(Table1938[[#This Row],[Date]]&lt;&gt;"",AND(YEAR(Table1938[[#This Row],[Date]])&gt;=2010, YEAR(Table1938[[#This Row],[Date]])&lt;=2020),FALSE)</f>
        <v>0</v>
      </c>
      <c r="X422" s="2" t="b">
        <f>IF(AND(Table1938[[#This Row],[Accesible]]=TRUE,Table1938[[#This Row],[DOI]]&lt;&gt;""),TRUE,FALSE)</f>
        <v>1</v>
      </c>
      <c r="Y422" s="2" t="b">
        <f>OR(Table1938[[#This Row],[Document Type]]="journalArticle",Table1938[[#This Row],[Document Type]]="conferencePaper",Table1938[[#This Row],[Document Type]]="review")</f>
        <v>1</v>
      </c>
      <c r="Z422" s="2" t="b" cm="1">
        <f t="array" ref="Z422">SUMPRODUCT(--ISNUMBER(SEARCH({"dimensional analysis","dimensionless coefficients","Π","Pi","theorem","software","design","tools","development","architecture","similar"}, LOWER(Table1938[[#This Row],[Title]]))))&gt;0</f>
        <v>1</v>
      </c>
      <c r="AA422" s="2" t="b" cm="1">
        <f t="array" ref="AA422">SUMPRODUCT(--ISNUMBER(SEARCH({"dimensional analysis","dimensionless coefficients","Π","Pi","theorem","software","design","tools","development","architecture","similar"}, LOWER(Table1938[[#This Row],[Abstract]]))))&gt;0</f>
        <v>1</v>
      </c>
      <c r="AB422" s="2" t="b">
        <f>AND(OR(Table1938[[#This Row],[IC-01 @2024]:[IC-01 @2020]])=TRUE,Table1938[[#This Row],[IC-02]]=TRUE,Table1938[[#This Row],[IC-03]]=TRUE,Table1938[[#This Row],[IC-04]]=TRUE,Table1938[[#This Row],[IC-05]]=TRUE)</f>
        <v>1</v>
      </c>
      <c r="AC422" s="2" t="b">
        <f>AND(Table1938[[#This Row],[Pass-IC]]=TRUE,Table1938[[#This Row],[Pass-EC]]=TRUE)</f>
        <v>1</v>
      </c>
      <c r="AD422" s="2" t="b">
        <f>COUNTIF($D$25:D422, Table1938[[#This Row],[Title]]) = 1</f>
        <v>1</v>
      </c>
      <c r="AE422" s="2" t="b">
        <f>AND(Table1938[[#This Row],[IC + EC]:[Unique]])</f>
        <v>1</v>
      </c>
      <c r="AF422" s="2" t="b">
        <v>1</v>
      </c>
      <c r="AG422" s="2" t="b">
        <v>0</v>
      </c>
      <c r="AH422" s="2" t="b">
        <v>0</v>
      </c>
      <c r="AI422" s="2" t="b">
        <f>IF(AND(Table1938[[#This Row],[Double Check]]=TRUE,Table1938[[#This Row],[Inspected]]=TRUE,Table1938[[#This Row],[Relevant]]=TRUE),TRUE,FALSE)</f>
        <v>0</v>
      </c>
    </row>
    <row r="423" spans="1:35" ht="57.35" x14ac:dyDescent="0.5">
      <c r="A423" s="2">
        <v>422</v>
      </c>
      <c r="B423" s="20" t="s">
        <v>3</v>
      </c>
      <c r="C423" s="20" t="s">
        <v>3578</v>
      </c>
      <c r="D423" s="20" t="s">
        <v>2088</v>
      </c>
      <c r="E423" s="20" t="s">
        <v>2087</v>
      </c>
      <c r="F423" s="2" t="s">
        <v>2091</v>
      </c>
      <c r="G423" s="20" t="s">
        <v>2089</v>
      </c>
      <c r="H423" s="36">
        <v>44896</v>
      </c>
      <c r="I423" s="20">
        <v>2022</v>
      </c>
      <c r="J423" s="20" t="s">
        <v>61</v>
      </c>
      <c r="K423" s="20" t="s">
        <v>3579</v>
      </c>
      <c r="L423" s="20" t="s">
        <v>2515</v>
      </c>
      <c r="M423" s="20" t="s">
        <v>2090</v>
      </c>
      <c r="N423" s="20" t="b">
        <v>1</v>
      </c>
      <c r="O423" s="2" t="b">
        <f>IF(Table1938[[#This Row],[Title]]="",TRUE,FALSE)</f>
        <v>0</v>
      </c>
      <c r="P423" s="2" t="b">
        <f>IF(Table1938[[#This Row],[Author]]="",TRUE,FALSE)</f>
        <v>0</v>
      </c>
      <c r="Q423" s="2" t="b">
        <f>IF(Table1938[[#This Row],[DOI]]&lt;&gt;"", FALSE,TRUE)</f>
        <v>0</v>
      </c>
      <c r="R423" s="2" t="b">
        <f>IF(Table1938[[#This Row],[Abstract]]="",TRUE,FALSE)</f>
        <v>0</v>
      </c>
      <c r="S423" s="2" t="b">
        <f>IF(OR(Table1938[[#This Row],[Document Type]]="book",Table1938[[#This Row],[Document Type]]="bookSection"),TRUE,FALSE)</f>
        <v>0</v>
      </c>
      <c r="T423" s="2" t="b">
        <f>NOT(IF(OR(Table1938[[#This Row],[Language]]&lt;&gt;"en",Table1938[[#This Row],[Language]]&lt;&gt;"EN",Table1938[[#This Row],[Language]]&lt;&gt;"spa",Table1938[[#This Row],[Language]]&lt;&gt;"SPA"),TRUE,FALSE))</f>
        <v>0</v>
      </c>
      <c r="U423" s="2" t="b">
        <f>IF(AND(Table1938[[#This Row],[EC-01]]=FALSE,Table1938[[#This Row],[EC-02]]=FALSE,Table1938[[#This Row],[EC-03]]=FALSE,Table1938[[#This Row],[EC-04]]=FALSE,Table1938[[#This Row],[EC-05]]=FALSE,Table1938[[#This Row],[EC-06]]=FALSE),TRUE,FALSE)</f>
        <v>1</v>
      </c>
      <c r="V423" s="2" t="b">
        <f>IF(Table1938[[#This Row],[Date]]&lt;&gt;"",AND(YEAR(Table1938[[#This Row],[Date]])&gt;=2010, YEAR(Table1938[[#This Row],[Date]])&lt;=2024),FALSE)</f>
        <v>1</v>
      </c>
      <c r="W423" s="2" t="b">
        <f>IF(Table1938[[#This Row],[Date]]&lt;&gt;"",AND(YEAR(Table1938[[#This Row],[Date]])&gt;=2010, YEAR(Table1938[[#This Row],[Date]])&lt;=2020),FALSE)</f>
        <v>0</v>
      </c>
      <c r="X423" s="2" t="b">
        <f>IF(AND(Table1938[[#This Row],[Accesible]]=TRUE,Table1938[[#This Row],[DOI]]&lt;&gt;""),TRUE,FALSE)</f>
        <v>1</v>
      </c>
      <c r="Y423" s="2" t="b">
        <f>OR(Table1938[[#This Row],[Document Type]]="journalArticle",Table1938[[#This Row],[Document Type]]="conferencePaper",Table1938[[#This Row],[Document Type]]="review")</f>
        <v>1</v>
      </c>
      <c r="Z423" s="2" t="b" cm="1">
        <f t="array" ref="Z423">SUMPRODUCT(--ISNUMBER(SEARCH({"dimensional analysis","dimensionless coefficients","Π","Pi","theorem","software","design","tools","development","architecture","similar"}, LOWER(Table1938[[#This Row],[Title]]))))&gt;0</f>
        <v>1</v>
      </c>
      <c r="AA423" s="2" t="b" cm="1">
        <f t="array" ref="AA423">SUMPRODUCT(--ISNUMBER(SEARCH({"dimensional analysis","dimensionless coefficients","Π","Pi","theorem","software","design","tools","development","architecture","similar"}, LOWER(Table1938[[#This Row],[Abstract]]))))&gt;0</f>
        <v>1</v>
      </c>
      <c r="AB423" s="2" t="b">
        <f>AND(OR(Table1938[[#This Row],[IC-01 @2024]:[IC-01 @2020]])=TRUE,Table1938[[#This Row],[IC-02]]=TRUE,Table1938[[#This Row],[IC-03]]=TRUE,Table1938[[#This Row],[IC-04]]=TRUE,Table1938[[#This Row],[IC-05]]=TRUE)</f>
        <v>1</v>
      </c>
      <c r="AC423" s="2" t="b">
        <f>AND(Table1938[[#This Row],[Pass-IC]]=TRUE,Table1938[[#This Row],[Pass-EC]]=TRUE)</f>
        <v>1</v>
      </c>
      <c r="AD423" s="2" t="b">
        <f>COUNTIF($D$25:D423, Table1938[[#This Row],[Title]]) = 1</f>
        <v>1</v>
      </c>
      <c r="AE423" s="2" t="b">
        <f>AND(Table1938[[#This Row],[IC + EC]:[Unique]])</f>
        <v>1</v>
      </c>
      <c r="AF423" s="2" t="b">
        <v>1</v>
      </c>
      <c r="AG423" s="2" t="b">
        <v>0</v>
      </c>
      <c r="AH423" s="2" t="b">
        <v>0</v>
      </c>
      <c r="AI423" s="2" t="b">
        <f>IF(AND(Table1938[[#This Row],[Double Check]]=TRUE,Table1938[[#This Row],[Inspected]]=TRUE,Table1938[[#This Row],[Relevant]]=TRUE),TRUE,FALSE)</f>
        <v>0</v>
      </c>
    </row>
    <row r="424" spans="1:35" ht="43" x14ac:dyDescent="0.5">
      <c r="A424" s="2">
        <v>423</v>
      </c>
      <c r="B424" s="20" t="s">
        <v>3</v>
      </c>
      <c r="C424" s="20" t="s">
        <v>3580</v>
      </c>
      <c r="D424" s="20" t="s">
        <v>2280</v>
      </c>
      <c r="E424" s="20" t="s">
        <v>2279</v>
      </c>
      <c r="F424" s="2" t="s">
        <v>2282</v>
      </c>
      <c r="G424" s="20" t="s">
        <v>942</v>
      </c>
      <c r="H424" s="36">
        <v>43388</v>
      </c>
      <c r="I424" s="20">
        <v>2018</v>
      </c>
      <c r="J424" s="20" t="s">
        <v>61</v>
      </c>
      <c r="K424" s="20" t="s">
        <v>3581</v>
      </c>
      <c r="L424" s="20" t="s">
        <v>2515</v>
      </c>
      <c r="M424" s="20" t="s">
        <v>2281</v>
      </c>
      <c r="N424" s="20" t="b">
        <v>1</v>
      </c>
      <c r="O424" s="2" t="b">
        <f>IF(Table1938[[#This Row],[Title]]="",TRUE,FALSE)</f>
        <v>0</v>
      </c>
      <c r="P424" s="2" t="b">
        <f>IF(Table1938[[#This Row],[Author]]="",TRUE,FALSE)</f>
        <v>0</v>
      </c>
      <c r="Q424" s="2" t="b">
        <f>IF(Table1938[[#This Row],[DOI]]&lt;&gt;"", FALSE,TRUE)</f>
        <v>0</v>
      </c>
      <c r="R424" s="2" t="b">
        <f>IF(Table1938[[#This Row],[Abstract]]="",TRUE,FALSE)</f>
        <v>0</v>
      </c>
      <c r="S424" s="2" t="b">
        <f>IF(OR(Table1938[[#This Row],[Document Type]]="book",Table1938[[#This Row],[Document Type]]="bookSection"),TRUE,FALSE)</f>
        <v>0</v>
      </c>
      <c r="T424" s="2" t="b">
        <f>NOT(IF(OR(Table1938[[#This Row],[Language]]&lt;&gt;"en",Table1938[[#This Row],[Language]]&lt;&gt;"EN",Table1938[[#This Row],[Language]]&lt;&gt;"spa",Table1938[[#This Row],[Language]]&lt;&gt;"SPA"),TRUE,FALSE))</f>
        <v>0</v>
      </c>
      <c r="U424" s="2" t="b">
        <f>IF(AND(Table1938[[#This Row],[EC-01]]=FALSE,Table1938[[#This Row],[EC-02]]=FALSE,Table1938[[#This Row],[EC-03]]=FALSE,Table1938[[#This Row],[EC-04]]=FALSE,Table1938[[#This Row],[EC-05]]=FALSE,Table1938[[#This Row],[EC-06]]=FALSE),TRUE,FALSE)</f>
        <v>1</v>
      </c>
      <c r="V424" s="2" t="b">
        <f>IF(Table1938[[#This Row],[Date]]&lt;&gt;"",AND(YEAR(Table1938[[#This Row],[Date]])&gt;=2010, YEAR(Table1938[[#This Row],[Date]])&lt;=2024),FALSE)</f>
        <v>1</v>
      </c>
      <c r="W424" s="2" t="b">
        <f>IF(Table1938[[#This Row],[Date]]&lt;&gt;"",AND(YEAR(Table1938[[#This Row],[Date]])&gt;=2010, YEAR(Table1938[[#This Row],[Date]])&lt;=2020),FALSE)</f>
        <v>1</v>
      </c>
      <c r="X424" s="2" t="b">
        <f>IF(AND(Table1938[[#This Row],[Accesible]]=TRUE,Table1938[[#This Row],[DOI]]&lt;&gt;""),TRUE,FALSE)</f>
        <v>1</v>
      </c>
      <c r="Y424" s="2" t="b">
        <f>OR(Table1938[[#This Row],[Document Type]]="journalArticle",Table1938[[#This Row],[Document Type]]="conferencePaper",Table1938[[#This Row],[Document Type]]="review")</f>
        <v>1</v>
      </c>
      <c r="Z424" s="2" t="b" cm="1">
        <f t="array" ref="Z424">SUMPRODUCT(--ISNUMBER(SEARCH({"dimensional analysis","dimensionless coefficients","Π","Pi","theorem","software","design","tools","development","architecture","similar"}, LOWER(Table1938[[#This Row],[Title]]))))&gt;0</f>
        <v>0</v>
      </c>
      <c r="AA424" s="2" t="b" cm="1">
        <f t="array" ref="AA424">SUMPRODUCT(--ISNUMBER(SEARCH({"dimensional analysis","dimensionless coefficients","Π","Pi","theorem","software","design","tools","development","architecture","similar"}, LOWER(Table1938[[#This Row],[Abstract]]))))&gt;0</f>
        <v>1</v>
      </c>
      <c r="AB424" s="2" t="b">
        <f>AND(OR(Table1938[[#This Row],[IC-01 @2024]:[IC-01 @2020]])=TRUE,Table1938[[#This Row],[IC-02]]=TRUE,Table1938[[#This Row],[IC-03]]=TRUE,Table1938[[#This Row],[IC-04]]=TRUE,Table1938[[#This Row],[IC-05]]=TRUE)</f>
        <v>0</v>
      </c>
      <c r="AC424" s="2" t="b">
        <f>AND(Table1938[[#This Row],[Pass-IC]]=TRUE,Table1938[[#This Row],[Pass-EC]]=TRUE)</f>
        <v>0</v>
      </c>
      <c r="AD424" s="2" t="b">
        <f>COUNTIF($D$25:D424, Table1938[[#This Row],[Title]]) = 1</f>
        <v>1</v>
      </c>
      <c r="AE424" s="2" t="b">
        <f>AND(Table1938[[#This Row],[IC + EC]:[Unique]])</f>
        <v>0</v>
      </c>
      <c r="AF424" s="2" t="b">
        <v>0</v>
      </c>
      <c r="AG424" s="2" t="b">
        <v>0</v>
      </c>
      <c r="AH424" s="2" t="b">
        <v>0</v>
      </c>
      <c r="AI424" s="2" t="b">
        <f>IF(AND(Table1938[[#This Row],[Double Check]]=TRUE,Table1938[[#This Row],[Inspected]]=TRUE,Table1938[[#This Row],[Relevant]]=TRUE),TRUE,FALSE)</f>
        <v>0</v>
      </c>
    </row>
    <row r="425" spans="1:35" ht="57.35" x14ac:dyDescent="0.5">
      <c r="A425" s="2">
        <v>424</v>
      </c>
      <c r="B425" s="20" t="s">
        <v>3</v>
      </c>
      <c r="C425" s="20" t="s">
        <v>3582</v>
      </c>
      <c r="D425" s="20" t="s">
        <v>302</v>
      </c>
      <c r="E425" s="20" t="s">
        <v>327</v>
      </c>
      <c r="F425" s="2" t="s">
        <v>352</v>
      </c>
      <c r="G425" s="20" t="s">
        <v>1016</v>
      </c>
      <c r="H425" s="36">
        <v>42675</v>
      </c>
      <c r="I425" s="20">
        <v>2016</v>
      </c>
      <c r="J425" s="20" t="s">
        <v>61</v>
      </c>
      <c r="K425" s="20" t="s">
        <v>3583</v>
      </c>
      <c r="L425" s="20" t="s">
        <v>2515</v>
      </c>
      <c r="M425" s="20" t="s">
        <v>377</v>
      </c>
      <c r="N425" s="20" t="b">
        <v>1</v>
      </c>
      <c r="O425" s="2" t="b">
        <f>IF(Table1938[[#This Row],[Title]]="",TRUE,FALSE)</f>
        <v>0</v>
      </c>
      <c r="P425" s="2" t="b">
        <f>IF(Table1938[[#This Row],[Author]]="",TRUE,FALSE)</f>
        <v>0</v>
      </c>
      <c r="Q425" s="2" t="b">
        <f>IF(Table1938[[#This Row],[DOI]]&lt;&gt;"", FALSE,TRUE)</f>
        <v>0</v>
      </c>
      <c r="R425" s="2" t="b">
        <f>IF(Table1938[[#This Row],[Abstract]]="",TRUE,FALSE)</f>
        <v>0</v>
      </c>
      <c r="S425" s="2" t="b">
        <f>IF(OR(Table1938[[#This Row],[Document Type]]="book",Table1938[[#This Row],[Document Type]]="bookSection"),TRUE,FALSE)</f>
        <v>0</v>
      </c>
      <c r="T425" s="2" t="b">
        <f>NOT(IF(OR(Table1938[[#This Row],[Language]]&lt;&gt;"en",Table1938[[#This Row],[Language]]&lt;&gt;"EN",Table1938[[#This Row],[Language]]&lt;&gt;"spa",Table1938[[#This Row],[Language]]&lt;&gt;"SPA"),TRUE,FALSE))</f>
        <v>0</v>
      </c>
      <c r="U425" s="2" t="b">
        <f>IF(AND(Table1938[[#This Row],[EC-01]]=FALSE,Table1938[[#This Row],[EC-02]]=FALSE,Table1938[[#This Row],[EC-03]]=FALSE,Table1938[[#This Row],[EC-04]]=FALSE,Table1938[[#This Row],[EC-05]]=FALSE,Table1938[[#This Row],[EC-06]]=FALSE),TRUE,FALSE)</f>
        <v>1</v>
      </c>
      <c r="V425" s="2" t="b">
        <f>IF(Table1938[[#This Row],[Date]]&lt;&gt;"",AND(YEAR(Table1938[[#This Row],[Date]])&gt;=2010, YEAR(Table1938[[#This Row],[Date]])&lt;=2024),FALSE)</f>
        <v>1</v>
      </c>
      <c r="W425" s="2" t="b">
        <f>IF(Table1938[[#This Row],[Date]]&lt;&gt;"",AND(YEAR(Table1938[[#This Row],[Date]])&gt;=2010, YEAR(Table1938[[#This Row],[Date]])&lt;=2020),FALSE)</f>
        <v>1</v>
      </c>
      <c r="X425" s="2" t="b">
        <f>IF(AND(Table1938[[#This Row],[Accesible]]=TRUE,Table1938[[#This Row],[DOI]]&lt;&gt;""),TRUE,FALSE)</f>
        <v>1</v>
      </c>
      <c r="Y425" s="2" t="b">
        <f>OR(Table1938[[#This Row],[Document Type]]="journalArticle",Table1938[[#This Row],[Document Type]]="conferencePaper",Table1938[[#This Row],[Document Type]]="review")</f>
        <v>1</v>
      </c>
      <c r="Z425" s="2" t="b" cm="1">
        <f t="array" ref="Z425">SUMPRODUCT(--ISNUMBER(SEARCH({"dimensional analysis","dimensionless coefficients","Π","Pi","theorem","software","design","tools","development","architecture","similar"}, LOWER(Table1938[[#This Row],[Title]]))))&gt;0</f>
        <v>0</v>
      </c>
      <c r="AA425" s="2" t="b" cm="1">
        <f t="array" ref="AA425">SUMPRODUCT(--ISNUMBER(SEARCH({"dimensional analysis","dimensionless coefficients","Π","Pi","theorem","software","design","tools","development","architecture","similar"}, LOWER(Table1938[[#This Row],[Abstract]]))))&gt;0</f>
        <v>1</v>
      </c>
      <c r="AB425" s="2" t="b">
        <f>AND(OR(Table1938[[#This Row],[IC-01 @2024]:[IC-01 @2020]])=TRUE,Table1938[[#This Row],[IC-02]]=TRUE,Table1938[[#This Row],[IC-03]]=TRUE,Table1938[[#This Row],[IC-04]]=TRUE,Table1938[[#This Row],[IC-05]]=TRUE)</f>
        <v>0</v>
      </c>
      <c r="AC425" s="2" t="b">
        <f>AND(Table1938[[#This Row],[Pass-IC]]=TRUE,Table1938[[#This Row],[Pass-EC]]=TRUE)</f>
        <v>0</v>
      </c>
      <c r="AD425" s="2" t="b">
        <f>COUNTIF($D$25:D425, Table1938[[#This Row],[Title]]) = 1</f>
        <v>1</v>
      </c>
      <c r="AE425" s="2" t="b">
        <f>AND(Table1938[[#This Row],[IC + EC]:[Unique]])</f>
        <v>0</v>
      </c>
      <c r="AF425" s="2" t="b">
        <v>0</v>
      </c>
      <c r="AG425" s="2" t="b">
        <v>0</v>
      </c>
      <c r="AH425" s="2" t="b">
        <v>0</v>
      </c>
      <c r="AI425" s="2" t="b">
        <f>IF(AND(Table1938[[#This Row],[Double Check]]=TRUE,Table1938[[#This Row],[Inspected]]=TRUE,Table1938[[#This Row],[Relevant]]=TRUE),TRUE,FALSE)</f>
        <v>0</v>
      </c>
    </row>
    <row r="426" spans="1:35" ht="86" x14ac:dyDescent="0.5">
      <c r="A426" s="2">
        <v>425</v>
      </c>
      <c r="B426" s="20" t="s">
        <v>3</v>
      </c>
      <c r="C426" s="20" t="s">
        <v>3584</v>
      </c>
      <c r="D426" s="20" t="s">
        <v>1590</v>
      </c>
      <c r="E426" s="20" t="s">
        <v>1589</v>
      </c>
      <c r="F426" s="2" t="s">
        <v>1592</v>
      </c>
      <c r="G426" s="20" t="s">
        <v>960</v>
      </c>
      <c r="H426" s="36">
        <v>45387</v>
      </c>
      <c r="I426" s="20">
        <v>2024</v>
      </c>
      <c r="J426" s="20" t="s">
        <v>61</v>
      </c>
      <c r="K426" s="20" t="s">
        <v>3585</v>
      </c>
      <c r="L426" s="20" t="s">
        <v>2515</v>
      </c>
      <c r="M426" s="20" t="s">
        <v>1591</v>
      </c>
      <c r="N426" s="20" t="b">
        <v>1</v>
      </c>
      <c r="O426" s="2" t="b">
        <f>IF(Table1938[[#This Row],[Title]]="",TRUE,FALSE)</f>
        <v>0</v>
      </c>
      <c r="P426" s="2" t="b">
        <f>IF(Table1938[[#This Row],[Author]]="",TRUE,FALSE)</f>
        <v>0</v>
      </c>
      <c r="Q426" s="2" t="b">
        <f>IF(Table1938[[#This Row],[DOI]]&lt;&gt;"", FALSE,TRUE)</f>
        <v>0</v>
      </c>
      <c r="R426" s="2" t="b">
        <f>IF(Table1938[[#This Row],[Abstract]]="",TRUE,FALSE)</f>
        <v>0</v>
      </c>
      <c r="S426" s="2" t="b">
        <f>IF(OR(Table1938[[#This Row],[Document Type]]="book",Table1938[[#This Row],[Document Type]]="bookSection"),TRUE,FALSE)</f>
        <v>0</v>
      </c>
      <c r="T426" s="2" t="b">
        <f>NOT(IF(OR(Table1938[[#This Row],[Language]]&lt;&gt;"en",Table1938[[#This Row],[Language]]&lt;&gt;"EN",Table1938[[#This Row],[Language]]&lt;&gt;"spa",Table1938[[#This Row],[Language]]&lt;&gt;"SPA"),TRUE,FALSE))</f>
        <v>0</v>
      </c>
      <c r="U426" s="2" t="b">
        <f>IF(AND(Table1938[[#This Row],[EC-01]]=FALSE,Table1938[[#This Row],[EC-02]]=FALSE,Table1938[[#This Row],[EC-03]]=FALSE,Table1938[[#This Row],[EC-04]]=FALSE,Table1938[[#This Row],[EC-05]]=FALSE,Table1938[[#This Row],[EC-06]]=FALSE),TRUE,FALSE)</f>
        <v>1</v>
      </c>
      <c r="V426" s="2" t="b">
        <f>IF(Table1938[[#This Row],[Date]]&lt;&gt;"",AND(YEAR(Table1938[[#This Row],[Date]])&gt;=2010, YEAR(Table1938[[#This Row],[Date]])&lt;=2024),FALSE)</f>
        <v>1</v>
      </c>
      <c r="W426" s="2" t="b">
        <f>IF(Table1938[[#This Row],[Date]]&lt;&gt;"",AND(YEAR(Table1938[[#This Row],[Date]])&gt;=2010, YEAR(Table1938[[#This Row],[Date]])&lt;=2020),FALSE)</f>
        <v>0</v>
      </c>
      <c r="X426" s="2" t="b">
        <f>IF(AND(Table1938[[#This Row],[Accesible]]=TRUE,Table1938[[#This Row],[DOI]]&lt;&gt;""),TRUE,FALSE)</f>
        <v>1</v>
      </c>
      <c r="Y426" s="2" t="b">
        <f>OR(Table1938[[#This Row],[Document Type]]="journalArticle",Table1938[[#This Row],[Document Type]]="conferencePaper",Table1938[[#This Row],[Document Type]]="review")</f>
        <v>1</v>
      </c>
      <c r="Z426" s="2" t="b" cm="1">
        <f t="array" ref="Z426">SUMPRODUCT(--ISNUMBER(SEARCH({"dimensional analysis","dimensionless coefficients","Π","Pi","theorem","software","design","tools","development","architecture","similar"}, LOWER(Table1938[[#This Row],[Title]]))))&gt;0</f>
        <v>0</v>
      </c>
      <c r="AA426" s="2" t="b" cm="1">
        <f t="array" ref="AA426">SUMPRODUCT(--ISNUMBER(SEARCH({"dimensional analysis","dimensionless coefficients","Π","Pi","theorem","software","design","tools","development","architecture","similar"}, LOWER(Table1938[[#This Row],[Abstract]]))))&gt;0</f>
        <v>1</v>
      </c>
      <c r="AB426" s="2" t="b">
        <f>AND(OR(Table1938[[#This Row],[IC-01 @2024]:[IC-01 @2020]])=TRUE,Table1938[[#This Row],[IC-02]]=TRUE,Table1938[[#This Row],[IC-03]]=TRUE,Table1938[[#This Row],[IC-04]]=TRUE,Table1938[[#This Row],[IC-05]]=TRUE)</f>
        <v>0</v>
      </c>
      <c r="AC426" s="2" t="b">
        <f>AND(Table1938[[#This Row],[Pass-IC]]=TRUE,Table1938[[#This Row],[Pass-EC]]=TRUE)</f>
        <v>0</v>
      </c>
      <c r="AD426" s="2" t="b">
        <f>COUNTIF($D$25:D426, Table1938[[#This Row],[Title]]) = 1</f>
        <v>1</v>
      </c>
      <c r="AE426" s="2" t="b">
        <f>AND(Table1938[[#This Row],[IC + EC]:[Unique]])</f>
        <v>0</v>
      </c>
      <c r="AF426" s="2" t="b">
        <v>0</v>
      </c>
      <c r="AG426" s="2" t="b">
        <v>0</v>
      </c>
      <c r="AH426" s="2" t="b">
        <v>0</v>
      </c>
      <c r="AI426" s="2" t="b">
        <f>IF(AND(Table1938[[#This Row],[Double Check]]=TRUE,Table1938[[#This Row],[Inspected]]=TRUE,Table1938[[#This Row],[Relevant]]=TRUE),TRUE,FALSE)</f>
        <v>0</v>
      </c>
    </row>
    <row r="427" spans="1:35" ht="71.7" x14ac:dyDescent="0.5">
      <c r="A427" s="2">
        <v>426</v>
      </c>
      <c r="B427" s="20" t="s">
        <v>3</v>
      </c>
      <c r="C427" s="20" t="s">
        <v>3586</v>
      </c>
      <c r="D427" s="20" t="s">
        <v>2256</v>
      </c>
      <c r="E427" s="20" t="s">
        <v>2255</v>
      </c>
      <c r="F427" s="2" t="s">
        <v>2259</v>
      </c>
      <c r="G427" s="20" t="s">
        <v>2257</v>
      </c>
      <c r="H427" s="36">
        <v>44520</v>
      </c>
      <c r="I427" s="20">
        <v>2021</v>
      </c>
      <c r="J427" s="20" t="s">
        <v>61</v>
      </c>
      <c r="K427" s="20" t="s">
        <v>3587</v>
      </c>
      <c r="L427" s="20" t="s">
        <v>2515</v>
      </c>
      <c r="M427" s="20" t="s">
        <v>2258</v>
      </c>
      <c r="N427" s="20" t="b">
        <v>1</v>
      </c>
      <c r="O427" s="2" t="b">
        <f>IF(Table1938[[#This Row],[Title]]="",TRUE,FALSE)</f>
        <v>0</v>
      </c>
      <c r="P427" s="2" t="b">
        <f>IF(Table1938[[#This Row],[Author]]="",TRUE,FALSE)</f>
        <v>0</v>
      </c>
      <c r="Q427" s="2" t="b">
        <f>IF(Table1938[[#This Row],[DOI]]&lt;&gt;"", FALSE,TRUE)</f>
        <v>0</v>
      </c>
      <c r="R427" s="2" t="b">
        <f>IF(Table1938[[#This Row],[Abstract]]="",TRUE,FALSE)</f>
        <v>0</v>
      </c>
      <c r="S427" s="2" t="b">
        <f>IF(OR(Table1938[[#This Row],[Document Type]]="book",Table1938[[#This Row],[Document Type]]="bookSection"),TRUE,FALSE)</f>
        <v>0</v>
      </c>
      <c r="T427" s="2" t="b">
        <f>NOT(IF(OR(Table1938[[#This Row],[Language]]&lt;&gt;"en",Table1938[[#This Row],[Language]]&lt;&gt;"EN",Table1938[[#This Row],[Language]]&lt;&gt;"spa",Table1938[[#This Row],[Language]]&lt;&gt;"SPA"),TRUE,FALSE))</f>
        <v>0</v>
      </c>
      <c r="U427" s="2" t="b">
        <f>IF(AND(Table1938[[#This Row],[EC-01]]=FALSE,Table1938[[#This Row],[EC-02]]=FALSE,Table1938[[#This Row],[EC-03]]=FALSE,Table1938[[#This Row],[EC-04]]=FALSE,Table1938[[#This Row],[EC-05]]=FALSE,Table1938[[#This Row],[EC-06]]=FALSE),TRUE,FALSE)</f>
        <v>1</v>
      </c>
      <c r="V427" s="2" t="b">
        <f>IF(Table1938[[#This Row],[Date]]&lt;&gt;"",AND(YEAR(Table1938[[#This Row],[Date]])&gt;=2010, YEAR(Table1938[[#This Row],[Date]])&lt;=2024),FALSE)</f>
        <v>1</v>
      </c>
      <c r="W427" s="2" t="b">
        <f>IF(Table1938[[#This Row],[Date]]&lt;&gt;"",AND(YEAR(Table1938[[#This Row],[Date]])&gt;=2010, YEAR(Table1938[[#This Row],[Date]])&lt;=2020),FALSE)</f>
        <v>0</v>
      </c>
      <c r="X427" s="2" t="b">
        <f>IF(AND(Table1938[[#This Row],[Accesible]]=TRUE,Table1938[[#This Row],[DOI]]&lt;&gt;""),TRUE,FALSE)</f>
        <v>1</v>
      </c>
      <c r="Y427" s="2" t="b">
        <f>OR(Table1938[[#This Row],[Document Type]]="journalArticle",Table1938[[#This Row],[Document Type]]="conferencePaper",Table1938[[#This Row],[Document Type]]="review")</f>
        <v>1</v>
      </c>
      <c r="Z427" s="2" t="b" cm="1">
        <f t="array" ref="Z427">SUMPRODUCT(--ISNUMBER(SEARCH({"dimensional analysis","dimensionless coefficients","Π","Pi","theorem","software","design","tools","development","architecture","similar"}, LOWER(Table1938[[#This Row],[Title]]))))&gt;0</f>
        <v>0</v>
      </c>
      <c r="AA427" s="2" t="b" cm="1">
        <f t="array" ref="AA427">SUMPRODUCT(--ISNUMBER(SEARCH({"dimensional analysis","dimensionless coefficients","Π","Pi","theorem","software","design","tools","development","architecture","similar"}, LOWER(Table1938[[#This Row],[Abstract]]))))&gt;0</f>
        <v>0</v>
      </c>
      <c r="AB427" s="2" t="b">
        <f>AND(OR(Table1938[[#This Row],[IC-01 @2024]:[IC-01 @2020]])=TRUE,Table1938[[#This Row],[IC-02]]=TRUE,Table1938[[#This Row],[IC-03]]=TRUE,Table1938[[#This Row],[IC-04]]=TRUE,Table1938[[#This Row],[IC-05]]=TRUE)</f>
        <v>0</v>
      </c>
      <c r="AC427" s="2" t="b">
        <f>AND(Table1938[[#This Row],[Pass-IC]]=TRUE,Table1938[[#This Row],[Pass-EC]]=TRUE)</f>
        <v>0</v>
      </c>
      <c r="AD427" s="2" t="b">
        <f>COUNTIF($D$25:D427, Table1938[[#This Row],[Title]]) = 1</f>
        <v>1</v>
      </c>
      <c r="AE427" s="2" t="b">
        <f>AND(Table1938[[#This Row],[IC + EC]:[Unique]])</f>
        <v>0</v>
      </c>
      <c r="AF427" s="2" t="b">
        <v>0</v>
      </c>
      <c r="AG427" s="2" t="b">
        <v>0</v>
      </c>
      <c r="AH427" s="2" t="b">
        <v>0</v>
      </c>
      <c r="AI427" s="2" t="b">
        <f>IF(AND(Table1938[[#This Row],[Double Check]]=TRUE,Table1938[[#This Row],[Inspected]]=TRUE,Table1938[[#This Row],[Relevant]]=TRUE),TRUE,FALSE)</f>
        <v>0</v>
      </c>
    </row>
    <row r="428" spans="1:35" ht="57.35" x14ac:dyDescent="0.5">
      <c r="A428" s="2">
        <v>427</v>
      </c>
      <c r="B428" s="20" t="s">
        <v>3</v>
      </c>
      <c r="C428" s="20" t="s">
        <v>3588</v>
      </c>
      <c r="D428" s="20" t="s">
        <v>2301</v>
      </c>
      <c r="E428" s="20" t="s">
        <v>2300</v>
      </c>
      <c r="F428" s="2" t="s">
        <v>2304</v>
      </c>
      <c r="G428" s="20" t="s">
        <v>2302</v>
      </c>
      <c r="H428" s="36">
        <v>42614</v>
      </c>
      <c r="I428" s="20">
        <v>2016</v>
      </c>
      <c r="J428" s="20" t="s">
        <v>61</v>
      </c>
      <c r="K428" s="20" t="s">
        <v>3589</v>
      </c>
      <c r="L428" s="20" t="s">
        <v>2515</v>
      </c>
      <c r="M428" s="20" t="s">
        <v>2303</v>
      </c>
      <c r="N428" s="20" t="b">
        <v>1</v>
      </c>
      <c r="O428" s="2" t="b">
        <f>IF(Table1938[[#This Row],[Title]]="",TRUE,FALSE)</f>
        <v>0</v>
      </c>
      <c r="P428" s="2" t="b">
        <f>IF(Table1938[[#This Row],[Author]]="",TRUE,FALSE)</f>
        <v>0</v>
      </c>
      <c r="Q428" s="2" t="b">
        <f>IF(Table1938[[#This Row],[DOI]]&lt;&gt;"", FALSE,TRUE)</f>
        <v>0</v>
      </c>
      <c r="R428" s="2" t="b">
        <f>IF(Table1938[[#This Row],[Abstract]]="",TRUE,FALSE)</f>
        <v>0</v>
      </c>
      <c r="S428" s="2" t="b">
        <f>IF(OR(Table1938[[#This Row],[Document Type]]="book",Table1938[[#This Row],[Document Type]]="bookSection"),TRUE,FALSE)</f>
        <v>0</v>
      </c>
      <c r="T428" s="2" t="b">
        <f>NOT(IF(OR(Table1938[[#This Row],[Language]]&lt;&gt;"en",Table1938[[#This Row],[Language]]&lt;&gt;"EN",Table1938[[#This Row],[Language]]&lt;&gt;"spa",Table1938[[#This Row],[Language]]&lt;&gt;"SPA"),TRUE,FALSE))</f>
        <v>0</v>
      </c>
      <c r="U428" s="2" t="b">
        <f>IF(AND(Table1938[[#This Row],[EC-01]]=FALSE,Table1938[[#This Row],[EC-02]]=FALSE,Table1938[[#This Row],[EC-03]]=FALSE,Table1938[[#This Row],[EC-04]]=FALSE,Table1938[[#This Row],[EC-05]]=FALSE,Table1938[[#This Row],[EC-06]]=FALSE),TRUE,FALSE)</f>
        <v>1</v>
      </c>
      <c r="V428" s="2" t="b">
        <f>IF(Table1938[[#This Row],[Date]]&lt;&gt;"",AND(YEAR(Table1938[[#This Row],[Date]])&gt;=2010, YEAR(Table1938[[#This Row],[Date]])&lt;=2024),FALSE)</f>
        <v>1</v>
      </c>
      <c r="W428" s="2" t="b">
        <f>IF(Table1938[[#This Row],[Date]]&lt;&gt;"",AND(YEAR(Table1938[[#This Row],[Date]])&gt;=2010, YEAR(Table1938[[#This Row],[Date]])&lt;=2020),FALSE)</f>
        <v>1</v>
      </c>
      <c r="X428" s="2" t="b">
        <f>IF(AND(Table1938[[#This Row],[Accesible]]=TRUE,Table1938[[#This Row],[DOI]]&lt;&gt;""),TRUE,FALSE)</f>
        <v>1</v>
      </c>
      <c r="Y428" s="2" t="b">
        <f>OR(Table1938[[#This Row],[Document Type]]="journalArticle",Table1938[[#This Row],[Document Type]]="conferencePaper",Table1938[[#This Row],[Document Type]]="review")</f>
        <v>1</v>
      </c>
      <c r="Z428" s="2" t="b" cm="1">
        <f t="array" ref="Z428">SUMPRODUCT(--ISNUMBER(SEARCH({"dimensional analysis","dimensionless coefficients","Π","Pi","theorem","software","design","tools","development","architecture","similar"}, LOWER(Table1938[[#This Row],[Title]]))))&gt;0</f>
        <v>0</v>
      </c>
      <c r="AA428" s="2" t="b" cm="1">
        <f t="array" ref="AA428">SUMPRODUCT(--ISNUMBER(SEARCH({"dimensional analysis","dimensionless coefficients","Π","Pi","theorem","software","design","tools","development","architecture","similar"}, LOWER(Table1938[[#This Row],[Abstract]]))))&gt;0</f>
        <v>1</v>
      </c>
      <c r="AB428" s="2" t="b">
        <f>AND(OR(Table1938[[#This Row],[IC-01 @2024]:[IC-01 @2020]])=TRUE,Table1938[[#This Row],[IC-02]]=TRUE,Table1938[[#This Row],[IC-03]]=TRUE,Table1938[[#This Row],[IC-04]]=TRUE,Table1938[[#This Row],[IC-05]]=TRUE)</f>
        <v>0</v>
      </c>
      <c r="AC428" s="2" t="b">
        <f>AND(Table1938[[#This Row],[Pass-IC]]=TRUE,Table1938[[#This Row],[Pass-EC]]=TRUE)</f>
        <v>0</v>
      </c>
      <c r="AD428" s="2" t="b">
        <f>COUNTIF($D$25:D428, Table1938[[#This Row],[Title]]) = 1</f>
        <v>1</v>
      </c>
      <c r="AE428" s="2" t="b">
        <f>AND(Table1938[[#This Row],[IC + EC]:[Unique]])</f>
        <v>0</v>
      </c>
      <c r="AF428" s="2" t="b">
        <v>0</v>
      </c>
      <c r="AG428" s="2" t="b">
        <v>0</v>
      </c>
      <c r="AH428" s="2" t="b">
        <v>0</v>
      </c>
      <c r="AI428" s="2" t="b">
        <f>IF(AND(Table1938[[#This Row],[Double Check]]=TRUE,Table1938[[#This Row],[Inspected]]=TRUE,Table1938[[#This Row],[Relevant]]=TRUE),TRUE,FALSE)</f>
        <v>0</v>
      </c>
    </row>
    <row r="429" spans="1:35" ht="43" x14ac:dyDescent="0.5">
      <c r="A429" s="39">
        <v>428</v>
      </c>
      <c r="B429" s="40" t="s">
        <v>3</v>
      </c>
      <c r="C429" s="40" t="s">
        <v>3590</v>
      </c>
      <c r="D429" s="40" t="s">
        <v>1223</v>
      </c>
      <c r="E429" s="40" t="s">
        <v>1222</v>
      </c>
      <c r="F429" s="2" t="s">
        <v>1225</v>
      </c>
      <c r="G429" s="20" t="s">
        <v>1004</v>
      </c>
      <c r="H429" s="36">
        <v>44866</v>
      </c>
      <c r="I429" s="20">
        <v>2022</v>
      </c>
      <c r="J429" s="20" t="s">
        <v>61</v>
      </c>
      <c r="K429" s="20" t="s">
        <v>3591</v>
      </c>
      <c r="L429" s="20" t="s">
        <v>642</v>
      </c>
      <c r="M429" s="20" t="s">
        <v>1224</v>
      </c>
      <c r="N429" s="20" t="b">
        <v>1</v>
      </c>
      <c r="O429" s="2" t="b">
        <f>IF(Table1938[[#This Row],[Title]]="",TRUE,FALSE)</f>
        <v>0</v>
      </c>
      <c r="P429" s="2" t="b">
        <f>IF(Table1938[[#This Row],[Author]]="",TRUE,FALSE)</f>
        <v>0</v>
      </c>
      <c r="Q429" s="2" t="b">
        <f>IF(Table1938[[#This Row],[DOI]]&lt;&gt;"", FALSE,TRUE)</f>
        <v>0</v>
      </c>
      <c r="R429" s="2" t="b">
        <f>IF(Table1938[[#This Row],[Abstract]]="",TRUE,FALSE)</f>
        <v>0</v>
      </c>
      <c r="S429" s="2" t="b">
        <f>IF(OR(Table1938[[#This Row],[Document Type]]="book",Table1938[[#This Row],[Document Type]]="bookSection"),TRUE,FALSE)</f>
        <v>0</v>
      </c>
      <c r="T429" s="2" t="b">
        <f>NOT(IF(OR(Table1938[[#This Row],[Language]]&lt;&gt;"en",Table1938[[#This Row],[Language]]&lt;&gt;"EN",Table1938[[#This Row],[Language]]&lt;&gt;"spa",Table1938[[#This Row],[Language]]&lt;&gt;"SPA"),TRUE,FALSE))</f>
        <v>0</v>
      </c>
      <c r="U429" s="2" t="b">
        <f>IF(AND(Table1938[[#This Row],[EC-01]]=FALSE,Table1938[[#This Row],[EC-02]]=FALSE,Table1938[[#This Row],[EC-03]]=FALSE,Table1938[[#This Row],[EC-04]]=FALSE,Table1938[[#This Row],[EC-05]]=FALSE,Table1938[[#This Row],[EC-06]]=FALSE),TRUE,FALSE)</f>
        <v>1</v>
      </c>
      <c r="V429" s="2" t="b">
        <f>IF(Table1938[[#This Row],[Date]]&lt;&gt;"",AND(YEAR(Table1938[[#This Row],[Date]])&gt;=2010, YEAR(Table1938[[#This Row],[Date]])&lt;=2024),FALSE)</f>
        <v>1</v>
      </c>
      <c r="W429" s="2" t="b">
        <f>IF(Table1938[[#This Row],[Date]]&lt;&gt;"",AND(YEAR(Table1938[[#This Row],[Date]])&gt;=2010, YEAR(Table1938[[#This Row],[Date]])&lt;=2020),FALSE)</f>
        <v>0</v>
      </c>
      <c r="X429" s="2" t="b">
        <f>IF(AND(Table1938[[#This Row],[Accesible]]=TRUE,Table1938[[#This Row],[DOI]]&lt;&gt;""),TRUE,FALSE)</f>
        <v>1</v>
      </c>
      <c r="Y429" s="2" t="b">
        <f>OR(Table1938[[#This Row],[Document Type]]="journalArticle",Table1938[[#This Row],[Document Type]]="conferencePaper",Table1938[[#This Row],[Document Type]]="review")</f>
        <v>1</v>
      </c>
      <c r="Z429" s="2" t="b" cm="1">
        <f t="array" ref="Z429">SUMPRODUCT(--ISNUMBER(SEARCH({"dimensional analysis","dimensionless coefficients","Π","Pi","theorem","software","design","tools","development","architecture","similar"}, LOWER(Table1938[[#This Row],[Title]]))))&gt;0</f>
        <v>1</v>
      </c>
      <c r="AA429" s="2" t="b" cm="1">
        <f t="array" ref="AA429">SUMPRODUCT(--ISNUMBER(SEARCH({"dimensional analysis","dimensionless coefficients","Π","Pi","theorem","software","design","tools","development","architecture","similar"}, LOWER(Table1938[[#This Row],[Abstract]]))))&gt;0</f>
        <v>1</v>
      </c>
      <c r="AB429" s="2" t="b">
        <f>AND(OR(Table1938[[#This Row],[IC-01 @2024]:[IC-01 @2020]])=TRUE,Table1938[[#This Row],[IC-02]]=TRUE,Table1938[[#This Row],[IC-03]]=TRUE,Table1938[[#This Row],[IC-04]]=TRUE,Table1938[[#This Row],[IC-05]]=TRUE)</f>
        <v>1</v>
      </c>
      <c r="AC429" s="2" t="b">
        <f>AND(Table1938[[#This Row],[Pass-IC]]=TRUE,Table1938[[#This Row],[Pass-EC]]=TRUE)</f>
        <v>1</v>
      </c>
      <c r="AD429" s="2" t="b">
        <v>1</v>
      </c>
      <c r="AE429" s="2" t="b">
        <f>AND(Table1938[[#This Row],[IC + EC]:[Unique]])</f>
        <v>1</v>
      </c>
      <c r="AF429" s="2" t="b">
        <v>1</v>
      </c>
      <c r="AG429" s="2" t="b">
        <v>1</v>
      </c>
      <c r="AH429" s="2" t="b">
        <v>1</v>
      </c>
      <c r="AI429" s="2" t="b">
        <f>IF(AND(Table1938[[#This Row],[Double Check]]=TRUE,Table1938[[#This Row],[Inspected]]=TRUE,Table1938[[#This Row],[Relevant]]=TRUE),TRUE,FALSE)</f>
        <v>1</v>
      </c>
    </row>
    <row r="430" spans="1:35" ht="71.7" x14ac:dyDescent="0.5">
      <c r="A430" s="2">
        <v>429</v>
      </c>
      <c r="B430" s="20" t="s">
        <v>3</v>
      </c>
      <c r="C430" s="20" t="s">
        <v>3592</v>
      </c>
      <c r="D430" s="20" t="s">
        <v>321</v>
      </c>
      <c r="E430" s="20" t="s">
        <v>346</v>
      </c>
      <c r="F430" s="2" t="s">
        <v>371</v>
      </c>
      <c r="G430" s="20" t="s">
        <v>948</v>
      </c>
      <c r="H430" s="36">
        <v>42036</v>
      </c>
      <c r="I430" s="20">
        <v>2015</v>
      </c>
      <c r="J430" s="20" t="s">
        <v>61</v>
      </c>
      <c r="K430" s="20" t="s">
        <v>3593</v>
      </c>
      <c r="L430" s="20" t="s">
        <v>2515</v>
      </c>
      <c r="M430" s="20" t="s">
        <v>396</v>
      </c>
      <c r="N430" s="20" t="b">
        <v>1</v>
      </c>
      <c r="O430" s="2" t="b">
        <f>IF(Table1938[[#This Row],[Title]]="",TRUE,FALSE)</f>
        <v>0</v>
      </c>
      <c r="P430" s="2" t="b">
        <f>IF(Table1938[[#This Row],[Author]]="",TRUE,FALSE)</f>
        <v>0</v>
      </c>
      <c r="Q430" s="2" t="b">
        <f>IF(Table1938[[#This Row],[DOI]]&lt;&gt;"", FALSE,TRUE)</f>
        <v>0</v>
      </c>
      <c r="R430" s="2" t="b">
        <f>IF(Table1938[[#This Row],[Abstract]]="",TRUE,FALSE)</f>
        <v>0</v>
      </c>
      <c r="S430" s="2" t="b">
        <f>IF(OR(Table1938[[#This Row],[Document Type]]="book",Table1938[[#This Row],[Document Type]]="bookSection"),TRUE,FALSE)</f>
        <v>0</v>
      </c>
      <c r="T430" s="2" t="b">
        <f>NOT(IF(OR(Table1938[[#This Row],[Language]]&lt;&gt;"en",Table1938[[#This Row],[Language]]&lt;&gt;"EN",Table1938[[#This Row],[Language]]&lt;&gt;"spa",Table1938[[#This Row],[Language]]&lt;&gt;"SPA"),TRUE,FALSE))</f>
        <v>0</v>
      </c>
      <c r="U430" s="2" t="b">
        <f>IF(AND(Table1938[[#This Row],[EC-01]]=FALSE,Table1938[[#This Row],[EC-02]]=FALSE,Table1938[[#This Row],[EC-03]]=FALSE,Table1938[[#This Row],[EC-04]]=FALSE,Table1938[[#This Row],[EC-05]]=FALSE,Table1938[[#This Row],[EC-06]]=FALSE),TRUE,FALSE)</f>
        <v>1</v>
      </c>
      <c r="V430" s="2" t="b">
        <f>IF(Table1938[[#This Row],[Date]]&lt;&gt;"",AND(YEAR(Table1938[[#This Row],[Date]])&gt;=2010, YEAR(Table1938[[#This Row],[Date]])&lt;=2024),FALSE)</f>
        <v>1</v>
      </c>
      <c r="W430" s="2" t="b">
        <f>IF(Table1938[[#This Row],[Date]]&lt;&gt;"",AND(YEAR(Table1938[[#This Row],[Date]])&gt;=2010, YEAR(Table1938[[#This Row],[Date]])&lt;=2020),FALSE)</f>
        <v>1</v>
      </c>
      <c r="X430" s="2" t="b">
        <f>IF(AND(Table1938[[#This Row],[Accesible]]=TRUE,Table1938[[#This Row],[DOI]]&lt;&gt;""),TRUE,FALSE)</f>
        <v>1</v>
      </c>
      <c r="Y430" s="2" t="b">
        <f>OR(Table1938[[#This Row],[Document Type]]="journalArticle",Table1938[[#This Row],[Document Type]]="conferencePaper",Table1938[[#This Row],[Document Type]]="review")</f>
        <v>1</v>
      </c>
      <c r="Z430" s="2" t="b" cm="1">
        <f t="array" ref="Z430">SUMPRODUCT(--ISNUMBER(SEARCH({"dimensional analysis","dimensionless coefficients","Π","Pi","theorem","software","design","tools","development","architecture","similar"}, LOWER(Table1938[[#This Row],[Title]]))))&gt;0</f>
        <v>0</v>
      </c>
      <c r="AA430" s="2" t="b" cm="1">
        <f t="array" ref="AA430">SUMPRODUCT(--ISNUMBER(SEARCH({"dimensional analysis","dimensionless coefficients","Π","Pi","theorem","software","design","tools","development","architecture","similar"}, LOWER(Table1938[[#This Row],[Abstract]]))))&gt;0</f>
        <v>1</v>
      </c>
      <c r="AB430" s="2" t="b">
        <f>AND(OR(Table1938[[#This Row],[IC-01 @2024]:[IC-01 @2020]])=TRUE,Table1938[[#This Row],[IC-02]]=TRUE,Table1938[[#This Row],[IC-03]]=TRUE,Table1938[[#This Row],[IC-04]]=TRUE,Table1938[[#This Row],[IC-05]]=TRUE)</f>
        <v>0</v>
      </c>
      <c r="AC430" s="2" t="b">
        <f>AND(Table1938[[#This Row],[Pass-IC]]=TRUE,Table1938[[#This Row],[Pass-EC]]=TRUE)</f>
        <v>0</v>
      </c>
      <c r="AD430" s="2" t="b">
        <f>COUNTIF($D$25:D430, Table1938[[#This Row],[Title]]) = 1</f>
        <v>1</v>
      </c>
      <c r="AE430" s="2" t="b">
        <f>AND(Table1938[[#This Row],[IC + EC]:[Unique]])</f>
        <v>0</v>
      </c>
      <c r="AF430" s="2" t="b">
        <v>0</v>
      </c>
      <c r="AG430" s="2" t="b">
        <v>0</v>
      </c>
      <c r="AH430" s="2" t="b">
        <v>0</v>
      </c>
      <c r="AI430" s="2" t="b">
        <f>IF(AND(Table1938[[#This Row],[Double Check]]=TRUE,Table1938[[#This Row],[Inspected]]=TRUE,Table1938[[#This Row],[Relevant]]=TRUE),TRUE,FALSE)</f>
        <v>0</v>
      </c>
    </row>
    <row r="431" spans="1:35" ht="43" x14ac:dyDescent="0.5">
      <c r="A431" s="2">
        <v>430</v>
      </c>
      <c r="B431" s="20" t="s">
        <v>3</v>
      </c>
      <c r="C431" s="20" t="s">
        <v>3594</v>
      </c>
      <c r="D431" s="20" t="s">
        <v>2055</v>
      </c>
      <c r="E431" s="20" t="s">
        <v>2054</v>
      </c>
      <c r="F431" s="2" t="s">
        <v>2057</v>
      </c>
      <c r="G431" s="20" t="s">
        <v>956</v>
      </c>
      <c r="H431" s="36">
        <v>45505</v>
      </c>
      <c r="I431" s="20">
        <v>2024</v>
      </c>
      <c r="J431" s="20" t="s">
        <v>61</v>
      </c>
      <c r="K431" s="20" t="s">
        <v>3595</v>
      </c>
      <c r="L431" s="20" t="s">
        <v>2515</v>
      </c>
      <c r="M431" s="20" t="s">
        <v>2056</v>
      </c>
      <c r="N431" s="20" t="b">
        <v>1</v>
      </c>
      <c r="O431" s="2" t="b">
        <f>IF(Table1938[[#This Row],[Title]]="",TRUE,FALSE)</f>
        <v>0</v>
      </c>
      <c r="P431" s="2" t="b">
        <f>IF(Table1938[[#This Row],[Author]]="",TRUE,FALSE)</f>
        <v>0</v>
      </c>
      <c r="Q431" s="2" t="b">
        <f>IF(Table1938[[#This Row],[DOI]]&lt;&gt;"", FALSE,TRUE)</f>
        <v>0</v>
      </c>
      <c r="R431" s="2" t="b">
        <f>IF(Table1938[[#This Row],[Abstract]]="",TRUE,FALSE)</f>
        <v>0</v>
      </c>
      <c r="S431" s="2" t="b">
        <f>IF(OR(Table1938[[#This Row],[Document Type]]="book",Table1938[[#This Row],[Document Type]]="bookSection"),TRUE,FALSE)</f>
        <v>0</v>
      </c>
      <c r="T431" s="2" t="b">
        <f>NOT(IF(OR(Table1938[[#This Row],[Language]]&lt;&gt;"en",Table1938[[#This Row],[Language]]&lt;&gt;"EN",Table1938[[#This Row],[Language]]&lt;&gt;"spa",Table1938[[#This Row],[Language]]&lt;&gt;"SPA"),TRUE,FALSE))</f>
        <v>0</v>
      </c>
      <c r="U431" s="2" t="b">
        <f>IF(AND(Table1938[[#This Row],[EC-01]]=FALSE,Table1938[[#This Row],[EC-02]]=FALSE,Table1938[[#This Row],[EC-03]]=FALSE,Table1938[[#This Row],[EC-04]]=FALSE,Table1938[[#This Row],[EC-05]]=FALSE,Table1938[[#This Row],[EC-06]]=FALSE),TRUE,FALSE)</f>
        <v>1</v>
      </c>
      <c r="V431" s="2" t="b">
        <f>IF(Table1938[[#This Row],[Date]]&lt;&gt;"",AND(YEAR(Table1938[[#This Row],[Date]])&gt;=2010, YEAR(Table1938[[#This Row],[Date]])&lt;=2024),FALSE)</f>
        <v>1</v>
      </c>
      <c r="W431" s="2" t="b">
        <f>IF(Table1938[[#This Row],[Date]]&lt;&gt;"",AND(YEAR(Table1938[[#This Row],[Date]])&gt;=2010, YEAR(Table1938[[#This Row],[Date]])&lt;=2020),FALSE)</f>
        <v>0</v>
      </c>
      <c r="X431" s="2" t="b">
        <f>IF(AND(Table1938[[#This Row],[Accesible]]=TRUE,Table1938[[#This Row],[DOI]]&lt;&gt;""),TRUE,FALSE)</f>
        <v>1</v>
      </c>
      <c r="Y431" s="2" t="b">
        <f>OR(Table1938[[#This Row],[Document Type]]="journalArticle",Table1938[[#This Row],[Document Type]]="conferencePaper",Table1938[[#This Row],[Document Type]]="review")</f>
        <v>1</v>
      </c>
      <c r="Z431" s="2" t="b" cm="1">
        <f t="array" ref="Z431">SUMPRODUCT(--ISNUMBER(SEARCH({"dimensional analysis","dimensionless coefficients","Π","Pi","theorem","software","design","tools","development","architecture","similar"}, LOWER(Table1938[[#This Row],[Title]]))))&gt;0</f>
        <v>0</v>
      </c>
      <c r="AA431" s="2" t="b" cm="1">
        <f t="array" ref="AA431">SUMPRODUCT(--ISNUMBER(SEARCH({"dimensional analysis","dimensionless coefficients","Π","Pi","theorem","software","design","tools","development","architecture","similar"}, LOWER(Table1938[[#This Row],[Abstract]]))))&gt;0</f>
        <v>1</v>
      </c>
      <c r="AB431" s="2" t="b">
        <f>AND(OR(Table1938[[#This Row],[IC-01 @2024]:[IC-01 @2020]])=TRUE,Table1938[[#This Row],[IC-02]]=TRUE,Table1938[[#This Row],[IC-03]]=TRUE,Table1938[[#This Row],[IC-04]]=TRUE,Table1938[[#This Row],[IC-05]]=TRUE)</f>
        <v>0</v>
      </c>
      <c r="AC431" s="2" t="b">
        <f>AND(Table1938[[#This Row],[Pass-IC]]=TRUE,Table1938[[#This Row],[Pass-EC]]=TRUE)</f>
        <v>0</v>
      </c>
      <c r="AD431" s="2" t="b">
        <f>COUNTIF($D$25:D431, Table1938[[#This Row],[Title]]) = 1</f>
        <v>1</v>
      </c>
      <c r="AE431" s="2" t="b">
        <f>AND(Table1938[[#This Row],[IC + EC]:[Unique]])</f>
        <v>0</v>
      </c>
      <c r="AF431" s="2" t="b">
        <v>0</v>
      </c>
      <c r="AG431" s="2" t="b">
        <v>0</v>
      </c>
      <c r="AH431" s="2" t="b">
        <v>0</v>
      </c>
      <c r="AI431" s="2" t="b">
        <f>IF(AND(Table1938[[#This Row],[Double Check]]=TRUE,Table1938[[#This Row],[Inspected]]=TRUE,Table1938[[#This Row],[Relevant]]=TRUE),TRUE,FALSE)</f>
        <v>0</v>
      </c>
    </row>
    <row r="432" spans="1:35" ht="43" x14ac:dyDescent="0.5">
      <c r="A432" s="2">
        <v>431</v>
      </c>
      <c r="B432" s="20" t="s">
        <v>3</v>
      </c>
      <c r="C432" s="20" t="s">
        <v>3596</v>
      </c>
      <c r="D432" s="20" t="s">
        <v>1812</v>
      </c>
      <c r="E432" s="20" t="s">
        <v>1811</v>
      </c>
      <c r="F432" s="2" t="s">
        <v>1814</v>
      </c>
      <c r="G432" s="20" t="s">
        <v>1006</v>
      </c>
      <c r="H432" s="36">
        <v>40422</v>
      </c>
      <c r="I432" s="20">
        <v>2010</v>
      </c>
      <c r="J432" s="20" t="s">
        <v>61</v>
      </c>
      <c r="K432" s="20" t="s">
        <v>3597</v>
      </c>
      <c r="L432" s="20" t="s">
        <v>2515</v>
      </c>
      <c r="M432" s="20" t="s">
        <v>1813</v>
      </c>
      <c r="N432" s="20" t="b">
        <v>1</v>
      </c>
      <c r="O432" s="2" t="b">
        <f>IF(Table1938[[#This Row],[Title]]="",TRUE,FALSE)</f>
        <v>0</v>
      </c>
      <c r="P432" s="2" t="b">
        <f>IF(Table1938[[#This Row],[Author]]="",TRUE,FALSE)</f>
        <v>0</v>
      </c>
      <c r="Q432" s="2" t="b">
        <f>IF(Table1938[[#This Row],[DOI]]&lt;&gt;"", FALSE,TRUE)</f>
        <v>0</v>
      </c>
      <c r="R432" s="2" t="b">
        <f>IF(Table1938[[#This Row],[Abstract]]="",TRUE,FALSE)</f>
        <v>0</v>
      </c>
      <c r="S432" s="2" t="b">
        <f>IF(OR(Table1938[[#This Row],[Document Type]]="book",Table1938[[#This Row],[Document Type]]="bookSection"),TRUE,FALSE)</f>
        <v>0</v>
      </c>
      <c r="T432" s="2" t="b">
        <f>NOT(IF(OR(Table1938[[#This Row],[Language]]&lt;&gt;"en",Table1938[[#This Row],[Language]]&lt;&gt;"EN",Table1938[[#This Row],[Language]]&lt;&gt;"spa",Table1938[[#This Row],[Language]]&lt;&gt;"SPA"),TRUE,FALSE))</f>
        <v>0</v>
      </c>
      <c r="U432" s="2" t="b">
        <f>IF(AND(Table1938[[#This Row],[EC-01]]=FALSE,Table1938[[#This Row],[EC-02]]=FALSE,Table1938[[#This Row],[EC-03]]=FALSE,Table1938[[#This Row],[EC-04]]=FALSE,Table1938[[#This Row],[EC-05]]=FALSE,Table1938[[#This Row],[EC-06]]=FALSE),TRUE,FALSE)</f>
        <v>1</v>
      </c>
      <c r="V432" s="2" t="b">
        <f>IF(Table1938[[#This Row],[Date]]&lt;&gt;"",AND(YEAR(Table1938[[#This Row],[Date]])&gt;=2010, YEAR(Table1938[[#This Row],[Date]])&lt;=2024),FALSE)</f>
        <v>1</v>
      </c>
      <c r="W432" s="2" t="b">
        <f>IF(Table1938[[#This Row],[Date]]&lt;&gt;"",AND(YEAR(Table1938[[#This Row],[Date]])&gt;=2010, YEAR(Table1938[[#This Row],[Date]])&lt;=2020),FALSE)</f>
        <v>1</v>
      </c>
      <c r="X432" s="2" t="b">
        <f>IF(AND(Table1938[[#This Row],[Accesible]]=TRUE,Table1938[[#This Row],[DOI]]&lt;&gt;""),TRUE,FALSE)</f>
        <v>1</v>
      </c>
      <c r="Y432" s="2" t="b">
        <f>OR(Table1938[[#This Row],[Document Type]]="journalArticle",Table1938[[#This Row],[Document Type]]="conferencePaper",Table1938[[#This Row],[Document Type]]="review")</f>
        <v>1</v>
      </c>
      <c r="Z432" s="2" t="b" cm="1">
        <f t="array" ref="Z432">SUMPRODUCT(--ISNUMBER(SEARCH({"dimensional analysis","dimensionless coefficients","Π","Pi","theorem","software","design","tools","development","architecture","similar"}, LOWER(Table1938[[#This Row],[Title]]))))&gt;0</f>
        <v>1</v>
      </c>
      <c r="AA432" s="2" t="b" cm="1">
        <f t="array" ref="AA432">SUMPRODUCT(--ISNUMBER(SEARCH({"dimensional analysis","dimensionless coefficients","Π","Pi","theorem","software","design","tools","development","architecture","similar"}, LOWER(Table1938[[#This Row],[Abstract]]))))&gt;0</f>
        <v>1</v>
      </c>
      <c r="AB432" s="2" t="b">
        <f>AND(OR(Table1938[[#This Row],[IC-01 @2024]:[IC-01 @2020]])=TRUE,Table1938[[#This Row],[IC-02]]=TRUE,Table1938[[#This Row],[IC-03]]=TRUE,Table1938[[#This Row],[IC-04]]=TRUE,Table1938[[#This Row],[IC-05]]=TRUE)</f>
        <v>1</v>
      </c>
      <c r="AC432" s="2" t="b">
        <f>AND(Table1938[[#This Row],[Pass-IC]]=TRUE,Table1938[[#This Row],[Pass-EC]]=TRUE)</f>
        <v>1</v>
      </c>
      <c r="AD432" s="2" t="b">
        <f>COUNTIF($D$25:D432, Table1938[[#This Row],[Title]]) = 1</f>
        <v>1</v>
      </c>
      <c r="AE432" s="2" t="b">
        <f>AND(Table1938[[#This Row],[IC + EC]:[Unique]])</f>
        <v>1</v>
      </c>
      <c r="AF432" s="2" t="b">
        <v>1</v>
      </c>
      <c r="AG432" s="2" t="b">
        <v>0</v>
      </c>
      <c r="AH432" s="2" t="b">
        <v>0</v>
      </c>
      <c r="AI432" s="2" t="b">
        <f>IF(AND(Table1938[[#This Row],[Double Check]]=TRUE,Table1938[[#This Row],[Inspected]]=TRUE,Table1938[[#This Row],[Relevant]]=TRUE),TRUE,FALSE)</f>
        <v>0</v>
      </c>
    </row>
    <row r="433" spans="1:35" ht="57.35" x14ac:dyDescent="0.5">
      <c r="A433" s="2">
        <v>432</v>
      </c>
      <c r="B433" s="20" t="s">
        <v>3</v>
      </c>
      <c r="C433" s="20" t="s">
        <v>3598</v>
      </c>
      <c r="D433" s="20" t="s">
        <v>310</v>
      </c>
      <c r="E433" s="20" t="s">
        <v>335</v>
      </c>
      <c r="F433" s="2" t="s">
        <v>360</v>
      </c>
      <c r="G433" s="20" t="s">
        <v>937</v>
      </c>
      <c r="H433" s="36">
        <v>43952</v>
      </c>
      <c r="I433" s="20">
        <v>2020</v>
      </c>
      <c r="J433" s="20" t="s">
        <v>61</v>
      </c>
      <c r="K433" s="20" t="s">
        <v>3599</v>
      </c>
      <c r="L433" s="20" t="s">
        <v>2515</v>
      </c>
      <c r="M433" s="20" t="s">
        <v>385</v>
      </c>
      <c r="N433" s="20" t="b">
        <v>1</v>
      </c>
      <c r="O433" s="2" t="b">
        <f>IF(Table1938[[#This Row],[Title]]="",TRUE,FALSE)</f>
        <v>0</v>
      </c>
      <c r="P433" s="2" t="b">
        <f>IF(Table1938[[#This Row],[Author]]="",TRUE,FALSE)</f>
        <v>0</v>
      </c>
      <c r="Q433" s="2" t="b">
        <f>IF(Table1938[[#This Row],[DOI]]&lt;&gt;"", FALSE,TRUE)</f>
        <v>0</v>
      </c>
      <c r="R433" s="2" t="b">
        <f>IF(Table1938[[#This Row],[Abstract]]="",TRUE,FALSE)</f>
        <v>0</v>
      </c>
      <c r="S433" s="2" t="b">
        <f>IF(OR(Table1938[[#This Row],[Document Type]]="book",Table1938[[#This Row],[Document Type]]="bookSection"),TRUE,FALSE)</f>
        <v>0</v>
      </c>
      <c r="T433" s="2" t="b">
        <f>NOT(IF(OR(Table1938[[#This Row],[Language]]&lt;&gt;"en",Table1938[[#This Row],[Language]]&lt;&gt;"EN",Table1938[[#This Row],[Language]]&lt;&gt;"spa",Table1938[[#This Row],[Language]]&lt;&gt;"SPA"),TRUE,FALSE))</f>
        <v>0</v>
      </c>
      <c r="U433" s="2" t="b">
        <f>IF(AND(Table1938[[#This Row],[EC-01]]=FALSE,Table1938[[#This Row],[EC-02]]=FALSE,Table1938[[#This Row],[EC-03]]=FALSE,Table1938[[#This Row],[EC-04]]=FALSE,Table1938[[#This Row],[EC-05]]=FALSE,Table1938[[#This Row],[EC-06]]=FALSE),TRUE,FALSE)</f>
        <v>1</v>
      </c>
      <c r="V433" s="2" t="b">
        <f>IF(Table1938[[#This Row],[Date]]&lt;&gt;"",AND(YEAR(Table1938[[#This Row],[Date]])&gt;=2010, YEAR(Table1938[[#This Row],[Date]])&lt;=2024),FALSE)</f>
        <v>1</v>
      </c>
      <c r="W433" s="2" t="b">
        <f>IF(Table1938[[#This Row],[Date]]&lt;&gt;"",AND(YEAR(Table1938[[#This Row],[Date]])&gt;=2010, YEAR(Table1938[[#This Row],[Date]])&lt;=2020),FALSE)</f>
        <v>1</v>
      </c>
      <c r="X433" s="2" t="b">
        <f>IF(AND(Table1938[[#This Row],[Accesible]]=TRUE,Table1938[[#This Row],[DOI]]&lt;&gt;""),TRUE,FALSE)</f>
        <v>1</v>
      </c>
      <c r="Y433" s="2" t="b">
        <f>OR(Table1938[[#This Row],[Document Type]]="journalArticle",Table1938[[#This Row],[Document Type]]="conferencePaper",Table1938[[#This Row],[Document Type]]="review")</f>
        <v>1</v>
      </c>
      <c r="Z433" s="2" t="b" cm="1">
        <f t="array" ref="Z433">SUMPRODUCT(--ISNUMBER(SEARCH({"dimensional analysis","dimensionless coefficients","Π","Pi","theorem","software","design","tools","development","architecture","similar"}, LOWER(Table1938[[#This Row],[Title]]))))&gt;0</f>
        <v>1</v>
      </c>
      <c r="AA433" s="2" t="b" cm="1">
        <f t="array" ref="AA433">SUMPRODUCT(--ISNUMBER(SEARCH({"dimensional analysis","dimensionless coefficients","Π","Pi","theorem","software","design","tools","development","architecture","similar"}, LOWER(Table1938[[#This Row],[Abstract]]))))&gt;0</f>
        <v>1</v>
      </c>
      <c r="AB433" s="2" t="b">
        <f>AND(OR(Table1938[[#This Row],[IC-01 @2024]:[IC-01 @2020]])=TRUE,Table1938[[#This Row],[IC-02]]=TRUE,Table1938[[#This Row],[IC-03]]=TRUE,Table1938[[#This Row],[IC-04]]=TRUE,Table1938[[#This Row],[IC-05]]=TRUE)</f>
        <v>1</v>
      </c>
      <c r="AC433" s="2" t="b">
        <f>AND(Table1938[[#This Row],[Pass-IC]]=TRUE,Table1938[[#This Row],[Pass-EC]]=TRUE)</f>
        <v>1</v>
      </c>
      <c r="AD433" s="2" t="b">
        <f>COUNTIF($D$25:D433, Table1938[[#This Row],[Title]]) = 1</f>
        <v>1</v>
      </c>
      <c r="AE433" s="2" t="b">
        <f>AND(Table1938[[#This Row],[IC + EC]:[Unique]])</f>
        <v>1</v>
      </c>
      <c r="AF433" s="2" t="b">
        <v>1</v>
      </c>
      <c r="AG433" s="2" t="b">
        <v>0</v>
      </c>
      <c r="AH433" s="2" t="b">
        <v>0</v>
      </c>
      <c r="AI433" s="2" t="b">
        <f>IF(AND(Table1938[[#This Row],[Double Check]]=TRUE,Table1938[[#This Row],[Inspected]]=TRUE,Table1938[[#This Row],[Relevant]]=TRUE),TRUE,FALSE)</f>
        <v>0</v>
      </c>
    </row>
    <row r="434" spans="1:35" ht="57.35" x14ac:dyDescent="0.5">
      <c r="A434" s="2">
        <v>433</v>
      </c>
      <c r="B434" s="20" t="s">
        <v>3</v>
      </c>
      <c r="C434" s="20" t="s">
        <v>3600</v>
      </c>
      <c r="D434" s="20" t="s">
        <v>1385</v>
      </c>
      <c r="E434" s="20" t="s">
        <v>1384</v>
      </c>
      <c r="F434" s="2" t="s">
        <v>1388</v>
      </c>
      <c r="G434" s="20" t="s">
        <v>1386</v>
      </c>
      <c r="H434" s="36">
        <v>45536</v>
      </c>
      <c r="I434" s="20">
        <v>2024</v>
      </c>
      <c r="J434" s="20" t="s">
        <v>61</v>
      </c>
      <c r="K434" s="20" t="s">
        <v>3601</v>
      </c>
      <c r="L434" s="20" t="s">
        <v>2515</v>
      </c>
      <c r="M434" s="20" t="s">
        <v>1387</v>
      </c>
      <c r="N434" s="20" t="b">
        <v>1</v>
      </c>
      <c r="O434" s="2" t="b">
        <f>IF(Table1938[[#This Row],[Title]]="",TRUE,FALSE)</f>
        <v>0</v>
      </c>
      <c r="P434" s="2" t="b">
        <f>IF(Table1938[[#This Row],[Author]]="",TRUE,FALSE)</f>
        <v>0</v>
      </c>
      <c r="Q434" s="2" t="b">
        <f>IF(Table1938[[#This Row],[DOI]]&lt;&gt;"", FALSE,TRUE)</f>
        <v>0</v>
      </c>
      <c r="R434" s="2" t="b">
        <f>IF(Table1938[[#This Row],[Abstract]]="",TRUE,FALSE)</f>
        <v>0</v>
      </c>
      <c r="S434" s="2" t="b">
        <f>IF(OR(Table1938[[#This Row],[Document Type]]="book",Table1938[[#This Row],[Document Type]]="bookSection"),TRUE,FALSE)</f>
        <v>0</v>
      </c>
      <c r="T434" s="2" t="b">
        <f>NOT(IF(OR(Table1938[[#This Row],[Language]]&lt;&gt;"en",Table1938[[#This Row],[Language]]&lt;&gt;"EN",Table1938[[#This Row],[Language]]&lt;&gt;"spa",Table1938[[#This Row],[Language]]&lt;&gt;"SPA"),TRUE,FALSE))</f>
        <v>0</v>
      </c>
      <c r="U434" s="2" t="b">
        <f>IF(AND(Table1938[[#This Row],[EC-01]]=FALSE,Table1938[[#This Row],[EC-02]]=FALSE,Table1938[[#This Row],[EC-03]]=FALSE,Table1938[[#This Row],[EC-04]]=FALSE,Table1938[[#This Row],[EC-05]]=FALSE,Table1938[[#This Row],[EC-06]]=FALSE),TRUE,FALSE)</f>
        <v>1</v>
      </c>
      <c r="V434" s="2" t="b">
        <f>IF(Table1938[[#This Row],[Date]]&lt;&gt;"",AND(YEAR(Table1938[[#This Row],[Date]])&gt;=2010, YEAR(Table1938[[#This Row],[Date]])&lt;=2024),FALSE)</f>
        <v>1</v>
      </c>
      <c r="W434" s="2" t="b">
        <f>IF(Table1938[[#This Row],[Date]]&lt;&gt;"",AND(YEAR(Table1938[[#This Row],[Date]])&gt;=2010, YEAR(Table1938[[#This Row],[Date]])&lt;=2020),FALSE)</f>
        <v>0</v>
      </c>
      <c r="X434" s="2" t="b">
        <f>IF(AND(Table1938[[#This Row],[Accesible]]=TRUE,Table1938[[#This Row],[DOI]]&lt;&gt;""),TRUE,FALSE)</f>
        <v>1</v>
      </c>
      <c r="Y434" s="2" t="b">
        <f>OR(Table1938[[#This Row],[Document Type]]="journalArticle",Table1938[[#This Row],[Document Type]]="conferencePaper",Table1938[[#This Row],[Document Type]]="review")</f>
        <v>1</v>
      </c>
      <c r="Z434" s="2" t="b" cm="1">
        <f t="array" ref="Z434">SUMPRODUCT(--ISNUMBER(SEARCH({"dimensional analysis","dimensionless coefficients","Π","Pi","theorem","software","design","tools","development","architecture","similar"}, LOWER(Table1938[[#This Row],[Title]]))))&gt;0</f>
        <v>1</v>
      </c>
      <c r="AA434" s="2" t="b" cm="1">
        <f t="array" ref="AA434">SUMPRODUCT(--ISNUMBER(SEARCH({"dimensional analysis","dimensionless coefficients","Π","Pi","theorem","software","design","tools","development","architecture","similar"}, LOWER(Table1938[[#This Row],[Abstract]]))))&gt;0</f>
        <v>1</v>
      </c>
      <c r="AB434" s="2" t="b">
        <f>AND(OR(Table1938[[#This Row],[IC-01 @2024]:[IC-01 @2020]])=TRUE,Table1938[[#This Row],[IC-02]]=TRUE,Table1938[[#This Row],[IC-03]]=TRUE,Table1938[[#This Row],[IC-04]]=TRUE,Table1938[[#This Row],[IC-05]]=TRUE)</f>
        <v>1</v>
      </c>
      <c r="AC434" s="2" t="b">
        <f>AND(Table1938[[#This Row],[Pass-IC]]=TRUE,Table1938[[#This Row],[Pass-EC]]=TRUE)</f>
        <v>1</v>
      </c>
      <c r="AD434" s="2" t="b">
        <f>COUNTIF($D$25:D434, Table1938[[#This Row],[Title]]) = 1</f>
        <v>1</v>
      </c>
      <c r="AE434" s="2" t="b">
        <f>AND(Table1938[[#This Row],[IC + EC]:[Unique]])</f>
        <v>1</v>
      </c>
      <c r="AF434" s="2" t="b">
        <v>1</v>
      </c>
      <c r="AG434" s="2" t="b">
        <v>0</v>
      </c>
      <c r="AH434" s="2" t="b">
        <v>0</v>
      </c>
      <c r="AI434" s="2" t="b">
        <f>IF(AND(Table1938[[#This Row],[Double Check]]=TRUE,Table1938[[#This Row],[Inspected]]=TRUE,Table1938[[#This Row],[Relevant]]=TRUE),TRUE,FALSE)</f>
        <v>0</v>
      </c>
    </row>
    <row r="435" spans="1:35" ht="43" x14ac:dyDescent="0.5">
      <c r="A435" s="2">
        <v>434</v>
      </c>
      <c r="B435" s="20" t="s">
        <v>3</v>
      </c>
      <c r="C435" s="20" t="s">
        <v>3602</v>
      </c>
      <c r="D435" s="20" t="s">
        <v>1483</v>
      </c>
      <c r="E435" s="20" t="s">
        <v>1482</v>
      </c>
      <c r="F435" s="2" t="s">
        <v>1485</v>
      </c>
      <c r="G435" s="20" t="s">
        <v>930</v>
      </c>
      <c r="H435" s="36">
        <v>43891</v>
      </c>
      <c r="I435" s="20">
        <v>2020</v>
      </c>
      <c r="J435" s="20" t="s">
        <v>61</v>
      </c>
      <c r="K435" s="20" t="s">
        <v>3603</v>
      </c>
      <c r="L435" s="20" t="s">
        <v>2515</v>
      </c>
      <c r="M435" s="20" t="s">
        <v>1484</v>
      </c>
      <c r="N435" s="20" t="b">
        <v>1</v>
      </c>
      <c r="O435" s="2" t="b">
        <f>IF(Table1938[[#This Row],[Title]]="",TRUE,FALSE)</f>
        <v>0</v>
      </c>
      <c r="P435" s="2" t="b">
        <f>IF(Table1938[[#This Row],[Author]]="",TRUE,FALSE)</f>
        <v>0</v>
      </c>
      <c r="Q435" s="2" t="b">
        <f>IF(Table1938[[#This Row],[DOI]]&lt;&gt;"", FALSE,TRUE)</f>
        <v>0</v>
      </c>
      <c r="R435" s="2" t="b">
        <f>IF(Table1938[[#This Row],[Abstract]]="",TRUE,FALSE)</f>
        <v>0</v>
      </c>
      <c r="S435" s="2" t="b">
        <f>IF(OR(Table1938[[#This Row],[Document Type]]="book",Table1938[[#This Row],[Document Type]]="bookSection"),TRUE,FALSE)</f>
        <v>0</v>
      </c>
      <c r="T435" s="2" t="b">
        <f>NOT(IF(OR(Table1938[[#This Row],[Language]]&lt;&gt;"en",Table1938[[#This Row],[Language]]&lt;&gt;"EN",Table1938[[#This Row],[Language]]&lt;&gt;"spa",Table1938[[#This Row],[Language]]&lt;&gt;"SPA"),TRUE,FALSE))</f>
        <v>0</v>
      </c>
      <c r="U435" s="2" t="b">
        <f>IF(AND(Table1938[[#This Row],[EC-01]]=FALSE,Table1938[[#This Row],[EC-02]]=FALSE,Table1938[[#This Row],[EC-03]]=FALSE,Table1938[[#This Row],[EC-04]]=FALSE,Table1938[[#This Row],[EC-05]]=FALSE,Table1938[[#This Row],[EC-06]]=FALSE),TRUE,FALSE)</f>
        <v>1</v>
      </c>
      <c r="V435" s="2" t="b">
        <f>IF(Table1938[[#This Row],[Date]]&lt;&gt;"",AND(YEAR(Table1938[[#This Row],[Date]])&gt;=2010, YEAR(Table1938[[#This Row],[Date]])&lt;=2024),FALSE)</f>
        <v>1</v>
      </c>
      <c r="W435" s="2" t="b">
        <f>IF(Table1938[[#This Row],[Date]]&lt;&gt;"",AND(YEAR(Table1938[[#This Row],[Date]])&gt;=2010, YEAR(Table1938[[#This Row],[Date]])&lt;=2020),FALSE)</f>
        <v>1</v>
      </c>
      <c r="X435" s="2" t="b">
        <f>IF(AND(Table1938[[#This Row],[Accesible]]=TRUE,Table1938[[#This Row],[DOI]]&lt;&gt;""),TRUE,FALSE)</f>
        <v>1</v>
      </c>
      <c r="Y435" s="2" t="b">
        <f>OR(Table1938[[#This Row],[Document Type]]="journalArticle",Table1938[[#This Row],[Document Type]]="conferencePaper",Table1938[[#This Row],[Document Type]]="review")</f>
        <v>1</v>
      </c>
      <c r="Z435" s="2" t="b" cm="1">
        <f t="array" ref="Z435">SUMPRODUCT(--ISNUMBER(SEARCH({"dimensional analysis","dimensionless coefficients","Π","Pi","theorem","software","design","tools","development","architecture","similar"}, LOWER(Table1938[[#This Row],[Title]]))))&gt;0</f>
        <v>0</v>
      </c>
      <c r="AA435" s="2" t="b" cm="1">
        <f t="array" ref="AA435">SUMPRODUCT(--ISNUMBER(SEARCH({"dimensional analysis","dimensionless coefficients","Π","Pi","theorem","software","design","tools","development","architecture","similar"}, LOWER(Table1938[[#This Row],[Abstract]]))))&gt;0</f>
        <v>1</v>
      </c>
      <c r="AB435" s="2" t="b">
        <f>AND(OR(Table1938[[#This Row],[IC-01 @2024]:[IC-01 @2020]])=TRUE,Table1938[[#This Row],[IC-02]]=TRUE,Table1938[[#This Row],[IC-03]]=TRUE,Table1938[[#This Row],[IC-04]]=TRUE,Table1938[[#This Row],[IC-05]]=TRUE)</f>
        <v>0</v>
      </c>
      <c r="AC435" s="2" t="b">
        <f>AND(Table1938[[#This Row],[Pass-IC]]=TRUE,Table1938[[#This Row],[Pass-EC]]=TRUE)</f>
        <v>0</v>
      </c>
      <c r="AD435" s="2" t="b">
        <f>COUNTIF($D$25:D435, Table1938[[#This Row],[Title]]) = 1</f>
        <v>1</v>
      </c>
      <c r="AE435" s="2" t="b">
        <f>AND(Table1938[[#This Row],[IC + EC]:[Unique]])</f>
        <v>0</v>
      </c>
      <c r="AF435" s="2" t="b">
        <v>0</v>
      </c>
      <c r="AG435" s="2" t="b">
        <v>0</v>
      </c>
      <c r="AH435" s="2" t="b">
        <v>0</v>
      </c>
      <c r="AI435" s="2" t="b">
        <f>IF(AND(Table1938[[#This Row],[Double Check]]=TRUE,Table1938[[#This Row],[Inspected]]=TRUE,Table1938[[#This Row],[Relevant]]=TRUE),TRUE,FALSE)</f>
        <v>0</v>
      </c>
    </row>
    <row r="436" spans="1:35" ht="71.7" x14ac:dyDescent="0.5">
      <c r="A436" s="2">
        <v>435</v>
      </c>
      <c r="B436" s="20" t="s">
        <v>3</v>
      </c>
      <c r="C436" s="20" t="s">
        <v>3604</v>
      </c>
      <c r="D436" s="20" t="s">
        <v>305</v>
      </c>
      <c r="E436" s="20" t="s">
        <v>329</v>
      </c>
      <c r="F436" s="2" t="s">
        <v>355</v>
      </c>
      <c r="G436" s="20" t="s">
        <v>952</v>
      </c>
      <c r="H436" s="36">
        <v>43101</v>
      </c>
      <c r="I436" s="20">
        <v>2018</v>
      </c>
      <c r="J436" s="20" t="s">
        <v>61</v>
      </c>
      <c r="K436" s="20" t="s">
        <v>3605</v>
      </c>
      <c r="L436" s="20" t="s">
        <v>2515</v>
      </c>
      <c r="M436" s="20" t="s">
        <v>380</v>
      </c>
      <c r="N436" s="20" t="b">
        <v>1</v>
      </c>
      <c r="O436" s="2" t="b">
        <f>IF(Table1938[[#This Row],[Title]]="",TRUE,FALSE)</f>
        <v>0</v>
      </c>
      <c r="P436" s="2" t="b">
        <f>IF(Table1938[[#This Row],[Author]]="",TRUE,FALSE)</f>
        <v>0</v>
      </c>
      <c r="Q436" s="2" t="b">
        <f>IF(Table1938[[#This Row],[DOI]]&lt;&gt;"", FALSE,TRUE)</f>
        <v>0</v>
      </c>
      <c r="R436" s="2" t="b">
        <f>IF(Table1938[[#This Row],[Abstract]]="",TRUE,FALSE)</f>
        <v>0</v>
      </c>
      <c r="S436" s="2" t="b">
        <f>IF(OR(Table1938[[#This Row],[Document Type]]="book",Table1938[[#This Row],[Document Type]]="bookSection"),TRUE,FALSE)</f>
        <v>0</v>
      </c>
      <c r="T436" s="2" t="b">
        <f>NOT(IF(OR(Table1938[[#This Row],[Language]]&lt;&gt;"en",Table1938[[#This Row],[Language]]&lt;&gt;"EN",Table1938[[#This Row],[Language]]&lt;&gt;"spa",Table1938[[#This Row],[Language]]&lt;&gt;"SPA"),TRUE,FALSE))</f>
        <v>0</v>
      </c>
      <c r="U436" s="2" t="b">
        <f>IF(AND(Table1938[[#This Row],[EC-01]]=FALSE,Table1938[[#This Row],[EC-02]]=FALSE,Table1938[[#This Row],[EC-03]]=FALSE,Table1938[[#This Row],[EC-04]]=FALSE,Table1938[[#This Row],[EC-05]]=FALSE,Table1938[[#This Row],[EC-06]]=FALSE),TRUE,FALSE)</f>
        <v>1</v>
      </c>
      <c r="V436" s="2" t="b">
        <f>IF(Table1938[[#This Row],[Date]]&lt;&gt;"",AND(YEAR(Table1938[[#This Row],[Date]])&gt;=2010, YEAR(Table1938[[#This Row],[Date]])&lt;=2024),FALSE)</f>
        <v>1</v>
      </c>
      <c r="W436" s="2" t="b">
        <f>IF(Table1938[[#This Row],[Date]]&lt;&gt;"",AND(YEAR(Table1938[[#This Row],[Date]])&gt;=2010, YEAR(Table1938[[#This Row],[Date]])&lt;=2020),FALSE)</f>
        <v>1</v>
      </c>
      <c r="X436" s="2" t="b">
        <f>IF(AND(Table1938[[#This Row],[Accesible]]=TRUE,Table1938[[#This Row],[DOI]]&lt;&gt;""),TRUE,FALSE)</f>
        <v>1</v>
      </c>
      <c r="Y436" s="2" t="b">
        <f>OR(Table1938[[#This Row],[Document Type]]="journalArticle",Table1938[[#This Row],[Document Type]]="conferencePaper",Table1938[[#This Row],[Document Type]]="review")</f>
        <v>1</v>
      </c>
      <c r="Z436" s="2" t="b" cm="1">
        <f t="array" ref="Z436">SUMPRODUCT(--ISNUMBER(SEARCH({"dimensional analysis","dimensionless coefficients","Π","Pi","theorem","software","design","tools","development","architecture","similar"}, LOWER(Table1938[[#This Row],[Title]]))))&gt;0</f>
        <v>1</v>
      </c>
      <c r="AA436" s="2" t="b" cm="1">
        <f t="array" ref="AA436">SUMPRODUCT(--ISNUMBER(SEARCH({"dimensional analysis","dimensionless coefficients","Π","Pi","theorem","software","design","tools","development","architecture","similar"}, LOWER(Table1938[[#This Row],[Abstract]]))))&gt;0</f>
        <v>0</v>
      </c>
      <c r="AB436" s="2" t="b">
        <f>AND(OR(Table1938[[#This Row],[IC-01 @2024]:[IC-01 @2020]])=TRUE,Table1938[[#This Row],[IC-02]]=TRUE,Table1938[[#This Row],[IC-03]]=TRUE,Table1938[[#This Row],[IC-04]]=TRUE,Table1938[[#This Row],[IC-05]]=TRUE)</f>
        <v>0</v>
      </c>
      <c r="AC436" s="2" t="b">
        <f>AND(Table1938[[#This Row],[Pass-IC]]=TRUE,Table1938[[#This Row],[Pass-EC]]=TRUE)</f>
        <v>0</v>
      </c>
      <c r="AD436" s="2" t="b">
        <f>COUNTIF($D$25:D436, Table1938[[#This Row],[Title]]) = 1</f>
        <v>1</v>
      </c>
      <c r="AE436" s="2" t="b">
        <f>AND(Table1938[[#This Row],[IC + EC]:[Unique]])</f>
        <v>0</v>
      </c>
      <c r="AF436" s="2" t="b">
        <v>0</v>
      </c>
      <c r="AG436" s="2" t="b">
        <v>0</v>
      </c>
      <c r="AH436" s="2" t="b">
        <v>0</v>
      </c>
      <c r="AI436" s="2" t="b">
        <f>IF(AND(Table1938[[#This Row],[Double Check]]=TRUE,Table1938[[#This Row],[Inspected]]=TRUE,Table1938[[#This Row],[Relevant]]=TRUE),TRUE,FALSE)</f>
        <v>0</v>
      </c>
    </row>
    <row r="437" spans="1:35" ht="57.35" x14ac:dyDescent="0.5">
      <c r="A437" s="2">
        <v>436</v>
      </c>
      <c r="B437" s="20" t="s">
        <v>3</v>
      </c>
      <c r="C437" s="20" t="s">
        <v>3606</v>
      </c>
      <c r="D437" s="20" t="s">
        <v>1962</v>
      </c>
      <c r="E437" s="20" t="s">
        <v>1961</v>
      </c>
      <c r="F437" s="2" t="s">
        <v>1964</v>
      </c>
      <c r="G437" s="20" t="s">
        <v>947</v>
      </c>
      <c r="H437" s="36">
        <v>45597</v>
      </c>
      <c r="I437" s="20">
        <v>2024</v>
      </c>
      <c r="J437" s="20" t="s">
        <v>61</v>
      </c>
      <c r="K437" s="20" t="s">
        <v>3607</v>
      </c>
      <c r="L437" s="20" t="s">
        <v>2515</v>
      </c>
      <c r="M437" s="20" t="s">
        <v>1963</v>
      </c>
      <c r="N437" s="20" t="b">
        <v>1</v>
      </c>
      <c r="O437" s="2" t="b">
        <f>IF(Table1938[[#This Row],[Title]]="",TRUE,FALSE)</f>
        <v>0</v>
      </c>
      <c r="P437" s="2" t="b">
        <f>IF(Table1938[[#This Row],[Author]]="",TRUE,FALSE)</f>
        <v>0</v>
      </c>
      <c r="Q437" s="2" t="b">
        <f>IF(Table1938[[#This Row],[DOI]]&lt;&gt;"", FALSE,TRUE)</f>
        <v>0</v>
      </c>
      <c r="R437" s="2" t="b">
        <f>IF(Table1938[[#This Row],[Abstract]]="",TRUE,FALSE)</f>
        <v>0</v>
      </c>
      <c r="S437" s="2" t="b">
        <f>IF(OR(Table1938[[#This Row],[Document Type]]="book",Table1938[[#This Row],[Document Type]]="bookSection"),TRUE,FALSE)</f>
        <v>0</v>
      </c>
      <c r="T437" s="2" t="b">
        <f>NOT(IF(OR(Table1938[[#This Row],[Language]]&lt;&gt;"en",Table1938[[#This Row],[Language]]&lt;&gt;"EN",Table1938[[#This Row],[Language]]&lt;&gt;"spa",Table1938[[#This Row],[Language]]&lt;&gt;"SPA"),TRUE,FALSE))</f>
        <v>0</v>
      </c>
      <c r="U437" s="2" t="b">
        <f>IF(AND(Table1938[[#This Row],[EC-01]]=FALSE,Table1938[[#This Row],[EC-02]]=FALSE,Table1938[[#This Row],[EC-03]]=FALSE,Table1938[[#This Row],[EC-04]]=FALSE,Table1938[[#This Row],[EC-05]]=FALSE,Table1938[[#This Row],[EC-06]]=FALSE),TRUE,FALSE)</f>
        <v>1</v>
      </c>
      <c r="V437" s="2" t="b">
        <f>IF(Table1938[[#This Row],[Date]]&lt;&gt;"",AND(YEAR(Table1938[[#This Row],[Date]])&gt;=2010, YEAR(Table1938[[#This Row],[Date]])&lt;=2024),FALSE)</f>
        <v>1</v>
      </c>
      <c r="W437" s="2" t="b">
        <f>IF(Table1938[[#This Row],[Date]]&lt;&gt;"",AND(YEAR(Table1938[[#This Row],[Date]])&gt;=2010, YEAR(Table1938[[#This Row],[Date]])&lt;=2020),FALSE)</f>
        <v>0</v>
      </c>
      <c r="X437" s="2" t="b">
        <f>IF(AND(Table1938[[#This Row],[Accesible]]=TRUE,Table1938[[#This Row],[DOI]]&lt;&gt;""),TRUE,FALSE)</f>
        <v>1</v>
      </c>
      <c r="Y437" s="2" t="b">
        <f>OR(Table1938[[#This Row],[Document Type]]="journalArticle",Table1938[[#This Row],[Document Type]]="conferencePaper",Table1938[[#This Row],[Document Type]]="review")</f>
        <v>1</v>
      </c>
      <c r="Z437" s="2" t="b" cm="1">
        <f t="array" ref="Z437">SUMPRODUCT(--ISNUMBER(SEARCH({"dimensional analysis","dimensionless coefficients","Π","Pi","theorem","software","design","tools","development","architecture","similar"}, LOWER(Table1938[[#This Row],[Title]]))))&gt;0</f>
        <v>0</v>
      </c>
      <c r="AA437" s="2" t="b" cm="1">
        <f t="array" ref="AA437">SUMPRODUCT(--ISNUMBER(SEARCH({"dimensional analysis","dimensionless coefficients","Π","Pi","theorem","software","design","tools","development","architecture","similar"}, LOWER(Table1938[[#This Row],[Abstract]]))))&gt;0</f>
        <v>0</v>
      </c>
      <c r="AB437" s="2" t="b">
        <f>AND(OR(Table1938[[#This Row],[IC-01 @2024]:[IC-01 @2020]])=TRUE,Table1938[[#This Row],[IC-02]]=TRUE,Table1938[[#This Row],[IC-03]]=TRUE,Table1938[[#This Row],[IC-04]]=TRUE,Table1938[[#This Row],[IC-05]]=TRUE)</f>
        <v>0</v>
      </c>
      <c r="AC437" s="2" t="b">
        <f>AND(Table1938[[#This Row],[Pass-IC]]=TRUE,Table1938[[#This Row],[Pass-EC]]=TRUE)</f>
        <v>0</v>
      </c>
      <c r="AD437" s="2" t="b">
        <f>COUNTIF($D$25:D437, Table1938[[#This Row],[Title]]) = 1</f>
        <v>1</v>
      </c>
      <c r="AE437" s="2" t="b">
        <f>AND(Table1938[[#This Row],[IC + EC]:[Unique]])</f>
        <v>0</v>
      </c>
      <c r="AF437" s="2" t="b">
        <v>0</v>
      </c>
      <c r="AG437" s="2" t="b">
        <v>0</v>
      </c>
      <c r="AH437" s="2" t="b">
        <v>0</v>
      </c>
      <c r="AI437" s="2" t="b">
        <f>IF(AND(Table1938[[#This Row],[Double Check]]=TRUE,Table1938[[#This Row],[Inspected]]=TRUE,Table1938[[#This Row],[Relevant]]=TRUE),TRUE,FALSE)</f>
        <v>0</v>
      </c>
    </row>
    <row r="438" spans="1:35" ht="57.35" x14ac:dyDescent="0.5">
      <c r="A438" s="2">
        <v>437</v>
      </c>
      <c r="B438" s="20" t="s">
        <v>3</v>
      </c>
      <c r="C438" s="20" t="s">
        <v>3608</v>
      </c>
      <c r="D438" s="20" t="s">
        <v>312</v>
      </c>
      <c r="E438" s="20" t="s">
        <v>337</v>
      </c>
      <c r="F438" s="2" t="s">
        <v>362</v>
      </c>
      <c r="G438" s="20" t="s">
        <v>959</v>
      </c>
      <c r="H438" s="36">
        <v>43313</v>
      </c>
      <c r="I438" s="20">
        <v>2018</v>
      </c>
      <c r="J438" s="20" t="s">
        <v>61</v>
      </c>
      <c r="K438" s="20" t="s">
        <v>3609</v>
      </c>
      <c r="L438" s="20" t="s">
        <v>2515</v>
      </c>
      <c r="M438" s="20" t="s">
        <v>387</v>
      </c>
      <c r="N438" s="20" t="b">
        <v>1</v>
      </c>
      <c r="O438" s="2" t="b">
        <f>IF(Table1938[[#This Row],[Title]]="",TRUE,FALSE)</f>
        <v>0</v>
      </c>
      <c r="P438" s="2" t="b">
        <f>IF(Table1938[[#This Row],[Author]]="",TRUE,FALSE)</f>
        <v>0</v>
      </c>
      <c r="Q438" s="2" t="b">
        <f>IF(Table1938[[#This Row],[DOI]]&lt;&gt;"", FALSE,TRUE)</f>
        <v>0</v>
      </c>
      <c r="R438" s="2" t="b">
        <f>IF(Table1938[[#This Row],[Abstract]]="",TRUE,FALSE)</f>
        <v>0</v>
      </c>
      <c r="S438" s="2" t="b">
        <f>IF(OR(Table1938[[#This Row],[Document Type]]="book",Table1938[[#This Row],[Document Type]]="bookSection"),TRUE,FALSE)</f>
        <v>0</v>
      </c>
      <c r="T438" s="2" t="b">
        <f>NOT(IF(OR(Table1938[[#This Row],[Language]]&lt;&gt;"en",Table1938[[#This Row],[Language]]&lt;&gt;"EN",Table1938[[#This Row],[Language]]&lt;&gt;"spa",Table1938[[#This Row],[Language]]&lt;&gt;"SPA"),TRUE,FALSE))</f>
        <v>0</v>
      </c>
      <c r="U438" s="2" t="b">
        <f>IF(AND(Table1938[[#This Row],[EC-01]]=FALSE,Table1938[[#This Row],[EC-02]]=FALSE,Table1938[[#This Row],[EC-03]]=FALSE,Table1938[[#This Row],[EC-04]]=FALSE,Table1938[[#This Row],[EC-05]]=FALSE,Table1938[[#This Row],[EC-06]]=FALSE),TRUE,FALSE)</f>
        <v>1</v>
      </c>
      <c r="V438" s="2" t="b">
        <f>IF(Table1938[[#This Row],[Date]]&lt;&gt;"",AND(YEAR(Table1938[[#This Row],[Date]])&gt;=2010, YEAR(Table1938[[#This Row],[Date]])&lt;=2024),FALSE)</f>
        <v>1</v>
      </c>
      <c r="W438" s="2" t="b">
        <f>IF(Table1938[[#This Row],[Date]]&lt;&gt;"",AND(YEAR(Table1938[[#This Row],[Date]])&gt;=2010, YEAR(Table1938[[#This Row],[Date]])&lt;=2020),FALSE)</f>
        <v>1</v>
      </c>
      <c r="X438" s="2" t="b">
        <f>IF(AND(Table1938[[#This Row],[Accesible]]=TRUE,Table1938[[#This Row],[DOI]]&lt;&gt;""),TRUE,FALSE)</f>
        <v>1</v>
      </c>
      <c r="Y438" s="2" t="b">
        <f>OR(Table1938[[#This Row],[Document Type]]="journalArticle",Table1938[[#This Row],[Document Type]]="conferencePaper",Table1938[[#This Row],[Document Type]]="review")</f>
        <v>1</v>
      </c>
      <c r="Z438" s="2" t="b" cm="1">
        <f t="array" ref="Z438">SUMPRODUCT(--ISNUMBER(SEARCH({"dimensional analysis","dimensionless coefficients","Π","Pi","theorem","software","design","tools","development","architecture","similar"}, LOWER(Table1938[[#This Row],[Title]]))))&gt;0</f>
        <v>1</v>
      </c>
      <c r="AA438" s="2" t="b" cm="1">
        <f t="array" ref="AA438">SUMPRODUCT(--ISNUMBER(SEARCH({"dimensional analysis","dimensionless coefficients","Π","Pi","theorem","software","design","tools","development","architecture","similar"}, LOWER(Table1938[[#This Row],[Abstract]]))))&gt;0</f>
        <v>1</v>
      </c>
      <c r="AB438" s="2" t="b">
        <f>AND(OR(Table1938[[#This Row],[IC-01 @2024]:[IC-01 @2020]])=TRUE,Table1938[[#This Row],[IC-02]]=TRUE,Table1938[[#This Row],[IC-03]]=TRUE,Table1938[[#This Row],[IC-04]]=TRUE,Table1938[[#This Row],[IC-05]]=TRUE)</f>
        <v>1</v>
      </c>
      <c r="AC438" s="2" t="b">
        <f>AND(Table1938[[#This Row],[Pass-IC]]=TRUE,Table1938[[#This Row],[Pass-EC]]=TRUE)</f>
        <v>1</v>
      </c>
      <c r="AD438" s="2" t="b">
        <f>COUNTIF($D$25:D438, Table1938[[#This Row],[Title]]) = 1</f>
        <v>1</v>
      </c>
      <c r="AE438" s="2" t="b">
        <f>AND(Table1938[[#This Row],[IC + EC]:[Unique]])</f>
        <v>1</v>
      </c>
      <c r="AF438" s="2" t="b">
        <v>1</v>
      </c>
      <c r="AG438" s="2" t="b">
        <v>0</v>
      </c>
      <c r="AH438" s="2" t="b">
        <v>0</v>
      </c>
      <c r="AI438" s="2" t="b">
        <f>IF(AND(Table1938[[#This Row],[Double Check]]=TRUE,Table1938[[#This Row],[Inspected]]=TRUE,Table1938[[#This Row],[Relevant]]=TRUE),TRUE,FALSE)</f>
        <v>0</v>
      </c>
    </row>
    <row r="439" spans="1:35" ht="43" x14ac:dyDescent="0.5">
      <c r="A439" s="2">
        <v>438</v>
      </c>
      <c r="B439" s="20" t="s">
        <v>3</v>
      </c>
      <c r="C439" s="20" t="s">
        <v>3610</v>
      </c>
      <c r="D439" s="20" t="s">
        <v>2355</v>
      </c>
      <c r="E439" s="20" t="s">
        <v>2354</v>
      </c>
      <c r="F439" s="2" t="s">
        <v>2358</v>
      </c>
      <c r="G439" s="20" t="s">
        <v>2356</v>
      </c>
      <c r="H439" s="36">
        <v>43891</v>
      </c>
      <c r="I439" s="20">
        <v>2020</v>
      </c>
      <c r="J439" s="20" t="s">
        <v>61</v>
      </c>
      <c r="K439" s="20" t="s">
        <v>3611</v>
      </c>
      <c r="L439" s="20" t="s">
        <v>2515</v>
      </c>
      <c r="M439" s="20" t="s">
        <v>2357</v>
      </c>
      <c r="N439" s="20" t="b">
        <v>1</v>
      </c>
      <c r="O439" s="2" t="b">
        <f>IF(Table1938[[#This Row],[Title]]="",TRUE,FALSE)</f>
        <v>0</v>
      </c>
      <c r="P439" s="2" t="b">
        <f>IF(Table1938[[#This Row],[Author]]="",TRUE,FALSE)</f>
        <v>0</v>
      </c>
      <c r="Q439" s="2" t="b">
        <f>IF(Table1938[[#This Row],[DOI]]&lt;&gt;"", FALSE,TRUE)</f>
        <v>0</v>
      </c>
      <c r="R439" s="2" t="b">
        <f>IF(Table1938[[#This Row],[Abstract]]="",TRUE,FALSE)</f>
        <v>0</v>
      </c>
      <c r="S439" s="2" t="b">
        <f>IF(OR(Table1938[[#This Row],[Document Type]]="book",Table1938[[#This Row],[Document Type]]="bookSection"),TRUE,FALSE)</f>
        <v>0</v>
      </c>
      <c r="T439" s="2" t="b">
        <f>NOT(IF(OR(Table1938[[#This Row],[Language]]&lt;&gt;"en",Table1938[[#This Row],[Language]]&lt;&gt;"EN",Table1938[[#This Row],[Language]]&lt;&gt;"spa",Table1938[[#This Row],[Language]]&lt;&gt;"SPA"),TRUE,FALSE))</f>
        <v>0</v>
      </c>
      <c r="U439" s="2" t="b">
        <f>IF(AND(Table1938[[#This Row],[EC-01]]=FALSE,Table1938[[#This Row],[EC-02]]=FALSE,Table1938[[#This Row],[EC-03]]=FALSE,Table1938[[#This Row],[EC-04]]=FALSE,Table1938[[#This Row],[EC-05]]=FALSE,Table1938[[#This Row],[EC-06]]=FALSE),TRUE,FALSE)</f>
        <v>1</v>
      </c>
      <c r="V439" s="2" t="b">
        <f>IF(Table1938[[#This Row],[Date]]&lt;&gt;"",AND(YEAR(Table1938[[#This Row],[Date]])&gt;=2010, YEAR(Table1938[[#This Row],[Date]])&lt;=2024),FALSE)</f>
        <v>1</v>
      </c>
      <c r="W439" s="2" t="b">
        <f>IF(Table1938[[#This Row],[Date]]&lt;&gt;"",AND(YEAR(Table1938[[#This Row],[Date]])&gt;=2010, YEAR(Table1938[[#This Row],[Date]])&lt;=2020),FALSE)</f>
        <v>1</v>
      </c>
      <c r="X439" s="2" t="b">
        <f>IF(AND(Table1938[[#This Row],[Accesible]]=TRUE,Table1938[[#This Row],[DOI]]&lt;&gt;""),TRUE,FALSE)</f>
        <v>1</v>
      </c>
      <c r="Y439" s="2" t="b">
        <f>OR(Table1938[[#This Row],[Document Type]]="journalArticle",Table1938[[#This Row],[Document Type]]="conferencePaper",Table1938[[#This Row],[Document Type]]="review")</f>
        <v>1</v>
      </c>
      <c r="Z439" s="2" t="b" cm="1">
        <f t="array" ref="Z439">SUMPRODUCT(--ISNUMBER(SEARCH({"dimensional analysis","dimensionless coefficients","Π","Pi","theorem","software","design","tools","development","architecture","similar"}, LOWER(Table1938[[#This Row],[Title]]))))&gt;0</f>
        <v>0</v>
      </c>
      <c r="AA439" s="2" t="b" cm="1">
        <f t="array" ref="AA439">SUMPRODUCT(--ISNUMBER(SEARCH({"dimensional analysis","dimensionless coefficients","Π","Pi","theorem","software","design","tools","development","architecture","similar"}, LOWER(Table1938[[#This Row],[Abstract]]))))&gt;0</f>
        <v>1</v>
      </c>
      <c r="AB439" s="2" t="b">
        <f>AND(OR(Table1938[[#This Row],[IC-01 @2024]:[IC-01 @2020]])=TRUE,Table1938[[#This Row],[IC-02]]=TRUE,Table1938[[#This Row],[IC-03]]=TRUE,Table1938[[#This Row],[IC-04]]=TRUE,Table1938[[#This Row],[IC-05]]=TRUE)</f>
        <v>0</v>
      </c>
      <c r="AC439" s="2" t="b">
        <f>AND(Table1938[[#This Row],[Pass-IC]]=TRUE,Table1938[[#This Row],[Pass-EC]]=TRUE)</f>
        <v>0</v>
      </c>
      <c r="AD439" s="2" t="b">
        <f>COUNTIF($D$25:D439, Table1938[[#This Row],[Title]]) = 1</f>
        <v>1</v>
      </c>
      <c r="AE439" s="2" t="b">
        <f>AND(Table1938[[#This Row],[IC + EC]:[Unique]])</f>
        <v>0</v>
      </c>
      <c r="AF439" s="2" t="b">
        <v>0</v>
      </c>
      <c r="AG439" s="2" t="b">
        <v>0</v>
      </c>
      <c r="AH439" s="2" t="b">
        <v>0</v>
      </c>
      <c r="AI439" s="2" t="b">
        <f>IF(AND(Table1938[[#This Row],[Double Check]]=TRUE,Table1938[[#This Row],[Inspected]]=TRUE,Table1938[[#This Row],[Relevant]]=TRUE),TRUE,FALSE)</f>
        <v>0</v>
      </c>
    </row>
    <row r="440" spans="1:35" ht="71.7" x14ac:dyDescent="0.5">
      <c r="A440" s="2">
        <v>439</v>
      </c>
      <c r="B440" s="20" t="s">
        <v>3</v>
      </c>
      <c r="C440" s="20" t="s">
        <v>3612</v>
      </c>
      <c r="D440" s="20" t="s">
        <v>1892</v>
      </c>
      <c r="E440" s="20" t="s">
        <v>1891</v>
      </c>
      <c r="F440" s="2" t="s">
        <v>1894</v>
      </c>
      <c r="G440" s="20" t="s">
        <v>933</v>
      </c>
      <c r="H440" s="36">
        <v>45108</v>
      </c>
      <c r="I440" s="20">
        <v>2023</v>
      </c>
      <c r="J440" s="20" t="s">
        <v>61</v>
      </c>
      <c r="K440" s="20" t="s">
        <v>3613</v>
      </c>
      <c r="L440" s="20" t="s">
        <v>2515</v>
      </c>
      <c r="M440" s="20" t="s">
        <v>1893</v>
      </c>
      <c r="N440" s="20" t="b">
        <v>1</v>
      </c>
      <c r="O440" s="2" t="b">
        <f>IF(Table1938[[#This Row],[Title]]="",TRUE,FALSE)</f>
        <v>0</v>
      </c>
      <c r="P440" s="2" t="b">
        <f>IF(Table1938[[#This Row],[Author]]="",TRUE,FALSE)</f>
        <v>0</v>
      </c>
      <c r="Q440" s="2" t="b">
        <f>IF(Table1938[[#This Row],[DOI]]&lt;&gt;"", FALSE,TRUE)</f>
        <v>0</v>
      </c>
      <c r="R440" s="2" t="b">
        <f>IF(Table1938[[#This Row],[Abstract]]="",TRUE,FALSE)</f>
        <v>0</v>
      </c>
      <c r="S440" s="2" t="b">
        <f>IF(OR(Table1938[[#This Row],[Document Type]]="book",Table1938[[#This Row],[Document Type]]="bookSection"),TRUE,FALSE)</f>
        <v>0</v>
      </c>
      <c r="T440" s="2" t="b">
        <f>NOT(IF(OR(Table1938[[#This Row],[Language]]&lt;&gt;"en",Table1938[[#This Row],[Language]]&lt;&gt;"EN",Table1938[[#This Row],[Language]]&lt;&gt;"spa",Table1938[[#This Row],[Language]]&lt;&gt;"SPA"),TRUE,FALSE))</f>
        <v>0</v>
      </c>
      <c r="U440" s="2" t="b">
        <f>IF(AND(Table1938[[#This Row],[EC-01]]=FALSE,Table1938[[#This Row],[EC-02]]=FALSE,Table1938[[#This Row],[EC-03]]=FALSE,Table1938[[#This Row],[EC-04]]=FALSE,Table1938[[#This Row],[EC-05]]=FALSE,Table1938[[#This Row],[EC-06]]=FALSE),TRUE,FALSE)</f>
        <v>1</v>
      </c>
      <c r="V440" s="2" t="b">
        <f>IF(Table1938[[#This Row],[Date]]&lt;&gt;"",AND(YEAR(Table1938[[#This Row],[Date]])&gt;=2010, YEAR(Table1938[[#This Row],[Date]])&lt;=2024),FALSE)</f>
        <v>1</v>
      </c>
      <c r="W440" s="2" t="b">
        <f>IF(Table1938[[#This Row],[Date]]&lt;&gt;"",AND(YEAR(Table1938[[#This Row],[Date]])&gt;=2010, YEAR(Table1938[[#This Row],[Date]])&lt;=2020),FALSE)</f>
        <v>0</v>
      </c>
      <c r="X440" s="2" t="b">
        <f>IF(AND(Table1938[[#This Row],[Accesible]]=TRUE,Table1938[[#This Row],[DOI]]&lt;&gt;""),TRUE,FALSE)</f>
        <v>1</v>
      </c>
      <c r="Y440" s="2" t="b">
        <f>OR(Table1938[[#This Row],[Document Type]]="journalArticle",Table1938[[#This Row],[Document Type]]="conferencePaper",Table1938[[#This Row],[Document Type]]="review")</f>
        <v>1</v>
      </c>
      <c r="Z440" s="2" t="b" cm="1">
        <f t="array" ref="Z440">SUMPRODUCT(--ISNUMBER(SEARCH({"dimensional analysis","dimensionless coefficients","Π","Pi","theorem","software","design","tools","development","architecture","similar"}, LOWER(Table1938[[#This Row],[Title]]))))&gt;0</f>
        <v>0</v>
      </c>
      <c r="AA440" s="2" t="b" cm="1">
        <f t="array" ref="AA440">SUMPRODUCT(--ISNUMBER(SEARCH({"dimensional analysis","dimensionless coefficients","Π","Pi","theorem","software","design","tools","development","architecture","similar"}, LOWER(Table1938[[#This Row],[Abstract]]))))&gt;0</f>
        <v>1</v>
      </c>
      <c r="AB440" s="2" t="b">
        <f>AND(OR(Table1938[[#This Row],[IC-01 @2024]:[IC-01 @2020]])=TRUE,Table1938[[#This Row],[IC-02]]=TRUE,Table1938[[#This Row],[IC-03]]=TRUE,Table1938[[#This Row],[IC-04]]=TRUE,Table1938[[#This Row],[IC-05]]=TRUE)</f>
        <v>0</v>
      </c>
      <c r="AC440" s="2" t="b">
        <f>AND(Table1938[[#This Row],[Pass-IC]]=TRUE,Table1938[[#This Row],[Pass-EC]]=TRUE)</f>
        <v>0</v>
      </c>
      <c r="AD440" s="2" t="b">
        <f>COUNTIF($D$25:D440, Table1938[[#This Row],[Title]]) = 1</f>
        <v>1</v>
      </c>
      <c r="AE440" s="2" t="b">
        <f>AND(Table1938[[#This Row],[IC + EC]:[Unique]])</f>
        <v>0</v>
      </c>
      <c r="AF440" s="2" t="b">
        <v>0</v>
      </c>
      <c r="AG440" s="2" t="b">
        <v>0</v>
      </c>
      <c r="AH440" s="2" t="b">
        <v>0</v>
      </c>
      <c r="AI440" s="2" t="b">
        <f>IF(AND(Table1938[[#This Row],[Double Check]]=TRUE,Table1938[[#This Row],[Inspected]]=TRUE,Table1938[[#This Row],[Relevant]]=TRUE),TRUE,FALSE)</f>
        <v>0</v>
      </c>
    </row>
    <row r="441" spans="1:35" ht="57.35" x14ac:dyDescent="0.5">
      <c r="A441" s="2">
        <v>440</v>
      </c>
      <c r="B441" s="20" t="s">
        <v>3</v>
      </c>
      <c r="C441" s="20" t="s">
        <v>3614</v>
      </c>
      <c r="D441" s="20" t="s">
        <v>2126</v>
      </c>
      <c r="E441" s="20" t="s">
        <v>2125</v>
      </c>
      <c r="F441" s="2" t="s">
        <v>2128</v>
      </c>
      <c r="G441" s="20" t="s">
        <v>1002</v>
      </c>
      <c r="H441" s="36">
        <v>44228</v>
      </c>
      <c r="I441" s="20">
        <v>2021</v>
      </c>
      <c r="J441" s="20" t="s">
        <v>61</v>
      </c>
      <c r="K441" s="20" t="s">
        <v>3615</v>
      </c>
      <c r="L441" s="20" t="s">
        <v>2515</v>
      </c>
      <c r="M441" s="20" t="s">
        <v>2127</v>
      </c>
      <c r="N441" s="20" t="b">
        <v>1</v>
      </c>
      <c r="O441" s="2" t="b">
        <f>IF(Table1938[[#This Row],[Title]]="",TRUE,FALSE)</f>
        <v>0</v>
      </c>
      <c r="P441" s="2" t="b">
        <f>IF(Table1938[[#This Row],[Author]]="",TRUE,FALSE)</f>
        <v>0</v>
      </c>
      <c r="Q441" s="2" t="b">
        <f>IF(Table1938[[#This Row],[DOI]]&lt;&gt;"", FALSE,TRUE)</f>
        <v>0</v>
      </c>
      <c r="R441" s="2" t="b">
        <f>IF(Table1938[[#This Row],[Abstract]]="",TRUE,FALSE)</f>
        <v>0</v>
      </c>
      <c r="S441" s="2" t="b">
        <f>IF(OR(Table1938[[#This Row],[Document Type]]="book",Table1938[[#This Row],[Document Type]]="bookSection"),TRUE,FALSE)</f>
        <v>0</v>
      </c>
      <c r="T441" s="2" t="b">
        <f>NOT(IF(OR(Table1938[[#This Row],[Language]]&lt;&gt;"en",Table1938[[#This Row],[Language]]&lt;&gt;"EN",Table1938[[#This Row],[Language]]&lt;&gt;"spa",Table1938[[#This Row],[Language]]&lt;&gt;"SPA"),TRUE,FALSE))</f>
        <v>0</v>
      </c>
      <c r="U441" s="2" t="b">
        <f>IF(AND(Table1938[[#This Row],[EC-01]]=FALSE,Table1938[[#This Row],[EC-02]]=FALSE,Table1938[[#This Row],[EC-03]]=FALSE,Table1938[[#This Row],[EC-04]]=FALSE,Table1938[[#This Row],[EC-05]]=FALSE,Table1938[[#This Row],[EC-06]]=FALSE),TRUE,FALSE)</f>
        <v>1</v>
      </c>
      <c r="V441" s="2" t="b">
        <f>IF(Table1938[[#This Row],[Date]]&lt;&gt;"",AND(YEAR(Table1938[[#This Row],[Date]])&gt;=2010, YEAR(Table1938[[#This Row],[Date]])&lt;=2024),FALSE)</f>
        <v>1</v>
      </c>
      <c r="W441" s="2" t="b">
        <f>IF(Table1938[[#This Row],[Date]]&lt;&gt;"",AND(YEAR(Table1938[[#This Row],[Date]])&gt;=2010, YEAR(Table1938[[#This Row],[Date]])&lt;=2020),FALSE)</f>
        <v>0</v>
      </c>
      <c r="X441" s="2" t="b">
        <f>IF(AND(Table1938[[#This Row],[Accesible]]=TRUE,Table1938[[#This Row],[DOI]]&lt;&gt;""),TRUE,FALSE)</f>
        <v>1</v>
      </c>
      <c r="Y441" s="2" t="b">
        <f>OR(Table1938[[#This Row],[Document Type]]="journalArticle",Table1938[[#This Row],[Document Type]]="conferencePaper",Table1938[[#This Row],[Document Type]]="review")</f>
        <v>1</v>
      </c>
      <c r="Z441" s="2" t="b" cm="1">
        <f t="array" ref="Z441">SUMPRODUCT(--ISNUMBER(SEARCH({"dimensional analysis","dimensionless coefficients","Π","Pi","theorem","software","design","tools","development","architecture","similar"}, LOWER(Table1938[[#This Row],[Title]]))))&gt;0</f>
        <v>0</v>
      </c>
      <c r="AA441" s="2" t="b" cm="1">
        <f t="array" ref="AA441">SUMPRODUCT(--ISNUMBER(SEARCH({"dimensional analysis","dimensionless coefficients","Π","Pi","theorem","software","design","tools","development","architecture","similar"}, LOWER(Table1938[[#This Row],[Abstract]]))))&gt;0</f>
        <v>0</v>
      </c>
      <c r="AB441" s="2" t="b">
        <f>AND(OR(Table1938[[#This Row],[IC-01 @2024]:[IC-01 @2020]])=TRUE,Table1938[[#This Row],[IC-02]]=TRUE,Table1938[[#This Row],[IC-03]]=TRUE,Table1938[[#This Row],[IC-04]]=TRUE,Table1938[[#This Row],[IC-05]]=TRUE)</f>
        <v>0</v>
      </c>
      <c r="AC441" s="2" t="b">
        <f>AND(Table1938[[#This Row],[Pass-IC]]=TRUE,Table1938[[#This Row],[Pass-EC]]=TRUE)</f>
        <v>0</v>
      </c>
      <c r="AD441" s="2" t="b">
        <f>COUNTIF($D$25:D441, Table1938[[#This Row],[Title]]) = 1</f>
        <v>1</v>
      </c>
      <c r="AE441" s="2" t="b">
        <f>AND(Table1938[[#This Row],[IC + EC]:[Unique]])</f>
        <v>0</v>
      </c>
      <c r="AF441" s="2" t="b">
        <v>0</v>
      </c>
      <c r="AG441" s="2" t="b">
        <v>0</v>
      </c>
      <c r="AH441" s="2" t="b">
        <v>0</v>
      </c>
      <c r="AI441" s="2" t="b">
        <f>IF(AND(Table1938[[#This Row],[Double Check]]=TRUE,Table1938[[#This Row],[Inspected]]=TRUE,Table1938[[#This Row],[Relevant]]=TRUE),TRUE,FALSE)</f>
        <v>0</v>
      </c>
    </row>
    <row r="442" spans="1:35" ht="57.35" x14ac:dyDescent="0.5">
      <c r="A442" s="2">
        <v>441</v>
      </c>
      <c r="B442" s="20" t="s">
        <v>3</v>
      </c>
      <c r="C442" s="20" t="s">
        <v>3616</v>
      </c>
      <c r="D442" s="20" t="s">
        <v>1219</v>
      </c>
      <c r="E442" s="20" t="s">
        <v>1218</v>
      </c>
      <c r="F442" s="2" t="s">
        <v>1221</v>
      </c>
      <c r="G442" s="20" t="s">
        <v>954</v>
      </c>
      <c r="H442" s="36">
        <v>43969</v>
      </c>
      <c r="I442" s="20">
        <v>2020</v>
      </c>
      <c r="J442" s="20" t="s">
        <v>61</v>
      </c>
      <c r="K442" s="20" t="s">
        <v>3617</v>
      </c>
      <c r="L442" s="20" t="s">
        <v>2515</v>
      </c>
      <c r="M442" s="20" t="s">
        <v>1220</v>
      </c>
      <c r="N442" s="20" t="b">
        <v>1</v>
      </c>
      <c r="O442" s="2" t="b">
        <f>IF(Table1938[[#This Row],[Title]]="",TRUE,FALSE)</f>
        <v>0</v>
      </c>
      <c r="P442" s="2" t="b">
        <f>IF(Table1938[[#This Row],[Author]]="",TRUE,FALSE)</f>
        <v>0</v>
      </c>
      <c r="Q442" s="2" t="b">
        <f>IF(Table1938[[#This Row],[DOI]]&lt;&gt;"", FALSE,TRUE)</f>
        <v>0</v>
      </c>
      <c r="R442" s="2" t="b">
        <f>IF(Table1938[[#This Row],[Abstract]]="",TRUE,FALSE)</f>
        <v>0</v>
      </c>
      <c r="S442" s="2" t="b">
        <f>IF(OR(Table1938[[#This Row],[Document Type]]="book",Table1938[[#This Row],[Document Type]]="bookSection"),TRUE,FALSE)</f>
        <v>0</v>
      </c>
      <c r="T442" s="2" t="b">
        <f>NOT(IF(OR(Table1938[[#This Row],[Language]]&lt;&gt;"en",Table1938[[#This Row],[Language]]&lt;&gt;"EN",Table1938[[#This Row],[Language]]&lt;&gt;"spa",Table1938[[#This Row],[Language]]&lt;&gt;"SPA"),TRUE,FALSE))</f>
        <v>0</v>
      </c>
      <c r="U442" s="2" t="b">
        <f>IF(AND(Table1938[[#This Row],[EC-01]]=FALSE,Table1938[[#This Row],[EC-02]]=FALSE,Table1938[[#This Row],[EC-03]]=FALSE,Table1938[[#This Row],[EC-04]]=FALSE,Table1938[[#This Row],[EC-05]]=FALSE,Table1938[[#This Row],[EC-06]]=FALSE),TRUE,FALSE)</f>
        <v>1</v>
      </c>
      <c r="V442" s="2" t="b">
        <f>IF(Table1938[[#This Row],[Date]]&lt;&gt;"",AND(YEAR(Table1938[[#This Row],[Date]])&gt;=2010, YEAR(Table1938[[#This Row],[Date]])&lt;=2024),FALSE)</f>
        <v>1</v>
      </c>
      <c r="W442" s="2" t="b">
        <f>IF(Table1938[[#This Row],[Date]]&lt;&gt;"",AND(YEAR(Table1938[[#This Row],[Date]])&gt;=2010, YEAR(Table1938[[#This Row],[Date]])&lt;=2020),FALSE)</f>
        <v>1</v>
      </c>
      <c r="X442" s="2" t="b">
        <f>IF(AND(Table1938[[#This Row],[Accesible]]=TRUE,Table1938[[#This Row],[DOI]]&lt;&gt;""),TRUE,FALSE)</f>
        <v>1</v>
      </c>
      <c r="Y442" s="2" t="b">
        <f>OR(Table1938[[#This Row],[Document Type]]="journalArticle",Table1938[[#This Row],[Document Type]]="conferencePaper",Table1938[[#This Row],[Document Type]]="review")</f>
        <v>1</v>
      </c>
      <c r="Z442" s="2" t="b" cm="1">
        <f t="array" ref="Z442">SUMPRODUCT(--ISNUMBER(SEARCH({"dimensional analysis","dimensionless coefficients","Π","Pi","theorem","software","design","tools","development","architecture","similar"}, LOWER(Table1938[[#This Row],[Title]]))))&gt;0</f>
        <v>0</v>
      </c>
      <c r="AA442" s="2" t="b" cm="1">
        <f t="array" ref="AA442">SUMPRODUCT(--ISNUMBER(SEARCH({"dimensional analysis","dimensionless coefficients","Π","Pi","theorem","software","design","tools","development","architecture","similar"}, LOWER(Table1938[[#This Row],[Abstract]]))))&gt;0</f>
        <v>1</v>
      </c>
      <c r="AB442" s="2" t="b">
        <f>AND(OR(Table1938[[#This Row],[IC-01 @2024]:[IC-01 @2020]])=TRUE,Table1938[[#This Row],[IC-02]]=TRUE,Table1938[[#This Row],[IC-03]]=TRUE,Table1938[[#This Row],[IC-04]]=TRUE,Table1938[[#This Row],[IC-05]]=TRUE)</f>
        <v>0</v>
      </c>
      <c r="AC442" s="2" t="b">
        <f>AND(Table1938[[#This Row],[Pass-IC]]=TRUE,Table1938[[#This Row],[Pass-EC]]=TRUE)</f>
        <v>0</v>
      </c>
      <c r="AD442" s="2" t="b">
        <f>COUNTIF($D$25:D442, Table1938[[#This Row],[Title]]) = 1</f>
        <v>1</v>
      </c>
      <c r="AE442" s="2" t="b">
        <f>AND(Table1938[[#This Row],[IC + EC]:[Unique]])</f>
        <v>0</v>
      </c>
      <c r="AF442" s="2" t="b">
        <v>0</v>
      </c>
      <c r="AG442" s="2" t="b">
        <v>0</v>
      </c>
      <c r="AH442" s="2" t="b">
        <v>0</v>
      </c>
      <c r="AI442" s="2" t="b">
        <f>IF(AND(Table1938[[#This Row],[Double Check]]=TRUE,Table1938[[#This Row],[Inspected]]=TRUE,Table1938[[#This Row],[Relevant]]=TRUE),TRUE,FALSE)</f>
        <v>0</v>
      </c>
    </row>
    <row r="443" spans="1:35" ht="43" x14ac:dyDescent="0.5">
      <c r="A443" s="2">
        <v>442</v>
      </c>
      <c r="B443" s="20" t="s">
        <v>3</v>
      </c>
      <c r="C443" s="20" t="s">
        <v>3618</v>
      </c>
      <c r="D443" s="20" t="s">
        <v>1529</v>
      </c>
      <c r="E443" s="20" t="s">
        <v>1528</v>
      </c>
      <c r="F443" s="2" t="s">
        <v>1532</v>
      </c>
      <c r="G443" s="20" t="s">
        <v>1530</v>
      </c>
      <c r="H443" s="36">
        <v>42050</v>
      </c>
      <c r="I443" s="20">
        <v>2015</v>
      </c>
      <c r="J443" s="20" t="s">
        <v>61</v>
      </c>
      <c r="K443" s="20" t="s">
        <v>3619</v>
      </c>
      <c r="L443" s="20" t="s">
        <v>2515</v>
      </c>
      <c r="M443" s="20" t="s">
        <v>1531</v>
      </c>
      <c r="N443" s="20" t="b">
        <v>1</v>
      </c>
      <c r="O443" s="2" t="b">
        <f>IF(Table1938[[#This Row],[Title]]="",TRUE,FALSE)</f>
        <v>0</v>
      </c>
      <c r="P443" s="2" t="b">
        <f>IF(Table1938[[#This Row],[Author]]="",TRUE,FALSE)</f>
        <v>0</v>
      </c>
      <c r="Q443" s="2" t="b">
        <f>IF(Table1938[[#This Row],[DOI]]&lt;&gt;"", FALSE,TRUE)</f>
        <v>0</v>
      </c>
      <c r="R443" s="2" t="b">
        <f>IF(Table1938[[#This Row],[Abstract]]="",TRUE,FALSE)</f>
        <v>0</v>
      </c>
      <c r="S443" s="2" t="b">
        <f>IF(OR(Table1938[[#This Row],[Document Type]]="book",Table1938[[#This Row],[Document Type]]="bookSection"),TRUE,FALSE)</f>
        <v>0</v>
      </c>
      <c r="T443" s="2" t="b">
        <f>NOT(IF(OR(Table1938[[#This Row],[Language]]&lt;&gt;"en",Table1938[[#This Row],[Language]]&lt;&gt;"EN",Table1938[[#This Row],[Language]]&lt;&gt;"spa",Table1938[[#This Row],[Language]]&lt;&gt;"SPA"),TRUE,FALSE))</f>
        <v>0</v>
      </c>
      <c r="U443" s="2" t="b">
        <f>IF(AND(Table1938[[#This Row],[EC-01]]=FALSE,Table1938[[#This Row],[EC-02]]=FALSE,Table1938[[#This Row],[EC-03]]=FALSE,Table1938[[#This Row],[EC-04]]=FALSE,Table1938[[#This Row],[EC-05]]=FALSE,Table1938[[#This Row],[EC-06]]=FALSE),TRUE,FALSE)</f>
        <v>1</v>
      </c>
      <c r="V443" s="2" t="b">
        <f>IF(Table1938[[#This Row],[Date]]&lt;&gt;"",AND(YEAR(Table1938[[#This Row],[Date]])&gt;=2010, YEAR(Table1938[[#This Row],[Date]])&lt;=2024),FALSE)</f>
        <v>1</v>
      </c>
      <c r="W443" s="2" t="b">
        <f>IF(Table1938[[#This Row],[Date]]&lt;&gt;"",AND(YEAR(Table1938[[#This Row],[Date]])&gt;=2010, YEAR(Table1938[[#This Row],[Date]])&lt;=2020),FALSE)</f>
        <v>1</v>
      </c>
      <c r="X443" s="2" t="b">
        <f>IF(AND(Table1938[[#This Row],[Accesible]]=TRUE,Table1938[[#This Row],[DOI]]&lt;&gt;""),TRUE,FALSE)</f>
        <v>1</v>
      </c>
      <c r="Y443" s="2" t="b">
        <f>OR(Table1938[[#This Row],[Document Type]]="journalArticle",Table1938[[#This Row],[Document Type]]="conferencePaper",Table1938[[#This Row],[Document Type]]="review")</f>
        <v>1</v>
      </c>
      <c r="Z443" s="2" t="b" cm="1">
        <f t="array" ref="Z443">SUMPRODUCT(--ISNUMBER(SEARCH({"dimensional analysis","dimensionless coefficients","Π","Pi","theorem","software","design","tools","development","architecture","similar"}, LOWER(Table1938[[#This Row],[Title]]))))&gt;0</f>
        <v>1</v>
      </c>
      <c r="AA443" s="2" t="b" cm="1">
        <f t="array" ref="AA443">SUMPRODUCT(--ISNUMBER(SEARCH({"dimensional analysis","dimensionless coefficients","Π","Pi","theorem","software","design","tools","development","architecture","similar"}, LOWER(Table1938[[#This Row],[Abstract]]))))&gt;0</f>
        <v>1</v>
      </c>
      <c r="AB443" s="2" t="b">
        <f>AND(OR(Table1938[[#This Row],[IC-01 @2024]:[IC-01 @2020]])=TRUE,Table1938[[#This Row],[IC-02]]=TRUE,Table1938[[#This Row],[IC-03]]=TRUE,Table1938[[#This Row],[IC-04]]=TRUE,Table1938[[#This Row],[IC-05]]=TRUE)</f>
        <v>1</v>
      </c>
      <c r="AC443" s="2" t="b">
        <f>AND(Table1938[[#This Row],[Pass-IC]]=TRUE,Table1938[[#This Row],[Pass-EC]]=TRUE)</f>
        <v>1</v>
      </c>
      <c r="AD443" s="2" t="b">
        <f>COUNTIF($D$25:D443, Table1938[[#This Row],[Title]]) = 1</f>
        <v>1</v>
      </c>
      <c r="AE443" s="2" t="b">
        <f>AND(Table1938[[#This Row],[IC + EC]:[Unique]])</f>
        <v>1</v>
      </c>
      <c r="AF443" s="2" t="b">
        <v>1</v>
      </c>
      <c r="AG443" s="2" t="b">
        <v>0</v>
      </c>
      <c r="AH443" s="2" t="b">
        <v>0</v>
      </c>
      <c r="AI443" s="2" t="b">
        <f>IF(AND(Table1938[[#This Row],[Double Check]]=TRUE,Table1938[[#This Row],[Inspected]]=TRUE,Table1938[[#This Row],[Relevant]]=TRUE),TRUE,FALSE)</f>
        <v>0</v>
      </c>
    </row>
    <row r="444" spans="1:35" ht="57.35" x14ac:dyDescent="0.5">
      <c r="A444" s="2">
        <v>443</v>
      </c>
      <c r="B444" s="20" t="s">
        <v>3</v>
      </c>
      <c r="C444" s="20" t="s">
        <v>3620</v>
      </c>
      <c r="D444" s="20" t="s">
        <v>1394</v>
      </c>
      <c r="E444" s="20" t="s">
        <v>1393</v>
      </c>
      <c r="F444" s="2" t="s">
        <v>1396</v>
      </c>
      <c r="G444" s="20" t="s">
        <v>934</v>
      </c>
      <c r="H444" s="36">
        <v>44774</v>
      </c>
      <c r="I444" s="20">
        <v>2022</v>
      </c>
      <c r="J444" s="20" t="s">
        <v>61</v>
      </c>
      <c r="K444" s="20" t="s">
        <v>3621</v>
      </c>
      <c r="L444" s="20" t="s">
        <v>2515</v>
      </c>
      <c r="M444" s="20" t="s">
        <v>1395</v>
      </c>
      <c r="N444" s="20" t="b">
        <v>1</v>
      </c>
      <c r="O444" s="2" t="b">
        <f>IF(Table1938[[#This Row],[Title]]="",TRUE,FALSE)</f>
        <v>0</v>
      </c>
      <c r="P444" s="2" t="b">
        <f>IF(Table1938[[#This Row],[Author]]="",TRUE,FALSE)</f>
        <v>0</v>
      </c>
      <c r="Q444" s="2" t="b">
        <f>IF(Table1938[[#This Row],[DOI]]&lt;&gt;"", FALSE,TRUE)</f>
        <v>0</v>
      </c>
      <c r="R444" s="2" t="b">
        <f>IF(Table1938[[#This Row],[Abstract]]="",TRUE,FALSE)</f>
        <v>0</v>
      </c>
      <c r="S444" s="2" t="b">
        <f>IF(OR(Table1938[[#This Row],[Document Type]]="book",Table1938[[#This Row],[Document Type]]="bookSection"),TRUE,FALSE)</f>
        <v>0</v>
      </c>
      <c r="T444" s="2" t="b">
        <f>NOT(IF(OR(Table1938[[#This Row],[Language]]&lt;&gt;"en",Table1938[[#This Row],[Language]]&lt;&gt;"EN",Table1938[[#This Row],[Language]]&lt;&gt;"spa",Table1938[[#This Row],[Language]]&lt;&gt;"SPA"),TRUE,FALSE))</f>
        <v>0</v>
      </c>
      <c r="U444" s="2" t="b">
        <f>IF(AND(Table1938[[#This Row],[EC-01]]=FALSE,Table1938[[#This Row],[EC-02]]=FALSE,Table1938[[#This Row],[EC-03]]=FALSE,Table1938[[#This Row],[EC-04]]=FALSE,Table1938[[#This Row],[EC-05]]=FALSE,Table1938[[#This Row],[EC-06]]=FALSE),TRUE,FALSE)</f>
        <v>1</v>
      </c>
      <c r="V444" s="2" t="b">
        <f>IF(Table1938[[#This Row],[Date]]&lt;&gt;"",AND(YEAR(Table1938[[#This Row],[Date]])&gt;=2010, YEAR(Table1938[[#This Row],[Date]])&lt;=2024),FALSE)</f>
        <v>1</v>
      </c>
      <c r="W444" s="2" t="b">
        <f>IF(Table1938[[#This Row],[Date]]&lt;&gt;"",AND(YEAR(Table1938[[#This Row],[Date]])&gt;=2010, YEAR(Table1938[[#This Row],[Date]])&lt;=2020),FALSE)</f>
        <v>0</v>
      </c>
      <c r="X444" s="2" t="b">
        <f>IF(AND(Table1938[[#This Row],[Accesible]]=TRUE,Table1938[[#This Row],[DOI]]&lt;&gt;""),TRUE,FALSE)</f>
        <v>1</v>
      </c>
      <c r="Y444" s="2" t="b">
        <f>OR(Table1938[[#This Row],[Document Type]]="journalArticle",Table1938[[#This Row],[Document Type]]="conferencePaper",Table1938[[#This Row],[Document Type]]="review")</f>
        <v>1</v>
      </c>
      <c r="Z444" s="2" t="b" cm="1">
        <f t="array" ref="Z444">SUMPRODUCT(--ISNUMBER(SEARCH({"dimensional analysis","dimensionless coefficients","Π","Pi","theorem","software","design","tools","development","architecture","similar"}, LOWER(Table1938[[#This Row],[Title]]))))&gt;0</f>
        <v>0</v>
      </c>
      <c r="AA444" s="2" t="b" cm="1">
        <f t="array" ref="AA444">SUMPRODUCT(--ISNUMBER(SEARCH({"dimensional analysis","dimensionless coefficients","Π","Pi","theorem","software","design","tools","development","architecture","similar"}, LOWER(Table1938[[#This Row],[Abstract]]))))&gt;0</f>
        <v>1</v>
      </c>
      <c r="AB444" s="2" t="b">
        <f>AND(OR(Table1938[[#This Row],[IC-01 @2024]:[IC-01 @2020]])=TRUE,Table1938[[#This Row],[IC-02]]=TRUE,Table1938[[#This Row],[IC-03]]=TRUE,Table1938[[#This Row],[IC-04]]=TRUE,Table1938[[#This Row],[IC-05]]=TRUE)</f>
        <v>0</v>
      </c>
      <c r="AC444" s="2" t="b">
        <f>AND(Table1938[[#This Row],[Pass-IC]]=TRUE,Table1938[[#This Row],[Pass-EC]]=TRUE)</f>
        <v>0</v>
      </c>
      <c r="AD444" s="2" t="b">
        <f>COUNTIF($D$25:D444, Table1938[[#This Row],[Title]]) = 1</f>
        <v>1</v>
      </c>
      <c r="AE444" s="2" t="b">
        <f>AND(Table1938[[#This Row],[IC + EC]:[Unique]])</f>
        <v>0</v>
      </c>
      <c r="AF444" s="2" t="b">
        <v>0</v>
      </c>
      <c r="AG444" s="2" t="b">
        <v>0</v>
      </c>
      <c r="AH444" s="2" t="b">
        <v>0</v>
      </c>
      <c r="AI444" s="2" t="b">
        <f>IF(AND(Table1938[[#This Row],[Double Check]]=TRUE,Table1938[[#This Row],[Inspected]]=TRUE,Table1938[[#This Row],[Relevant]]=TRUE),TRUE,FALSE)</f>
        <v>0</v>
      </c>
    </row>
    <row r="445" spans="1:35" ht="71.7" x14ac:dyDescent="0.5">
      <c r="A445" s="2">
        <v>444</v>
      </c>
      <c r="B445" s="20" t="s">
        <v>3</v>
      </c>
      <c r="C445" s="20" t="s">
        <v>3622</v>
      </c>
      <c r="D445" s="20" t="s">
        <v>1073</v>
      </c>
      <c r="E445" s="20" t="s">
        <v>1072</v>
      </c>
      <c r="F445" s="2" t="s">
        <v>1075</v>
      </c>
      <c r="G445" s="20" t="s">
        <v>922</v>
      </c>
      <c r="H445" s="36">
        <v>45641</v>
      </c>
      <c r="I445" s="20">
        <v>2024</v>
      </c>
      <c r="J445" s="20" t="s">
        <v>61</v>
      </c>
      <c r="K445" s="20" t="s">
        <v>3623</v>
      </c>
      <c r="L445" s="20" t="s">
        <v>2515</v>
      </c>
      <c r="M445" s="20" t="s">
        <v>1074</v>
      </c>
      <c r="N445" s="20" t="b">
        <v>1</v>
      </c>
      <c r="O445" s="2" t="b">
        <f>IF(Table1938[[#This Row],[Title]]="",TRUE,FALSE)</f>
        <v>0</v>
      </c>
      <c r="P445" s="2" t="b">
        <f>IF(Table1938[[#This Row],[Author]]="",TRUE,FALSE)</f>
        <v>0</v>
      </c>
      <c r="Q445" s="2" t="b">
        <f>IF(Table1938[[#This Row],[DOI]]&lt;&gt;"", FALSE,TRUE)</f>
        <v>0</v>
      </c>
      <c r="R445" s="2" t="b">
        <f>IF(Table1938[[#This Row],[Abstract]]="",TRUE,FALSE)</f>
        <v>0</v>
      </c>
      <c r="S445" s="2" t="b">
        <f>IF(OR(Table1938[[#This Row],[Document Type]]="book",Table1938[[#This Row],[Document Type]]="bookSection"),TRUE,FALSE)</f>
        <v>0</v>
      </c>
      <c r="T445" s="2" t="b">
        <f>NOT(IF(OR(Table1938[[#This Row],[Language]]&lt;&gt;"en",Table1938[[#This Row],[Language]]&lt;&gt;"EN",Table1938[[#This Row],[Language]]&lt;&gt;"spa",Table1938[[#This Row],[Language]]&lt;&gt;"SPA"),TRUE,FALSE))</f>
        <v>0</v>
      </c>
      <c r="U445" s="2" t="b">
        <f>IF(AND(Table1938[[#This Row],[EC-01]]=FALSE,Table1938[[#This Row],[EC-02]]=FALSE,Table1938[[#This Row],[EC-03]]=FALSE,Table1938[[#This Row],[EC-04]]=FALSE,Table1938[[#This Row],[EC-05]]=FALSE,Table1938[[#This Row],[EC-06]]=FALSE),TRUE,FALSE)</f>
        <v>1</v>
      </c>
      <c r="V445" s="2" t="b">
        <f>IF(Table1938[[#This Row],[Date]]&lt;&gt;"",AND(YEAR(Table1938[[#This Row],[Date]])&gt;=2010, YEAR(Table1938[[#This Row],[Date]])&lt;=2024),FALSE)</f>
        <v>1</v>
      </c>
      <c r="W445" s="2" t="b">
        <f>IF(Table1938[[#This Row],[Date]]&lt;&gt;"",AND(YEAR(Table1938[[#This Row],[Date]])&gt;=2010, YEAR(Table1938[[#This Row],[Date]])&lt;=2020),FALSE)</f>
        <v>0</v>
      </c>
      <c r="X445" s="2" t="b">
        <f>IF(AND(Table1938[[#This Row],[Accesible]]=TRUE,Table1938[[#This Row],[DOI]]&lt;&gt;""),TRUE,FALSE)</f>
        <v>1</v>
      </c>
      <c r="Y445" s="2" t="b">
        <f>OR(Table1938[[#This Row],[Document Type]]="journalArticle",Table1938[[#This Row],[Document Type]]="conferencePaper",Table1938[[#This Row],[Document Type]]="review")</f>
        <v>1</v>
      </c>
      <c r="Z445" s="2" t="b" cm="1">
        <f t="array" ref="Z445">SUMPRODUCT(--ISNUMBER(SEARCH({"dimensional analysis","dimensionless coefficients","Π","Pi","theorem","software","design","tools","development","architecture","similar"}, LOWER(Table1938[[#This Row],[Title]]))))&gt;0</f>
        <v>0</v>
      </c>
      <c r="AA445" s="2" t="b" cm="1">
        <f t="array" ref="AA445">SUMPRODUCT(--ISNUMBER(SEARCH({"dimensional analysis","dimensionless coefficients","Π","Pi","theorem","software","design","tools","development","architecture","similar"}, LOWER(Table1938[[#This Row],[Abstract]]))))&gt;0</f>
        <v>1</v>
      </c>
      <c r="AB445" s="2" t="b">
        <f>AND(OR(Table1938[[#This Row],[IC-01 @2024]:[IC-01 @2020]])=TRUE,Table1938[[#This Row],[IC-02]]=TRUE,Table1938[[#This Row],[IC-03]]=TRUE,Table1938[[#This Row],[IC-04]]=TRUE,Table1938[[#This Row],[IC-05]]=TRUE)</f>
        <v>0</v>
      </c>
      <c r="AC445" s="2" t="b">
        <f>AND(Table1938[[#This Row],[Pass-IC]]=TRUE,Table1938[[#This Row],[Pass-EC]]=TRUE)</f>
        <v>0</v>
      </c>
      <c r="AD445" s="2" t="b">
        <f>COUNTIF($D$25:D445, Table1938[[#This Row],[Title]]) = 1</f>
        <v>1</v>
      </c>
      <c r="AE445" s="2" t="b">
        <f>AND(Table1938[[#This Row],[IC + EC]:[Unique]])</f>
        <v>0</v>
      </c>
      <c r="AF445" s="2" t="b">
        <v>0</v>
      </c>
      <c r="AG445" s="2" t="b">
        <v>0</v>
      </c>
      <c r="AH445" s="2" t="b">
        <v>0</v>
      </c>
      <c r="AI445" s="2" t="b">
        <f>IF(AND(Table1938[[#This Row],[Double Check]]=TRUE,Table1938[[#This Row],[Inspected]]=TRUE,Table1938[[#This Row],[Relevant]]=TRUE),TRUE,FALSE)</f>
        <v>0</v>
      </c>
    </row>
    <row r="446" spans="1:35" ht="43" x14ac:dyDescent="0.5">
      <c r="A446" s="2">
        <v>445</v>
      </c>
      <c r="B446" s="20" t="s">
        <v>3</v>
      </c>
      <c r="C446" s="20" t="s">
        <v>3624</v>
      </c>
      <c r="D446" s="20" t="s">
        <v>2319</v>
      </c>
      <c r="E446" s="20" t="s">
        <v>2318</v>
      </c>
      <c r="F446" s="2" t="s">
        <v>2321</v>
      </c>
      <c r="G446" s="20" t="s">
        <v>1104</v>
      </c>
      <c r="H446" s="36">
        <v>43101</v>
      </c>
      <c r="I446" s="20">
        <v>2018</v>
      </c>
      <c r="J446" s="20" t="s">
        <v>61</v>
      </c>
      <c r="K446" s="20" t="s">
        <v>3625</v>
      </c>
      <c r="L446" s="20" t="s">
        <v>2515</v>
      </c>
      <c r="M446" s="20" t="s">
        <v>2320</v>
      </c>
      <c r="N446" s="20" t="b">
        <v>1</v>
      </c>
      <c r="O446" s="2" t="b">
        <f>IF(Table1938[[#This Row],[Title]]="",TRUE,FALSE)</f>
        <v>0</v>
      </c>
      <c r="P446" s="2" t="b">
        <f>IF(Table1938[[#This Row],[Author]]="",TRUE,FALSE)</f>
        <v>0</v>
      </c>
      <c r="Q446" s="2" t="b">
        <f>IF(Table1938[[#This Row],[DOI]]&lt;&gt;"", FALSE,TRUE)</f>
        <v>0</v>
      </c>
      <c r="R446" s="2" t="b">
        <f>IF(Table1938[[#This Row],[Abstract]]="",TRUE,FALSE)</f>
        <v>0</v>
      </c>
      <c r="S446" s="2" t="b">
        <f>IF(OR(Table1938[[#This Row],[Document Type]]="book",Table1938[[#This Row],[Document Type]]="bookSection"),TRUE,FALSE)</f>
        <v>0</v>
      </c>
      <c r="T446" s="2" t="b">
        <f>NOT(IF(OR(Table1938[[#This Row],[Language]]&lt;&gt;"en",Table1938[[#This Row],[Language]]&lt;&gt;"EN",Table1938[[#This Row],[Language]]&lt;&gt;"spa",Table1938[[#This Row],[Language]]&lt;&gt;"SPA"),TRUE,FALSE))</f>
        <v>0</v>
      </c>
      <c r="U446" s="2" t="b">
        <f>IF(AND(Table1938[[#This Row],[EC-01]]=FALSE,Table1938[[#This Row],[EC-02]]=FALSE,Table1938[[#This Row],[EC-03]]=FALSE,Table1938[[#This Row],[EC-04]]=FALSE,Table1938[[#This Row],[EC-05]]=FALSE,Table1938[[#This Row],[EC-06]]=FALSE),TRUE,FALSE)</f>
        <v>1</v>
      </c>
      <c r="V446" s="2" t="b">
        <f>IF(Table1938[[#This Row],[Date]]&lt;&gt;"",AND(YEAR(Table1938[[#This Row],[Date]])&gt;=2010, YEAR(Table1938[[#This Row],[Date]])&lt;=2024),FALSE)</f>
        <v>1</v>
      </c>
      <c r="W446" s="2" t="b">
        <f>IF(Table1938[[#This Row],[Date]]&lt;&gt;"",AND(YEAR(Table1938[[#This Row],[Date]])&gt;=2010, YEAR(Table1938[[#This Row],[Date]])&lt;=2020),FALSE)</f>
        <v>1</v>
      </c>
      <c r="X446" s="2" t="b">
        <f>IF(AND(Table1938[[#This Row],[Accesible]]=TRUE,Table1938[[#This Row],[DOI]]&lt;&gt;""),TRUE,FALSE)</f>
        <v>1</v>
      </c>
      <c r="Y446" s="2" t="b">
        <f>OR(Table1938[[#This Row],[Document Type]]="journalArticle",Table1938[[#This Row],[Document Type]]="conferencePaper",Table1938[[#This Row],[Document Type]]="review")</f>
        <v>1</v>
      </c>
      <c r="Z446" s="2" t="b" cm="1">
        <f t="array" ref="Z446">SUMPRODUCT(--ISNUMBER(SEARCH({"dimensional analysis","dimensionless coefficients","Π","Pi","theorem","software","design","tools","development","architecture","similar"}, LOWER(Table1938[[#This Row],[Title]]))))&gt;0</f>
        <v>0</v>
      </c>
      <c r="AA446" s="2" t="b" cm="1">
        <f t="array" ref="AA446">SUMPRODUCT(--ISNUMBER(SEARCH({"dimensional analysis","dimensionless coefficients","Π","Pi","theorem","software","design","tools","development","architecture","similar"}, LOWER(Table1938[[#This Row],[Abstract]]))))&gt;0</f>
        <v>0</v>
      </c>
      <c r="AB446" s="2" t="b">
        <f>AND(OR(Table1938[[#This Row],[IC-01 @2024]:[IC-01 @2020]])=TRUE,Table1938[[#This Row],[IC-02]]=TRUE,Table1938[[#This Row],[IC-03]]=TRUE,Table1938[[#This Row],[IC-04]]=TRUE,Table1938[[#This Row],[IC-05]]=TRUE)</f>
        <v>0</v>
      </c>
      <c r="AC446" s="2" t="b">
        <f>AND(Table1938[[#This Row],[Pass-IC]]=TRUE,Table1938[[#This Row],[Pass-EC]]=TRUE)</f>
        <v>0</v>
      </c>
      <c r="AD446" s="2" t="b">
        <f>COUNTIF($D$25:D446, Table1938[[#This Row],[Title]]) = 1</f>
        <v>1</v>
      </c>
      <c r="AE446" s="2" t="b">
        <f>AND(Table1938[[#This Row],[IC + EC]:[Unique]])</f>
        <v>0</v>
      </c>
      <c r="AF446" s="2" t="b">
        <v>0</v>
      </c>
      <c r="AG446" s="2" t="b">
        <v>0</v>
      </c>
      <c r="AH446" s="2" t="b">
        <v>0</v>
      </c>
      <c r="AI446" s="2" t="b">
        <f>IF(AND(Table1938[[#This Row],[Double Check]]=TRUE,Table1938[[#This Row],[Inspected]]=TRUE,Table1938[[#This Row],[Relevant]]=TRUE),TRUE,FALSE)</f>
        <v>0</v>
      </c>
    </row>
    <row r="447" spans="1:35" ht="43" x14ac:dyDescent="0.5">
      <c r="A447" s="2">
        <v>446</v>
      </c>
      <c r="B447" s="20" t="s">
        <v>3</v>
      </c>
      <c r="C447" s="20" t="s">
        <v>3626</v>
      </c>
      <c r="D447" s="20" t="s">
        <v>1632</v>
      </c>
      <c r="E447" s="20" t="s">
        <v>1631</v>
      </c>
      <c r="F447" s="2" t="s">
        <v>1634</v>
      </c>
      <c r="G447" s="20" t="s">
        <v>921</v>
      </c>
      <c r="H447" s="36">
        <v>44562</v>
      </c>
      <c r="I447" s="20">
        <v>2022</v>
      </c>
      <c r="J447" s="20" t="s">
        <v>61</v>
      </c>
      <c r="K447" s="20" t="s">
        <v>3627</v>
      </c>
      <c r="L447" s="20" t="s">
        <v>2515</v>
      </c>
      <c r="M447" s="20" t="s">
        <v>1633</v>
      </c>
      <c r="N447" s="20" t="b">
        <v>1</v>
      </c>
      <c r="O447" s="2" t="b">
        <f>IF(Table1938[[#This Row],[Title]]="",TRUE,FALSE)</f>
        <v>0</v>
      </c>
      <c r="P447" s="2" t="b">
        <f>IF(Table1938[[#This Row],[Author]]="",TRUE,FALSE)</f>
        <v>0</v>
      </c>
      <c r="Q447" s="2" t="b">
        <f>IF(Table1938[[#This Row],[DOI]]&lt;&gt;"", FALSE,TRUE)</f>
        <v>0</v>
      </c>
      <c r="R447" s="2" t="b">
        <f>IF(Table1938[[#This Row],[Abstract]]="",TRUE,FALSE)</f>
        <v>0</v>
      </c>
      <c r="S447" s="2" t="b">
        <f>IF(OR(Table1938[[#This Row],[Document Type]]="book",Table1938[[#This Row],[Document Type]]="bookSection"),TRUE,FALSE)</f>
        <v>0</v>
      </c>
      <c r="T447" s="2" t="b">
        <f>NOT(IF(OR(Table1938[[#This Row],[Language]]&lt;&gt;"en",Table1938[[#This Row],[Language]]&lt;&gt;"EN",Table1938[[#This Row],[Language]]&lt;&gt;"spa",Table1938[[#This Row],[Language]]&lt;&gt;"SPA"),TRUE,FALSE))</f>
        <v>0</v>
      </c>
      <c r="U447" s="2" t="b">
        <f>IF(AND(Table1938[[#This Row],[EC-01]]=FALSE,Table1938[[#This Row],[EC-02]]=FALSE,Table1938[[#This Row],[EC-03]]=FALSE,Table1938[[#This Row],[EC-04]]=FALSE,Table1938[[#This Row],[EC-05]]=FALSE,Table1938[[#This Row],[EC-06]]=FALSE),TRUE,FALSE)</f>
        <v>1</v>
      </c>
      <c r="V447" s="2" t="b">
        <f>IF(Table1938[[#This Row],[Date]]&lt;&gt;"",AND(YEAR(Table1938[[#This Row],[Date]])&gt;=2010, YEAR(Table1938[[#This Row],[Date]])&lt;=2024),FALSE)</f>
        <v>1</v>
      </c>
      <c r="W447" s="2" t="b">
        <f>IF(Table1938[[#This Row],[Date]]&lt;&gt;"",AND(YEAR(Table1938[[#This Row],[Date]])&gt;=2010, YEAR(Table1938[[#This Row],[Date]])&lt;=2020),FALSE)</f>
        <v>0</v>
      </c>
      <c r="X447" s="2" t="b">
        <f>IF(AND(Table1938[[#This Row],[Accesible]]=TRUE,Table1938[[#This Row],[DOI]]&lt;&gt;""),TRUE,FALSE)</f>
        <v>1</v>
      </c>
      <c r="Y447" s="2" t="b">
        <f>OR(Table1938[[#This Row],[Document Type]]="journalArticle",Table1938[[#This Row],[Document Type]]="conferencePaper",Table1938[[#This Row],[Document Type]]="review")</f>
        <v>1</v>
      </c>
      <c r="Z447" s="2" t="b" cm="1">
        <f t="array" ref="Z447">SUMPRODUCT(--ISNUMBER(SEARCH({"dimensional analysis","dimensionless coefficients","Π","Pi","theorem","software","design","tools","development","architecture","similar"}, LOWER(Table1938[[#This Row],[Title]]))))&gt;0</f>
        <v>1</v>
      </c>
      <c r="AA447" s="2" t="b" cm="1">
        <f t="array" ref="AA447">SUMPRODUCT(--ISNUMBER(SEARCH({"dimensional analysis","dimensionless coefficients","Π","Pi","theorem","software","design","tools","development","architecture","similar"}, LOWER(Table1938[[#This Row],[Abstract]]))))&gt;0</f>
        <v>1</v>
      </c>
      <c r="AB447" s="2" t="b">
        <f>AND(OR(Table1938[[#This Row],[IC-01 @2024]:[IC-01 @2020]])=TRUE,Table1938[[#This Row],[IC-02]]=TRUE,Table1938[[#This Row],[IC-03]]=TRUE,Table1938[[#This Row],[IC-04]]=TRUE,Table1938[[#This Row],[IC-05]]=TRUE)</f>
        <v>1</v>
      </c>
      <c r="AC447" s="2" t="b">
        <f>AND(Table1938[[#This Row],[Pass-IC]]=TRUE,Table1938[[#This Row],[Pass-EC]]=TRUE)</f>
        <v>1</v>
      </c>
      <c r="AD447" s="2" t="b">
        <f>COUNTIF($D$25:D447, Table1938[[#This Row],[Title]]) = 1</f>
        <v>1</v>
      </c>
      <c r="AE447" s="2" t="b">
        <f>AND(Table1938[[#This Row],[IC + EC]:[Unique]])</f>
        <v>1</v>
      </c>
      <c r="AF447" s="2" t="b">
        <v>1</v>
      </c>
      <c r="AG447" s="2" t="b">
        <v>0</v>
      </c>
      <c r="AH447" s="2" t="b">
        <v>0</v>
      </c>
      <c r="AI447" s="2" t="b">
        <f>IF(AND(Table1938[[#This Row],[Double Check]]=TRUE,Table1938[[#This Row],[Inspected]]=TRUE,Table1938[[#This Row],[Relevant]]=TRUE),TRUE,FALSE)</f>
        <v>0</v>
      </c>
    </row>
    <row r="448" spans="1:35" ht="71.7" x14ac:dyDescent="0.5">
      <c r="A448" s="2">
        <v>447</v>
      </c>
      <c r="B448" s="20" t="s">
        <v>3</v>
      </c>
      <c r="C448" s="20" t="s">
        <v>3628</v>
      </c>
      <c r="D448" s="20" t="s">
        <v>313</v>
      </c>
      <c r="E448" s="20" t="s">
        <v>338</v>
      </c>
      <c r="F448" s="2" t="s">
        <v>363</v>
      </c>
      <c r="G448" s="20" t="s">
        <v>922</v>
      </c>
      <c r="H448" s="36">
        <v>44531</v>
      </c>
      <c r="I448" s="20">
        <v>2021</v>
      </c>
      <c r="J448" s="20" t="s">
        <v>61</v>
      </c>
      <c r="K448" s="20" t="s">
        <v>3629</v>
      </c>
      <c r="L448" s="20" t="s">
        <v>2515</v>
      </c>
      <c r="M448" s="20" t="s">
        <v>388</v>
      </c>
      <c r="N448" s="20" t="b">
        <v>1</v>
      </c>
      <c r="O448" s="2" t="b">
        <f>IF(Table1938[[#This Row],[Title]]="",TRUE,FALSE)</f>
        <v>0</v>
      </c>
      <c r="P448" s="2" t="b">
        <f>IF(Table1938[[#This Row],[Author]]="",TRUE,FALSE)</f>
        <v>0</v>
      </c>
      <c r="Q448" s="2" t="b">
        <f>IF(Table1938[[#This Row],[DOI]]&lt;&gt;"", FALSE,TRUE)</f>
        <v>0</v>
      </c>
      <c r="R448" s="2" t="b">
        <f>IF(Table1938[[#This Row],[Abstract]]="",TRUE,FALSE)</f>
        <v>0</v>
      </c>
      <c r="S448" s="2" t="b">
        <f>IF(OR(Table1938[[#This Row],[Document Type]]="book",Table1938[[#This Row],[Document Type]]="bookSection"),TRUE,FALSE)</f>
        <v>0</v>
      </c>
      <c r="T448" s="2" t="b">
        <f>NOT(IF(OR(Table1938[[#This Row],[Language]]&lt;&gt;"en",Table1938[[#This Row],[Language]]&lt;&gt;"EN",Table1938[[#This Row],[Language]]&lt;&gt;"spa",Table1938[[#This Row],[Language]]&lt;&gt;"SPA"),TRUE,FALSE))</f>
        <v>0</v>
      </c>
      <c r="U448" s="2" t="b">
        <f>IF(AND(Table1938[[#This Row],[EC-01]]=FALSE,Table1938[[#This Row],[EC-02]]=FALSE,Table1938[[#This Row],[EC-03]]=FALSE,Table1938[[#This Row],[EC-04]]=FALSE,Table1938[[#This Row],[EC-05]]=FALSE,Table1938[[#This Row],[EC-06]]=FALSE),TRUE,FALSE)</f>
        <v>1</v>
      </c>
      <c r="V448" s="2" t="b">
        <f>IF(Table1938[[#This Row],[Date]]&lt;&gt;"",AND(YEAR(Table1938[[#This Row],[Date]])&gt;=2010, YEAR(Table1938[[#This Row],[Date]])&lt;=2024),FALSE)</f>
        <v>1</v>
      </c>
      <c r="W448" s="2" t="b">
        <f>IF(Table1938[[#This Row],[Date]]&lt;&gt;"",AND(YEAR(Table1938[[#This Row],[Date]])&gt;=2010, YEAR(Table1938[[#This Row],[Date]])&lt;=2020),FALSE)</f>
        <v>0</v>
      </c>
      <c r="X448" s="2" t="b">
        <f>IF(AND(Table1938[[#This Row],[Accesible]]=TRUE,Table1938[[#This Row],[DOI]]&lt;&gt;""),TRUE,FALSE)</f>
        <v>1</v>
      </c>
      <c r="Y448" s="2" t="b">
        <f>OR(Table1938[[#This Row],[Document Type]]="journalArticle",Table1938[[#This Row],[Document Type]]="conferencePaper",Table1938[[#This Row],[Document Type]]="review")</f>
        <v>1</v>
      </c>
      <c r="Z448" s="2" t="b" cm="1">
        <f t="array" ref="Z448">SUMPRODUCT(--ISNUMBER(SEARCH({"dimensional analysis","dimensionless coefficients","Π","Pi","theorem","software","design","tools","development","architecture","similar"}, LOWER(Table1938[[#This Row],[Title]]))))&gt;0</f>
        <v>0</v>
      </c>
      <c r="AA448" s="2" t="b" cm="1">
        <f t="array" ref="AA448">SUMPRODUCT(--ISNUMBER(SEARCH({"dimensional analysis","dimensionless coefficients","Π","Pi","theorem","software","design","tools","development","architecture","similar"}, LOWER(Table1938[[#This Row],[Abstract]]))))&gt;0</f>
        <v>1</v>
      </c>
      <c r="AB448" s="2" t="b">
        <f>AND(OR(Table1938[[#This Row],[IC-01 @2024]:[IC-01 @2020]])=TRUE,Table1938[[#This Row],[IC-02]]=TRUE,Table1938[[#This Row],[IC-03]]=TRUE,Table1938[[#This Row],[IC-04]]=TRUE,Table1938[[#This Row],[IC-05]]=TRUE)</f>
        <v>0</v>
      </c>
      <c r="AC448" s="2" t="b">
        <f>AND(Table1938[[#This Row],[Pass-IC]]=TRUE,Table1938[[#This Row],[Pass-EC]]=TRUE)</f>
        <v>0</v>
      </c>
      <c r="AD448" s="2" t="b">
        <f>COUNTIF($D$25:D448, Table1938[[#This Row],[Title]]) = 1</f>
        <v>1</v>
      </c>
      <c r="AE448" s="2" t="b">
        <f>AND(Table1938[[#This Row],[IC + EC]:[Unique]])</f>
        <v>0</v>
      </c>
      <c r="AF448" s="2" t="b">
        <v>0</v>
      </c>
      <c r="AG448" s="2" t="b">
        <v>0</v>
      </c>
      <c r="AH448" s="2" t="b">
        <v>0</v>
      </c>
      <c r="AI448" s="2" t="b">
        <f>IF(AND(Table1938[[#This Row],[Double Check]]=TRUE,Table1938[[#This Row],[Inspected]]=TRUE,Table1938[[#This Row],[Relevant]]=TRUE),TRUE,FALSE)</f>
        <v>0</v>
      </c>
    </row>
    <row r="449" spans="1:35" ht="43" x14ac:dyDescent="0.5">
      <c r="A449" s="2">
        <v>448</v>
      </c>
      <c r="B449" s="20" t="s">
        <v>3</v>
      </c>
      <c r="C449" s="20" t="s">
        <v>3630</v>
      </c>
      <c r="D449" s="20" t="s">
        <v>1828</v>
      </c>
      <c r="E449" s="20" t="s">
        <v>1827</v>
      </c>
      <c r="F449" s="2" t="s">
        <v>1831</v>
      </c>
      <c r="G449" s="20" t="s">
        <v>1829</v>
      </c>
      <c r="H449" s="36">
        <v>45184</v>
      </c>
      <c r="I449" s="20">
        <v>2023</v>
      </c>
      <c r="J449" s="20" t="s">
        <v>61</v>
      </c>
      <c r="K449" s="20" t="s">
        <v>3631</v>
      </c>
      <c r="L449" s="20" t="s">
        <v>2515</v>
      </c>
      <c r="M449" s="20" t="s">
        <v>1830</v>
      </c>
      <c r="N449" s="20" t="b">
        <v>1</v>
      </c>
      <c r="O449" s="2" t="b">
        <f>IF(Table1938[[#This Row],[Title]]="",TRUE,FALSE)</f>
        <v>0</v>
      </c>
      <c r="P449" s="2" t="b">
        <f>IF(Table1938[[#This Row],[Author]]="",TRUE,FALSE)</f>
        <v>0</v>
      </c>
      <c r="Q449" s="2" t="b">
        <f>IF(Table1938[[#This Row],[DOI]]&lt;&gt;"", FALSE,TRUE)</f>
        <v>0</v>
      </c>
      <c r="R449" s="2" t="b">
        <f>IF(Table1938[[#This Row],[Abstract]]="",TRUE,FALSE)</f>
        <v>0</v>
      </c>
      <c r="S449" s="2" t="b">
        <f>IF(OR(Table1938[[#This Row],[Document Type]]="book",Table1938[[#This Row],[Document Type]]="bookSection"),TRUE,FALSE)</f>
        <v>0</v>
      </c>
      <c r="T449" s="2" t="b">
        <f>NOT(IF(OR(Table1938[[#This Row],[Language]]&lt;&gt;"en",Table1938[[#This Row],[Language]]&lt;&gt;"EN",Table1938[[#This Row],[Language]]&lt;&gt;"spa",Table1938[[#This Row],[Language]]&lt;&gt;"SPA"),TRUE,FALSE))</f>
        <v>0</v>
      </c>
      <c r="U449" s="2" t="b">
        <f>IF(AND(Table1938[[#This Row],[EC-01]]=FALSE,Table1938[[#This Row],[EC-02]]=FALSE,Table1938[[#This Row],[EC-03]]=FALSE,Table1938[[#This Row],[EC-04]]=FALSE,Table1938[[#This Row],[EC-05]]=FALSE,Table1938[[#This Row],[EC-06]]=FALSE),TRUE,FALSE)</f>
        <v>1</v>
      </c>
      <c r="V449" s="2" t="b">
        <f>IF(Table1938[[#This Row],[Date]]&lt;&gt;"",AND(YEAR(Table1938[[#This Row],[Date]])&gt;=2010, YEAR(Table1938[[#This Row],[Date]])&lt;=2024),FALSE)</f>
        <v>1</v>
      </c>
      <c r="W449" s="2" t="b">
        <f>IF(Table1938[[#This Row],[Date]]&lt;&gt;"",AND(YEAR(Table1938[[#This Row],[Date]])&gt;=2010, YEAR(Table1938[[#This Row],[Date]])&lt;=2020),FALSE)</f>
        <v>0</v>
      </c>
      <c r="X449" s="2" t="b">
        <f>IF(AND(Table1938[[#This Row],[Accesible]]=TRUE,Table1938[[#This Row],[DOI]]&lt;&gt;""),TRUE,FALSE)</f>
        <v>1</v>
      </c>
      <c r="Y449" s="2" t="b">
        <f>OR(Table1938[[#This Row],[Document Type]]="journalArticle",Table1938[[#This Row],[Document Type]]="conferencePaper",Table1938[[#This Row],[Document Type]]="review")</f>
        <v>1</v>
      </c>
      <c r="Z449" s="2" t="b" cm="1">
        <f t="array" ref="Z449">SUMPRODUCT(--ISNUMBER(SEARCH({"dimensional analysis","dimensionless coefficients","Π","Pi","theorem","software","design","tools","development","architecture","similar"}, LOWER(Table1938[[#This Row],[Title]]))))&gt;0</f>
        <v>0</v>
      </c>
      <c r="AA449" s="2" t="b" cm="1">
        <f t="array" ref="AA449">SUMPRODUCT(--ISNUMBER(SEARCH({"dimensional analysis","dimensionless coefficients","Π","Pi","theorem","software","design","tools","development","architecture","similar"}, LOWER(Table1938[[#This Row],[Abstract]]))))&gt;0</f>
        <v>0</v>
      </c>
      <c r="AB449" s="2" t="b">
        <f>AND(OR(Table1938[[#This Row],[IC-01 @2024]:[IC-01 @2020]])=TRUE,Table1938[[#This Row],[IC-02]]=TRUE,Table1938[[#This Row],[IC-03]]=TRUE,Table1938[[#This Row],[IC-04]]=TRUE,Table1938[[#This Row],[IC-05]]=TRUE)</f>
        <v>0</v>
      </c>
      <c r="AC449" s="2" t="b">
        <f>AND(Table1938[[#This Row],[Pass-IC]]=TRUE,Table1938[[#This Row],[Pass-EC]]=TRUE)</f>
        <v>0</v>
      </c>
      <c r="AD449" s="2" t="b">
        <f>COUNTIF($D$25:D449, Table1938[[#This Row],[Title]]) = 1</f>
        <v>1</v>
      </c>
      <c r="AE449" s="2" t="b">
        <f>AND(Table1938[[#This Row],[IC + EC]:[Unique]])</f>
        <v>0</v>
      </c>
      <c r="AF449" s="2" t="b">
        <v>0</v>
      </c>
      <c r="AG449" s="2" t="b">
        <v>0</v>
      </c>
      <c r="AH449" s="2" t="b">
        <v>0</v>
      </c>
      <c r="AI449" s="2" t="b">
        <f>IF(AND(Table1938[[#This Row],[Double Check]]=TRUE,Table1938[[#This Row],[Inspected]]=TRUE,Table1938[[#This Row],[Relevant]]=TRUE),TRUE,FALSE)</f>
        <v>0</v>
      </c>
    </row>
    <row r="450" spans="1:35" ht="43" x14ac:dyDescent="0.5">
      <c r="A450" s="2">
        <v>449</v>
      </c>
      <c r="B450" s="20" t="s">
        <v>3</v>
      </c>
      <c r="C450" s="20" t="s">
        <v>3632</v>
      </c>
      <c r="D450" s="20" t="s">
        <v>2051</v>
      </c>
      <c r="E450" s="20" t="s">
        <v>2050</v>
      </c>
      <c r="F450" s="2" t="s">
        <v>2053</v>
      </c>
      <c r="G450" s="20" t="s">
        <v>939</v>
      </c>
      <c r="H450" s="36">
        <v>44713</v>
      </c>
      <c r="I450" s="20">
        <v>2022</v>
      </c>
      <c r="J450" s="20" t="s">
        <v>61</v>
      </c>
      <c r="K450" s="20" t="s">
        <v>3633</v>
      </c>
      <c r="L450" s="20" t="s">
        <v>2515</v>
      </c>
      <c r="M450" s="20" t="s">
        <v>2052</v>
      </c>
      <c r="N450" s="20" t="b">
        <v>1</v>
      </c>
      <c r="O450" s="2" t="b">
        <f>IF(Table1938[[#This Row],[Title]]="",TRUE,FALSE)</f>
        <v>0</v>
      </c>
      <c r="P450" s="2" t="b">
        <f>IF(Table1938[[#This Row],[Author]]="",TRUE,FALSE)</f>
        <v>0</v>
      </c>
      <c r="Q450" s="2" t="b">
        <f>IF(Table1938[[#This Row],[DOI]]&lt;&gt;"", FALSE,TRUE)</f>
        <v>0</v>
      </c>
      <c r="R450" s="2" t="b">
        <f>IF(Table1938[[#This Row],[Abstract]]="",TRUE,FALSE)</f>
        <v>0</v>
      </c>
      <c r="S450" s="2" t="b">
        <f>IF(OR(Table1938[[#This Row],[Document Type]]="book",Table1938[[#This Row],[Document Type]]="bookSection"),TRUE,FALSE)</f>
        <v>0</v>
      </c>
      <c r="T450" s="2" t="b">
        <f>NOT(IF(OR(Table1938[[#This Row],[Language]]&lt;&gt;"en",Table1938[[#This Row],[Language]]&lt;&gt;"EN",Table1938[[#This Row],[Language]]&lt;&gt;"spa",Table1938[[#This Row],[Language]]&lt;&gt;"SPA"),TRUE,FALSE))</f>
        <v>0</v>
      </c>
      <c r="U450" s="2" t="b">
        <f>IF(AND(Table1938[[#This Row],[EC-01]]=FALSE,Table1938[[#This Row],[EC-02]]=FALSE,Table1938[[#This Row],[EC-03]]=FALSE,Table1938[[#This Row],[EC-04]]=FALSE,Table1938[[#This Row],[EC-05]]=FALSE,Table1938[[#This Row],[EC-06]]=FALSE),TRUE,FALSE)</f>
        <v>1</v>
      </c>
      <c r="V450" s="2" t="b">
        <f>IF(Table1938[[#This Row],[Date]]&lt;&gt;"",AND(YEAR(Table1938[[#This Row],[Date]])&gt;=2010, YEAR(Table1938[[#This Row],[Date]])&lt;=2024),FALSE)</f>
        <v>1</v>
      </c>
      <c r="W450" s="2" t="b">
        <f>IF(Table1938[[#This Row],[Date]]&lt;&gt;"",AND(YEAR(Table1938[[#This Row],[Date]])&gt;=2010, YEAR(Table1938[[#This Row],[Date]])&lt;=2020),FALSE)</f>
        <v>0</v>
      </c>
      <c r="X450" s="2" t="b">
        <f>IF(AND(Table1938[[#This Row],[Accesible]]=TRUE,Table1938[[#This Row],[DOI]]&lt;&gt;""),TRUE,FALSE)</f>
        <v>1</v>
      </c>
      <c r="Y450" s="2" t="b">
        <f>OR(Table1938[[#This Row],[Document Type]]="journalArticle",Table1938[[#This Row],[Document Type]]="conferencePaper",Table1938[[#This Row],[Document Type]]="review")</f>
        <v>1</v>
      </c>
      <c r="Z450" s="2" t="b" cm="1">
        <f t="array" ref="Z450">SUMPRODUCT(--ISNUMBER(SEARCH({"dimensional analysis","dimensionless coefficients","Π","Pi","theorem","software","design","tools","development","architecture","similar"}, LOWER(Table1938[[#This Row],[Title]]))))&gt;0</f>
        <v>1</v>
      </c>
      <c r="AA450" s="2" t="b" cm="1">
        <f t="array" ref="AA450">SUMPRODUCT(--ISNUMBER(SEARCH({"dimensional analysis","dimensionless coefficients","Π","Pi","theorem","software","design","tools","development","architecture","similar"}, LOWER(Table1938[[#This Row],[Abstract]]))))&gt;0</f>
        <v>1</v>
      </c>
      <c r="AB450" s="2" t="b">
        <f>AND(OR(Table1938[[#This Row],[IC-01 @2024]:[IC-01 @2020]])=TRUE,Table1938[[#This Row],[IC-02]]=TRUE,Table1938[[#This Row],[IC-03]]=TRUE,Table1938[[#This Row],[IC-04]]=TRUE,Table1938[[#This Row],[IC-05]]=TRUE)</f>
        <v>1</v>
      </c>
      <c r="AC450" s="2" t="b">
        <f>AND(Table1938[[#This Row],[Pass-IC]]=TRUE,Table1938[[#This Row],[Pass-EC]]=TRUE)</f>
        <v>1</v>
      </c>
      <c r="AD450" s="2" t="b">
        <f>COUNTIF($D$25:D450, Table1938[[#This Row],[Title]]) = 1</f>
        <v>1</v>
      </c>
      <c r="AE450" s="2" t="b">
        <f>AND(Table1938[[#This Row],[IC + EC]:[Unique]])</f>
        <v>1</v>
      </c>
      <c r="AF450" s="2" t="b">
        <v>1</v>
      </c>
      <c r="AG450" s="2" t="b">
        <v>0</v>
      </c>
      <c r="AH450" s="2" t="b">
        <v>0</v>
      </c>
      <c r="AI450" s="2" t="b">
        <f>IF(AND(Table1938[[#This Row],[Double Check]]=TRUE,Table1938[[#This Row],[Inspected]]=TRUE,Table1938[[#This Row],[Relevant]]=TRUE),TRUE,FALSE)</f>
        <v>0</v>
      </c>
    </row>
    <row r="451" spans="1:35" ht="57.35" x14ac:dyDescent="0.5">
      <c r="A451" s="2">
        <v>450</v>
      </c>
      <c r="B451" s="20" t="s">
        <v>3</v>
      </c>
      <c r="C451" s="20" t="s">
        <v>3634</v>
      </c>
      <c r="D451" s="20" t="s">
        <v>2118</v>
      </c>
      <c r="E451" s="20" t="s">
        <v>2117</v>
      </c>
      <c r="F451" s="2" t="s">
        <v>2120</v>
      </c>
      <c r="G451" s="20" t="s">
        <v>946</v>
      </c>
      <c r="H451" s="36">
        <v>44256</v>
      </c>
      <c r="I451" s="20">
        <v>2021</v>
      </c>
      <c r="J451" s="20" t="s">
        <v>61</v>
      </c>
      <c r="K451" s="20" t="s">
        <v>3635</v>
      </c>
      <c r="L451" s="20" t="s">
        <v>2515</v>
      </c>
      <c r="M451" s="20" t="s">
        <v>2119</v>
      </c>
      <c r="N451" s="20" t="b">
        <v>1</v>
      </c>
      <c r="O451" s="2" t="b">
        <f>IF(Table1938[[#This Row],[Title]]="",TRUE,FALSE)</f>
        <v>0</v>
      </c>
      <c r="P451" s="2" t="b">
        <f>IF(Table1938[[#This Row],[Author]]="",TRUE,FALSE)</f>
        <v>0</v>
      </c>
      <c r="Q451" s="2" t="b">
        <f>IF(Table1938[[#This Row],[DOI]]&lt;&gt;"", FALSE,TRUE)</f>
        <v>0</v>
      </c>
      <c r="R451" s="2" t="b">
        <f>IF(Table1938[[#This Row],[Abstract]]="",TRUE,FALSE)</f>
        <v>0</v>
      </c>
      <c r="S451" s="2" t="b">
        <f>IF(OR(Table1938[[#This Row],[Document Type]]="book",Table1938[[#This Row],[Document Type]]="bookSection"),TRUE,FALSE)</f>
        <v>0</v>
      </c>
      <c r="T451" s="2" t="b">
        <f>NOT(IF(OR(Table1938[[#This Row],[Language]]&lt;&gt;"en",Table1938[[#This Row],[Language]]&lt;&gt;"EN",Table1938[[#This Row],[Language]]&lt;&gt;"spa",Table1938[[#This Row],[Language]]&lt;&gt;"SPA"),TRUE,FALSE))</f>
        <v>0</v>
      </c>
      <c r="U451" s="2" t="b">
        <f>IF(AND(Table1938[[#This Row],[EC-01]]=FALSE,Table1938[[#This Row],[EC-02]]=FALSE,Table1938[[#This Row],[EC-03]]=FALSE,Table1938[[#This Row],[EC-04]]=FALSE,Table1938[[#This Row],[EC-05]]=FALSE,Table1938[[#This Row],[EC-06]]=FALSE),TRUE,FALSE)</f>
        <v>1</v>
      </c>
      <c r="V451" s="2" t="b">
        <f>IF(Table1938[[#This Row],[Date]]&lt;&gt;"",AND(YEAR(Table1938[[#This Row],[Date]])&gt;=2010, YEAR(Table1938[[#This Row],[Date]])&lt;=2024),FALSE)</f>
        <v>1</v>
      </c>
      <c r="W451" s="2" t="b">
        <f>IF(Table1938[[#This Row],[Date]]&lt;&gt;"",AND(YEAR(Table1938[[#This Row],[Date]])&gt;=2010, YEAR(Table1938[[#This Row],[Date]])&lt;=2020),FALSE)</f>
        <v>0</v>
      </c>
      <c r="X451" s="2" t="b">
        <f>IF(AND(Table1938[[#This Row],[Accesible]]=TRUE,Table1938[[#This Row],[DOI]]&lt;&gt;""),TRUE,FALSE)</f>
        <v>1</v>
      </c>
      <c r="Y451" s="2" t="b">
        <f>OR(Table1938[[#This Row],[Document Type]]="journalArticle",Table1938[[#This Row],[Document Type]]="conferencePaper",Table1938[[#This Row],[Document Type]]="review")</f>
        <v>1</v>
      </c>
      <c r="Z451" s="2" t="b" cm="1">
        <f t="array" ref="Z451">SUMPRODUCT(--ISNUMBER(SEARCH({"dimensional analysis","dimensionless coefficients","Π","Pi","theorem","software","design","tools","development","architecture","similar"}, LOWER(Table1938[[#This Row],[Title]]))))&gt;0</f>
        <v>0</v>
      </c>
      <c r="AA451" s="2" t="b" cm="1">
        <f t="array" ref="AA451">SUMPRODUCT(--ISNUMBER(SEARCH({"dimensional analysis","dimensionless coefficients","Π","Pi","theorem","software","design","tools","development","architecture","similar"}, LOWER(Table1938[[#This Row],[Abstract]]))))&gt;0</f>
        <v>1</v>
      </c>
      <c r="AB451" s="2" t="b">
        <f>AND(OR(Table1938[[#This Row],[IC-01 @2024]:[IC-01 @2020]])=TRUE,Table1938[[#This Row],[IC-02]]=TRUE,Table1938[[#This Row],[IC-03]]=TRUE,Table1938[[#This Row],[IC-04]]=TRUE,Table1938[[#This Row],[IC-05]]=TRUE)</f>
        <v>0</v>
      </c>
      <c r="AC451" s="2" t="b">
        <f>AND(Table1938[[#This Row],[Pass-IC]]=TRUE,Table1938[[#This Row],[Pass-EC]]=TRUE)</f>
        <v>0</v>
      </c>
      <c r="AD451" s="2" t="b">
        <f>COUNTIF($D$25:D451, Table1938[[#This Row],[Title]]) = 1</f>
        <v>1</v>
      </c>
      <c r="AE451" s="2" t="b">
        <f>AND(Table1938[[#This Row],[IC + EC]:[Unique]])</f>
        <v>0</v>
      </c>
      <c r="AF451" s="2" t="b">
        <v>0</v>
      </c>
      <c r="AG451" s="2" t="b">
        <v>0</v>
      </c>
      <c r="AH451" s="2" t="b">
        <v>0</v>
      </c>
      <c r="AI451" s="2" t="b">
        <f>IF(AND(Table1938[[#This Row],[Double Check]]=TRUE,Table1938[[#This Row],[Inspected]]=TRUE,Table1938[[#This Row],[Relevant]]=TRUE),TRUE,FALSE)</f>
        <v>0</v>
      </c>
    </row>
    <row r="452" spans="1:35" ht="57.35" x14ac:dyDescent="0.5">
      <c r="A452" s="2">
        <v>451</v>
      </c>
      <c r="B452" s="20" t="s">
        <v>3</v>
      </c>
      <c r="C452" s="20" t="s">
        <v>3636</v>
      </c>
      <c r="D452" s="20" t="s">
        <v>1499</v>
      </c>
      <c r="E452" s="20" t="s">
        <v>1498</v>
      </c>
      <c r="F452" s="2" t="s">
        <v>1501</v>
      </c>
      <c r="G452" s="20" t="s">
        <v>945</v>
      </c>
      <c r="H452" s="36">
        <v>43466</v>
      </c>
      <c r="I452" s="20">
        <v>2019</v>
      </c>
      <c r="J452" s="20" t="s">
        <v>61</v>
      </c>
      <c r="K452" s="20" t="s">
        <v>3637</v>
      </c>
      <c r="L452" s="20" t="s">
        <v>2515</v>
      </c>
      <c r="M452" s="20" t="s">
        <v>1500</v>
      </c>
      <c r="N452" s="20" t="b">
        <v>1</v>
      </c>
      <c r="O452" s="2" t="b">
        <f>IF(Table1938[[#This Row],[Title]]="",TRUE,FALSE)</f>
        <v>0</v>
      </c>
      <c r="P452" s="2" t="b">
        <f>IF(Table1938[[#This Row],[Author]]="",TRUE,FALSE)</f>
        <v>0</v>
      </c>
      <c r="Q452" s="2" t="b">
        <f>IF(Table1938[[#This Row],[DOI]]&lt;&gt;"", FALSE,TRUE)</f>
        <v>0</v>
      </c>
      <c r="R452" s="2" t="b">
        <f>IF(Table1938[[#This Row],[Abstract]]="",TRUE,FALSE)</f>
        <v>0</v>
      </c>
      <c r="S452" s="2" t="b">
        <f>IF(OR(Table1938[[#This Row],[Document Type]]="book",Table1938[[#This Row],[Document Type]]="bookSection"),TRUE,FALSE)</f>
        <v>0</v>
      </c>
      <c r="T452" s="2" t="b">
        <f>NOT(IF(OR(Table1938[[#This Row],[Language]]&lt;&gt;"en",Table1938[[#This Row],[Language]]&lt;&gt;"EN",Table1938[[#This Row],[Language]]&lt;&gt;"spa",Table1938[[#This Row],[Language]]&lt;&gt;"SPA"),TRUE,FALSE))</f>
        <v>0</v>
      </c>
      <c r="U452" s="2" t="b">
        <f>IF(AND(Table1938[[#This Row],[EC-01]]=FALSE,Table1938[[#This Row],[EC-02]]=FALSE,Table1938[[#This Row],[EC-03]]=FALSE,Table1938[[#This Row],[EC-04]]=FALSE,Table1938[[#This Row],[EC-05]]=FALSE,Table1938[[#This Row],[EC-06]]=FALSE),TRUE,FALSE)</f>
        <v>1</v>
      </c>
      <c r="V452" s="2" t="b">
        <f>IF(Table1938[[#This Row],[Date]]&lt;&gt;"",AND(YEAR(Table1938[[#This Row],[Date]])&gt;=2010, YEAR(Table1938[[#This Row],[Date]])&lt;=2024),FALSE)</f>
        <v>1</v>
      </c>
      <c r="W452" s="2" t="b">
        <f>IF(Table1938[[#This Row],[Date]]&lt;&gt;"",AND(YEAR(Table1938[[#This Row],[Date]])&gt;=2010, YEAR(Table1938[[#This Row],[Date]])&lt;=2020),FALSE)</f>
        <v>1</v>
      </c>
      <c r="X452" s="2" t="b">
        <f>IF(AND(Table1938[[#This Row],[Accesible]]=TRUE,Table1938[[#This Row],[DOI]]&lt;&gt;""),TRUE,FALSE)</f>
        <v>1</v>
      </c>
      <c r="Y452" s="2" t="b">
        <f>OR(Table1938[[#This Row],[Document Type]]="journalArticle",Table1938[[#This Row],[Document Type]]="conferencePaper",Table1938[[#This Row],[Document Type]]="review")</f>
        <v>1</v>
      </c>
      <c r="Z452" s="2" t="b" cm="1">
        <f t="array" ref="Z452">SUMPRODUCT(--ISNUMBER(SEARCH({"dimensional analysis","dimensionless coefficients","Π","Pi","theorem","software","design","tools","development","architecture","similar"}, LOWER(Table1938[[#This Row],[Title]]))))&gt;0</f>
        <v>0</v>
      </c>
      <c r="AA452" s="2" t="b" cm="1">
        <f t="array" ref="AA452">SUMPRODUCT(--ISNUMBER(SEARCH({"dimensional analysis","dimensionless coefficients","Π","Pi","theorem","software","design","tools","development","architecture","similar"}, LOWER(Table1938[[#This Row],[Abstract]]))))&gt;0</f>
        <v>1</v>
      </c>
      <c r="AB452" s="2" t="b">
        <f>AND(OR(Table1938[[#This Row],[IC-01 @2024]:[IC-01 @2020]])=TRUE,Table1938[[#This Row],[IC-02]]=TRUE,Table1938[[#This Row],[IC-03]]=TRUE,Table1938[[#This Row],[IC-04]]=TRUE,Table1938[[#This Row],[IC-05]]=TRUE)</f>
        <v>0</v>
      </c>
      <c r="AC452" s="2" t="b">
        <f>AND(Table1938[[#This Row],[Pass-IC]]=TRUE,Table1938[[#This Row],[Pass-EC]]=TRUE)</f>
        <v>0</v>
      </c>
      <c r="AD452" s="2" t="b">
        <f>COUNTIF($D$25:D452, Table1938[[#This Row],[Title]]) = 1</f>
        <v>1</v>
      </c>
      <c r="AE452" s="2" t="b">
        <f>AND(Table1938[[#This Row],[IC + EC]:[Unique]])</f>
        <v>0</v>
      </c>
      <c r="AF452" s="2" t="b">
        <v>0</v>
      </c>
      <c r="AG452" s="2" t="b">
        <v>0</v>
      </c>
      <c r="AH452" s="2" t="b">
        <v>0</v>
      </c>
      <c r="AI452" s="2" t="b">
        <f>IF(AND(Table1938[[#This Row],[Double Check]]=TRUE,Table1938[[#This Row],[Inspected]]=TRUE,Table1938[[#This Row],[Relevant]]=TRUE),TRUE,FALSE)</f>
        <v>0</v>
      </c>
    </row>
    <row r="453" spans="1:35" ht="71.7" x14ac:dyDescent="0.5">
      <c r="A453" s="2">
        <v>452</v>
      </c>
      <c r="B453" s="20" t="s">
        <v>3</v>
      </c>
      <c r="C453" s="20" t="s">
        <v>3638</v>
      </c>
      <c r="D453" s="20" t="s">
        <v>2231</v>
      </c>
      <c r="E453" s="20" t="s">
        <v>2230</v>
      </c>
      <c r="F453" s="2" t="s">
        <v>2233</v>
      </c>
      <c r="G453" s="20" t="s">
        <v>950</v>
      </c>
      <c r="H453" s="36">
        <v>42444</v>
      </c>
      <c r="I453" s="20">
        <v>2016</v>
      </c>
      <c r="J453" s="20" t="s">
        <v>61</v>
      </c>
      <c r="K453" s="20" t="s">
        <v>3639</v>
      </c>
      <c r="L453" s="20" t="s">
        <v>2515</v>
      </c>
      <c r="M453" s="20" t="s">
        <v>2232</v>
      </c>
      <c r="N453" s="20" t="b">
        <v>1</v>
      </c>
      <c r="O453" s="2" t="b">
        <f>IF(Table1938[[#This Row],[Title]]="",TRUE,FALSE)</f>
        <v>0</v>
      </c>
      <c r="P453" s="2" t="b">
        <f>IF(Table1938[[#This Row],[Author]]="",TRUE,FALSE)</f>
        <v>0</v>
      </c>
      <c r="Q453" s="2" t="b">
        <f>IF(Table1938[[#This Row],[DOI]]&lt;&gt;"", FALSE,TRUE)</f>
        <v>0</v>
      </c>
      <c r="R453" s="2" t="b">
        <f>IF(Table1938[[#This Row],[Abstract]]="",TRUE,FALSE)</f>
        <v>0</v>
      </c>
      <c r="S453" s="2" t="b">
        <f>IF(OR(Table1938[[#This Row],[Document Type]]="book",Table1938[[#This Row],[Document Type]]="bookSection"),TRUE,FALSE)</f>
        <v>0</v>
      </c>
      <c r="T453" s="2" t="b">
        <f>NOT(IF(OR(Table1938[[#This Row],[Language]]&lt;&gt;"en",Table1938[[#This Row],[Language]]&lt;&gt;"EN",Table1938[[#This Row],[Language]]&lt;&gt;"spa",Table1938[[#This Row],[Language]]&lt;&gt;"SPA"),TRUE,FALSE))</f>
        <v>0</v>
      </c>
      <c r="U453" s="2" t="b">
        <f>IF(AND(Table1938[[#This Row],[EC-01]]=FALSE,Table1938[[#This Row],[EC-02]]=FALSE,Table1938[[#This Row],[EC-03]]=FALSE,Table1938[[#This Row],[EC-04]]=FALSE,Table1938[[#This Row],[EC-05]]=FALSE,Table1938[[#This Row],[EC-06]]=FALSE),TRUE,FALSE)</f>
        <v>1</v>
      </c>
      <c r="V453" s="2" t="b">
        <f>IF(Table1938[[#This Row],[Date]]&lt;&gt;"",AND(YEAR(Table1938[[#This Row],[Date]])&gt;=2010, YEAR(Table1938[[#This Row],[Date]])&lt;=2024),FALSE)</f>
        <v>1</v>
      </c>
      <c r="W453" s="2" t="b">
        <f>IF(Table1938[[#This Row],[Date]]&lt;&gt;"",AND(YEAR(Table1938[[#This Row],[Date]])&gt;=2010, YEAR(Table1938[[#This Row],[Date]])&lt;=2020),FALSE)</f>
        <v>1</v>
      </c>
      <c r="X453" s="2" t="b">
        <f>IF(AND(Table1938[[#This Row],[Accesible]]=TRUE,Table1938[[#This Row],[DOI]]&lt;&gt;""),TRUE,FALSE)</f>
        <v>1</v>
      </c>
      <c r="Y453" s="2" t="b">
        <f>OR(Table1938[[#This Row],[Document Type]]="journalArticle",Table1938[[#This Row],[Document Type]]="conferencePaper",Table1938[[#This Row],[Document Type]]="review")</f>
        <v>1</v>
      </c>
      <c r="Z453" s="2" t="b" cm="1">
        <f t="array" ref="Z453">SUMPRODUCT(--ISNUMBER(SEARCH({"dimensional analysis","dimensionless coefficients","Π","Pi","theorem","software","design","tools","development","architecture","similar"}, LOWER(Table1938[[#This Row],[Title]]))))&gt;0</f>
        <v>1</v>
      </c>
      <c r="AA453" s="2" t="b" cm="1">
        <f t="array" ref="AA453">SUMPRODUCT(--ISNUMBER(SEARCH({"dimensional analysis","dimensionless coefficients","Π","Pi","theorem","software","design","tools","development","architecture","similar"}, LOWER(Table1938[[#This Row],[Abstract]]))))&gt;0</f>
        <v>1</v>
      </c>
      <c r="AB453" s="2" t="b">
        <f>AND(OR(Table1938[[#This Row],[IC-01 @2024]:[IC-01 @2020]])=TRUE,Table1938[[#This Row],[IC-02]]=TRUE,Table1938[[#This Row],[IC-03]]=TRUE,Table1938[[#This Row],[IC-04]]=TRUE,Table1938[[#This Row],[IC-05]]=TRUE)</f>
        <v>1</v>
      </c>
      <c r="AC453" s="2" t="b">
        <f>AND(Table1938[[#This Row],[Pass-IC]]=TRUE,Table1938[[#This Row],[Pass-EC]]=TRUE)</f>
        <v>1</v>
      </c>
      <c r="AD453" s="2" t="b">
        <f>COUNTIF($D$25:D453, Table1938[[#This Row],[Title]]) = 1</f>
        <v>1</v>
      </c>
      <c r="AE453" s="2" t="b">
        <f>AND(Table1938[[#This Row],[IC + EC]:[Unique]])</f>
        <v>1</v>
      </c>
      <c r="AF453" s="2" t="b">
        <v>1</v>
      </c>
      <c r="AG453" s="2" t="b">
        <v>0</v>
      </c>
      <c r="AH453" s="2" t="b">
        <v>0</v>
      </c>
      <c r="AI453" s="2" t="b">
        <f>IF(AND(Table1938[[#This Row],[Double Check]]=TRUE,Table1938[[#This Row],[Inspected]]=TRUE,Table1938[[#This Row],[Relevant]]=TRUE),TRUE,FALSE)</f>
        <v>0</v>
      </c>
    </row>
    <row r="454" spans="1:35" ht="57.35" x14ac:dyDescent="0.5">
      <c r="A454" s="2">
        <v>453</v>
      </c>
      <c r="B454" s="20" t="s">
        <v>3</v>
      </c>
      <c r="C454" s="20" t="s">
        <v>3640</v>
      </c>
      <c r="D454" s="20" t="s">
        <v>2292</v>
      </c>
      <c r="E454" s="20" t="s">
        <v>2291</v>
      </c>
      <c r="F454" s="2" t="s">
        <v>2295</v>
      </c>
      <c r="G454" s="20" t="s">
        <v>2293</v>
      </c>
      <c r="H454" s="36">
        <v>43405</v>
      </c>
      <c r="I454" s="20">
        <v>2018</v>
      </c>
      <c r="J454" s="20" t="s">
        <v>61</v>
      </c>
      <c r="K454" s="20" t="s">
        <v>3641</v>
      </c>
      <c r="L454" s="20" t="s">
        <v>2515</v>
      </c>
      <c r="M454" s="20" t="s">
        <v>2294</v>
      </c>
      <c r="N454" s="20" t="b">
        <v>1</v>
      </c>
      <c r="O454" s="2" t="b">
        <f>IF(Table1938[[#This Row],[Title]]="",TRUE,FALSE)</f>
        <v>0</v>
      </c>
      <c r="P454" s="2" t="b">
        <f>IF(Table1938[[#This Row],[Author]]="",TRUE,FALSE)</f>
        <v>0</v>
      </c>
      <c r="Q454" s="2" t="b">
        <f>IF(Table1938[[#This Row],[DOI]]&lt;&gt;"", FALSE,TRUE)</f>
        <v>0</v>
      </c>
      <c r="R454" s="2" t="b">
        <f>IF(Table1938[[#This Row],[Abstract]]="",TRUE,FALSE)</f>
        <v>0</v>
      </c>
      <c r="S454" s="2" t="b">
        <f>IF(OR(Table1938[[#This Row],[Document Type]]="book",Table1938[[#This Row],[Document Type]]="bookSection"),TRUE,FALSE)</f>
        <v>0</v>
      </c>
      <c r="T454" s="2" t="b">
        <f>NOT(IF(OR(Table1938[[#This Row],[Language]]&lt;&gt;"en",Table1938[[#This Row],[Language]]&lt;&gt;"EN",Table1938[[#This Row],[Language]]&lt;&gt;"spa",Table1938[[#This Row],[Language]]&lt;&gt;"SPA"),TRUE,FALSE))</f>
        <v>0</v>
      </c>
      <c r="U454" s="2" t="b">
        <f>IF(AND(Table1938[[#This Row],[EC-01]]=FALSE,Table1938[[#This Row],[EC-02]]=FALSE,Table1938[[#This Row],[EC-03]]=FALSE,Table1938[[#This Row],[EC-04]]=FALSE,Table1938[[#This Row],[EC-05]]=FALSE,Table1938[[#This Row],[EC-06]]=FALSE),TRUE,FALSE)</f>
        <v>1</v>
      </c>
      <c r="V454" s="2" t="b">
        <f>IF(Table1938[[#This Row],[Date]]&lt;&gt;"",AND(YEAR(Table1938[[#This Row],[Date]])&gt;=2010, YEAR(Table1938[[#This Row],[Date]])&lt;=2024),FALSE)</f>
        <v>1</v>
      </c>
      <c r="W454" s="2" t="b">
        <f>IF(Table1938[[#This Row],[Date]]&lt;&gt;"",AND(YEAR(Table1938[[#This Row],[Date]])&gt;=2010, YEAR(Table1938[[#This Row],[Date]])&lt;=2020),FALSE)</f>
        <v>1</v>
      </c>
      <c r="X454" s="2" t="b">
        <f>IF(AND(Table1938[[#This Row],[Accesible]]=TRUE,Table1938[[#This Row],[DOI]]&lt;&gt;""),TRUE,FALSE)</f>
        <v>1</v>
      </c>
      <c r="Y454" s="2" t="b">
        <f>OR(Table1938[[#This Row],[Document Type]]="journalArticle",Table1938[[#This Row],[Document Type]]="conferencePaper",Table1938[[#This Row],[Document Type]]="review")</f>
        <v>1</v>
      </c>
      <c r="Z454" s="2" t="b" cm="1">
        <f t="array" ref="Z454">SUMPRODUCT(--ISNUMBER(SEARCH({"dimensional analysis","dimensionless coefficients","Π","Pi","theorem","software","design","tools","development","architecture","similar"}, LOWER(Table1938[[#This Row],[Title]]))))&gt;0</f>
        <v>1</v>
      </c>
      <c r="AA454" s="2" t="b" cm="1">
        <f t="array" ref="AA454">SUMPRODUCT(--ISNUMBER(SEARCH({"dimensional analysis","dimensionless coefficients","Π","Pi","theorem","software","design","tools","development","architecture","similar"}, LOWER(Table1938[[#This Row],[Abstract]]))))&gt;0</f>
        <v>1</v>
      </c>
      <c r="AB454" s="2" t="b">
        <f>AND(OR(Table1938[[#This Row],[IC-01 @2024]:[IC-01 @2020]])=TRUE,Table1938[[#This Row],[IC-02]]=TRUE,Table1938[[#This Row],[IC-03]]=TRUE,Table1938[[#This Row],[IC-04]]=TRUE,Table1938[[#This Row],[IC-05]]=TRUE)</f>
        <v>1</v>
      </c>
      <c r="AC454" s="2" t="b">
        <f>AND(Table1938[[#This Row],[Pass-IC]]=TRUE,Table1938[[#This Row],[Pass-EC]]=TRUE)</f>
        <v>1</v>
      </c>
      <c r="AD454" s="2" t="b">
        <f>COUNTIF($D$25:D454, Table1938[[#This Row],[Title]]) = 1</f>
        <v>1</v>
      </c>
      <c r="AE454" s="2" t="b">
        <f>AND(Table1938[[#This Row],[IC + EC]:[Unique]])</f>
        <v>1</v>
      </c>
      <c r="AF454" s="2" t="b">
        <v>1</v>
      </c>
      <c r="AG454" s="2" t="b">
        <v>0</v>
      </c>
      <c r="AH454" s="2" t="b">
        <v>0</v>
      </c>
      <c r="AI454" s="2" t="b">
        <f>IF(AND(Table1938[[#This Row],[Double Check]]=TRUE,Table1938[[#This Row],[Inspected]]=TRUE,Table1938[[#This Row],[Relevant]]=TRUE),TRUE,FALSE)</f>
        <v>0</v>
      </c>
    </row>
    <row r="455" spans="1:35" ht="43" x14ac:dyDescent="0.5">
      <c r="A455" s="2">
        <v>454</v>
      </c>
      <c r="B455" s="20" t="s">
        <v>3</v>
      </c>
      <c r="C455" s="20" t="s">
        <v>3642</v>
      </c>
      <c r="D455" s="20" t="s">
        <v>1909</v>
      </c>
      <c r="E455" s="20" t="s">
        <v>1908</v>
      </c>
      <c r="F455" s="2" t="s">
        <v>1911</v>
      </c>
      <c r="G455" s="20" t="s">
        <v>997</v>
      </c>
      <c r="H455" s="36">
        <v>45122</v>
      </c>
      <c r="I455" s="20">
        <v>2023</v>
      </c>
      <c r="J455" s="20" t="s">
        <v>61</v>
      </c>
      <c r="K455" s="20" t="s">
        <v>3643</v>
      </c>
      <c r="L455" s="20" t="s">
        <v>2515</v>
      </c>
      <c r="M455" s="20" t="s">
        <v>1910</v>
      </c>
      <c r="N455" s="20" t="b">
        <v>1</v>
      </c>
      <c r="O455" s="2" t="b">
        <f>IF(Table1938[[#This Row],[Title]]="",TRUE,FALSE)</f>
        <v>0</v>
      </c>
      <c r="P455" s="2" t="b">
        <f>IF(Table1938[[#This Row],[Author]]="",TRUE,FALSE)</f>
        <v>0</v>
      </c>
      <c r="Q455" s="2" t="b">
        <f>IF(Table1938[[#This Row],[DOI]]&lt;&gt;"", FALSE,TRUE)</f>
        <v>0</v>
      </c>
      <c r="R455" s="2" t="b">
        <f>IF(Table1938[[#This Row],[Abstract]]="",TRUE,FALSE)</f>
        <v>0</v>
      </c>
      <c r="S455" s="2" t="b">
        <f>IF(OR(Table1938[[#This Row],[Document Type]]="book",Table1938[[#This Row],[Document Type]]="bookSection"),TRUE,FALSE)</f>
        <v>0</v>
      </c>
      <c r="T455" s="2" t="b">
        <f>NOT(IF(OR(Table1938[[#This Row],[Language]]&lt;&gt;"en",Table1938[[#This Row],[Language]]&lt;&gt;"EN",Table1938[[#This Row],[Language]]&lt;&gt;"spa",Table1938[[#This Row],[Language]]&lt;&gt;"SPA"),TRUE,FALSE))</f>
        <v>0</v>
      </c>
      <c r="U455" s="2" t="b">
        <f>IF(AND(Table1938[[#This Row],[EC-01]]=FALSE,Table1938[[#This Row],[EC-02]]=FALSE,Table1938[[#This Row],[EC-03]]=FALSE,Table1938[[#This Row],[EC-04]]=FALSE,Table1938[[#This Row],[EC-05]]=FALSE,Table1938[[#This Row],[EC-06]]=FALSE),TRUE,FALSE)</f>
        <v>1</v>
      </c>
      <c r="V455" s="2" t="b">
        <f>IF(Table1938[[#This Row],[Date]]&lt;&gt;"",AND(YEAR(Table1938[[#This Row],[Date]])&gt;=2010, YEAR(Table1938[[#This Row],[Date]])&lt;=2024),FALSE)</f>
        <v>1</v>
      </c>
      <c r="W455" s="2" t="b">
        <f>IF(Table1938[[#This Row],[Date]]&lt;&gt;"",AND(YEAR(Table1938[[#This Row],[Date]])&gt;=2010, YEAR(Table1938[[#This Row],[Date]])&lt;=2020),FALSE)</f>
        <v>0</v>
      </c>
      <c r="X455" s="2" t="b">
        <f>IF(AND(Table1938[[#This Row],[Accesible]]=TRUE,Table1938[[#This Row],[DOI]]&lt;&gt;""),TRUE,FALSE)</f>
        <v>1</v>
      </c>
      <c r="Y455" s="2" t="b">
        <f>OR(Table1938[[#This Row],[Document Type]]="journalArticle",Table1938[[#This Row],[Document Type]]="conferencePaper",Table1938[[#This Row],[Document Type]]="review")</f>
        <v>1</v>
      </c>
      <c r="Z455" s="2" t="b" cm="1">
        <f t="array" ref="Z455">SUMPRODUCT(--ISNUMBER(SEARCH({"dimensional analysis","dimensionless coefficients","Π","Pi","theorem","software","design","tools","development","architecture","similar"}, LOWER(Table1938[[#This Row],[Title]]))))&gt;0</f>
        <v>0</v>
      </c>
      <c r="AA455" s="2" t="b" cm="1">
        <f t="array" ref="AA455">SUMPRODUCT(--ISNUMBER(SEARCH({"dimensional analysis","dimensionless coefficients","Π","Pi","theorem","software","design","tools","development","architecture","similar"}, LOWER(Table1938[[#This Row],[Abstract]]))))&gt;0</f>
        <v>1</v>
      </c>
      <c r="AB455" s="2" t="b">
        <f>AND(OR(Table1938[[#This Row],[IC-01 @2024]:[IC-01 @2020]])=TRUE,Table1938[[#This Row],[IC-02]]=TRUE,Table1938[[#This Row],[IC-03]]=TRUE,Table1938[[#This Row],[IC-04]]=TRUE,Table1938[[#This Row],[IC-05]]=TRUE)</f>
        <v>0</v>
      </c>
      <c r="AC455" s="2" t="b">
        <f>AND(Table1938[[#This Row],[Pass-IC]]=TRUE,Table1938[[#This Row],[Pass-EC]]=TRUE)</f>
        <v>0</v>
      </c>
      <c r="AD455" s="2" t="b">
        <f>COUNTIF($D$25:D455, Table1938[[#This Row],[Title]]) = 1</f>
        <v>1</v>
      </c>
      <c r="AE455" s="2" t="b">
        <f>AND(Table1938[[#This Row],[IC + EC]:[Unique]])</f>
        <v>0</v>
      </c>
      <c r="AF455" s="2" t="b">
        <v>0</v>
      </c>
      <c r="AG455" s="2" t="b">
        <v>0</v>
      </c>
      <c r="AH455" s="2" t="b">
        <v>0</v>
      </c>
      <c r="AI455" s="2" t="b">
        <f>IF(AND(Table1938[[#This Row],[Double Check]]=TRUE,Table1938[[#This Row],[Inspected]]=TRUE,Table1938[[#This Row],[Relevant]]=TRUE),TRUE,FALSE)</f>
        <v>0</v>
      </c>
    </row>
    <row r="456" spans="1:35" ht="71.7" x14ac:dyDescent="0.5">
      <c r="A456" s="2">
        <v>455</v>
      </c>
      <c r="B456" s="20" t="s">
        <v>3</v>
      </c>
      <c r="C456" s="20" t="s">
        <v>3644</v>
      </c>
      <c r="D456" s="20" t="s">
        <v>1287</v>
      </c>
      <c r="E456" s="20" t="s">
        <v>1286</v>
      </c>
      <c r="F456" s="2" t="s">
        <v>1289</v>
      </c>
      <c r="G456" s="20" t="s">
        <v>952</v>
      </c>
      <c r="H456" s="36">
        <v>45444</v>
      </c>
      <c r="I456" s="20">
        <v>2024</v>
      </c>
      <c r="J456" s="20" t="s">
        <v>61</v>
      </c>
      <c r="K456" s="20" t="s">
        <v>3645</v>
      </c>
      <c r="L456" s="20" t="s">
        <v>2515</v>
      </c>
      <c r="M456" s="20" t="s">
        <v>1288</v>
      </c>
      <c r="N456" s="20" t="b">
        <v>1</v>
      </c>
      <c r="O456" s="2" t="b">
        <f>IF(Table1938[[#This Row],[Title]]="",TRUE,FALSE)</f>
        <v>0</v>
      </c>
      <c r="P456" s="2" t="b">
        <f>IF(Table1938[[#This Row],[Author]]="",TRUE,FALSE)</f>
        <v>0</v>
      </c>
      <c r="Q456" s="2" t="b">
        <f>IF(Table1938[[#This Row],[DOI]]&lt;&gt;"", FALSE,TRUE)</f>
        <v>0</v>
      </c>
      <c r="R456" s="2" t="b">
        <f>IF(Table1938[[#This Row],[Abstract]]="",TRUE,FALSE)</f>
        <v>0</v>
      </c>
      <c r="S456" s="2" t="b">
        <f>IF(OR(Table1938[[#This Row],[Document Type]]="book",Table1938[[#This Row],[Document Type]]="bookSection"),TRUE,FALSE)</f>
        <v>0</v>
      </c>
      <c r="T456" s="2" t="b">
        <f>NOT(IF(OR(Table1938[[#This Row],[Language]]&lt;&gt;"en",Table1938[[#This Row],[Language]]&lt;&gt;"EN",Table1938[[#This Row],[Language]]&lt;&gt;"spa",Table1938[[#This Row],[Language]]&lt;&gt;"SPA"),TRUE,FALSE))</f>
        <v>0</v>
      </c>
      <c r="U456" s="2" t="b">
        <f>IF(AND(Table1938[[#This Row],[EC-01]]=FALSE,Table1938[[#This Row],[EC-02]]=FALSE,Table1938[[#This Row],[EC-03]]=FALSE,Table1938[[#This Row],[EC-04]]=FALSE,Table1938[[#This Row],[EC-05]]=FALSE,Table1938[[#This Row],[EC-06]]=FALSE),TRUE,FALSE)</f>
        <v>1</v>
      </c>
      <c r="V456" s="2" t="b">
        <f>IF(Table1938[[#This Row],[Date]]&lt;&gt;"",AND(YEAR(Table1938[[#This Row],[Date]])&gt;=2010, YEAR(Table1938[[#This Row],[Date]])&lt;=2024),FALSE)</f>
        <v>1</v>
      </c>
      <c r="W456" s="2" t="b">
        <f>IF(Table1938[[#This Row],[Date]]&lt;&gt;"",AND(YEAR(Table1938[[#This Row],[Date]])&gt;=2010, YEAR(Table1938[[#This Row],[Date]])&lt;=2020),FALSE)</f>
        <v>0</v>
      </c>
      <c r="X456" s="2" t="b">
        <f>IF(AND(Table1938[[#This Row],[Accesible]]=TRUE,Table1938[[#This Row],[DOI]]&lt;&gt;""),TRUE,FALSE)</f>
        <v>1</v>
      </c>
      <c r="Y456" s="2" t="b">
        <f>OR(Table1938[[#This Row],[Document Type]]="journalArticle",Table1938[[#This Row],[Document Type]]="conferencePaper",Table1938[[#This Row],[Document Type]]="review")</f>
        <v>1</v>
      </c>
      <c r="Z456" s="2" t="b" cm="1">
        <f t="array" ref="Z456">SUMPRODUCT(--ISNUMBER(SEARCH({"dimensional analysis","dimensionless coefficients","Π","Pi","theorem","software","design","tools","development","architecture","similar"}, LOWER(Table1938[[#This Row],[Title]]))))&gt;0</f>
        <v>0</v>
      </c>
      <c r="AA456" s="2" t="b" cm="1">
        <f t="array" ref="AA456">SUMPRODUCT(--ISNUMBER(SEARCH({"dimensional analysis","dimensionless coefficients","Π","Pi","theorem","software","design","tools","development","architecture","similar"}, LOWER(Table1938[[#This Row],[Abstract]]))))&gt;0</f>
        <v>1</v>
      </c>
      <c r="AB456" s="2" t="b">
        <f>AND(OR(Table1938[[#This Row],[IC-01 @2024]:[IC-01 @2020]])=TRUE,Table1938[[#This Row],[IC-02]]=TRUE,Table1938[[#This Row],[IC-03]]=TRUE,Table1938[[#This Row],[IC-04]]=TRUE,Table1938[[#This Row],[IC-05]]=TRUE)</f>
        <v>0</v>
      </c>
      <c r="AC456" s="2" t="b">
        <f>AND(Table1938[[#This Row],[Pass-IC]]=TRUE,Table1938[[#This Row],[Pass-EC]]=TRUE)</f>
        <v>0</v>
      </c>
      <c r="AD456" s="2" t="b">
        <f>COUNTIF($D$25:D456, Table1938[[#This Row],[Title]]) = 1</f>
        <v>1</v>
      </c>
      <c r="AE456" s="2" t="b">
        <f>AND(Table1938[[#This Row],[IC + EC]:[Unique]])</f>
        <v>0</v>
      </c>
      <c r="AF456" s="2" t="b">
        <v>0</v>
      </c>
      <c r="AG456" s="2" t="b">
        <v>0</v>
      </c>
      <c r="AH456" s="2" t="b">
        <v>0</v>
      </c>
      <c r="AI456" s="2" t="b">
        <f>IF(AND(Table1938[[#This Row],[Double Check]]=TRUE,Table1938[[#This Row],[Inspected]]=TRUE,Table1938[[#This Row],[Relevant]]=TRUE),TRUE,FALSE)</f>
        <v>0</v>
      </c>
    </row>
    <row r="457" spans="1:35" ht="28.7" x14ac:dyDescent="0.5">
      <c r="A457" s="2">
        <v>456</v>
      </c>
      <c r="B457" s="20" t="s">
        <v>3</v>
      </c>
      <c r="C457" s="20" t="s">
        <v>3646</v>
      </c>
      <c r="D457" s="20" t="s">
        <v>2147</v>
      </c>
      <c r="E457" s="20" t="s">
        <v>2146</v>
      </c>
      <c r="F457" s="2" t="s">
        <v>2149</v>
      </c>
      <c r="G457" s="20" t="s">
        <v>1386</v>
      </c>
      <c r="H457" s="36">
        <v>44378</v>
      </c>
      <c r="I457" s="20">
        <v>2021</v>
      </c>
      <c r="J457" s="20" t="s">
        <v>61</v>
      </c>
      <c r="K457" s="20" t="s">
        <v>3647</v>
      </c>
      <c r="L457" s="20" t="s">
        <v>2515</v>
      </c>
      <c r="M457" s="20" t="s">
        <v>2148</v>
      </c>
      <c r="N457" s="20" t="b">
        <v>1</v>
      </c>
      <c r="O457" s="2" t="b">
        <f>IF(Table1938[[#This Row],[Title]]="",TRUE,FALSE)</f>
        <v>0</v>
      </c>
      <c r="P457" s="2" t="b">
        <f>IF(Table1938[[#This Row],[Author]]="",TRUE,FALSE)</f>
        <v>0</v>
      </c>
      <c r="Q457" s="2" t="b">
        <f>IF(Table1938[[#This Row],[DOI]]&lt;&gt;"", FALSE,TRUE)</f>
        <v>0</v>
      </c>
      <c r="R457" s="2" t="b">
        <f>IF(Table1938[[#This Row],[Abstract]]="",TRUE,FALSE)</f>
        <v>0</v>
      </c>
      <c r="S457" s="2" t="b">
        <f>IF(OR(Table1938[[#This Row],[Document Type]]="book",Table1938[[#This Row],[Document Type]]="bookSection"),TRUE,FALSE)</f>
        <v>0</v>
      </c>
      <c r="T457" s="2" t="b">
        <f>NOT(IF(OR(Table1938[[#This Row],[Language]]&lt;&gt;"en",Table1938[[#This Row],[Language]]&lt;&gt;"EN",Table1938[[#This Row],[Language]]&lt;&gt;"spa",Table1938[[#This Row],[Language]]&lt;&gt;"SPA"),TRUE,FALSE))</f>
        <v>0</v>
      </c>
      <c r="U457" s="2" t="b">
        <f>IF(AND(Table1938[[#This Row],[EC-01]]=FALSE,Table1938[[#This Row],[EC-02]]=FALSE,Table1938[[#This Row],[EC-03]]=FALSE,Table1938[[#This Row],[EC-04]]=FALSE,Table1938[[#This Row],[EC-05]]=FALSE,Table1938[[#This Row],[EC-06]]=FALSE),TRUE,FALSE)</f>
        <v>1</v>
      </c>
      <c r="V457" s="2" t="b">
        <f>IF(Table1938[[#This Row],[Date]]&lt;&gt;"",AND(YEAR(Table1938[[#This Row],[Date]])&gt;=2010, YEAR(Table1938[[#This Row],[Date]])&lt;=2024),FALSE)</f>
        <v>1</v>
      </c>
      <c r="W457" s="2" t="b">
        <f>IF(Table1938[[#This Row],[Date]]&lt;&gt;"",AND(YEAR(Table1938[[#This Row],[Date]])&gt;=2010, YEAR(Table1938[[#This Row],[Date]])&lt;=2020),FALSE)</f>
        <v>0</v>
      </c>
      <c r="X457" s="2" t="b">
        <f>IF(AND(Table1938[[#This Row],[Accesible]]=TRUE,Table1938[[#This Row],[DOI]]&lt;&gt;""),TRUE,FALSE)</f>
        <v>1</v>
      </c>
      <c r="Y457" s="2" t="b">
        <f>OR(Table1938[[#This Row],[Document Type]]="journalArticle",Table1938[[#This Row],[Document Type]]="conferencePaper",Table1938[[#This Row],[Document Type]]="review")</f>
        <v>1</v>
      </c>
      <c r="Z457" s="2" t="b" cm="1">
        <f t="array" ref="Z457">SUMPRODUCT(--ISNUMBER(SEARCH({"dimensional analysis","dimensionless coefficients","Π","Pi","theorem","software","design","tools","development","architecture","similar"}, LOWER(Table1938[[#This Row],[Title]]))))&gt;0</f>
        <v>0</v>
      </c>
      <c r="AA457" s="2" t="b" cm="1">
        <f t="array" ref="AA457">SUMPRODUCT(--ISNUMBER(SEARCH({"dimensional analysis","dimensionless coefficients","Π","Pi","theorem","software","design","tools","development","architecture","similar"}, LOWER(Table1938[[#This Row],[Abstract]]))))&gt;0</f>
        <v>0</v>
      </c>
      <c r="AB457" s="2" t="b">
        <f>AND(OR(Table1938[[#This Row],[IC-01 @2024]:[IC-01 @2020]])=TRUE,Table1938[[#This Row],[IC-02]]=TRUE,Table1938[[#This Row],[IC-03]]=TRUE,Table1938[[#This Row],[IC-04]]=TRUE,Table1938[[#This Row],[IC-05]]=TRUE)</f>
        <v>0</v>
      </c>
      <c r="AC457" s="2" t="b">
        <f>AND(Table1938[[#This Row],[Pass-IC]]=TRUE,Table1938[[#This Row],[Pass-EC]]=TRUE)</f>
        <v>0</v>
      </c>
      <c r="AD457" s="2" t="b">
        <f>COUNTIF($D$25:D457, Table1938[[#This Row],[Title]]) = 1</f>
        <v>1</v>
      </c>
      <c r="AE457" s="2" t="b">
        <f>AND(Table1938[[#This Row],[IC + EC]:[Unique]])</f>
        <v>0</v>
      </c>
      <c r="AF457" s="2" t="b">
        <v>0</v>
      </c>
      <c r="AG457" s="2" t="b">
        <v>0</v>
      </c>
      <c r="AH457" s="2" t="b">
        <v>0</v>
      </c>
      <c r="AI457" s="2" t="b">
        <f>IF(AND(Table1938[[#This Row],[Double Check]]=TRUE,Table1938[[#This Row],[Inspected]]=TRUE,Table1938[[#This Row],[Relevant]]=TRUE),TRUE,FALSE)</f>
        <v>0</v>
      </c>
    </row>
    <row r="458" spans="1:35" ht="43" x14ac:dyDescent="0.5">
      <c r="A458" s="2">
        <v>457</v>
      </c>
      <c r="B458" s="20" t="s">
        <v>3</v>
      </c>
      <c r="C458" s="20" t="s">
        <v>3648</v>
      </c>
      <c r="D458" s="20" t="s">
        <v>1896</v>
      </c>
      <c r="E458" s="20" t="s">
        <v>1895</v>
      </c>
      <c r="F458" s="2" t="s">
        <v>1899</v>
      </c>
      <c r="G458" s="20" t="s">
        <v>1897</v>
      </c>
      <c r="H458" s="36">
        <v>45383</v>
      </c>
      <c r="I458" s="20">
        <v>2024</v>
      </c>
      <c r="J458" s="20" t="s">
        <v>61</v>
      </c>
      <c r="K458" s="20" t="s">
        <v>3649</v>
      </c>
      <c r="L458" s="20" t="s">
        <v>2515</v>
      </c>
      <c r="M458" s="20" t="s">
        <v>1898</v>
      </c>
      <c r="N458" s="20" t="b">
        <v>1</v>
      </c>
      <c r="O458" s="2" t="b">
        <f>IF(Table1938[[#This Row],[Title]]="",TRUE,FALSE)</f>
        <v>0</v>
      </c>
      <c r="P458" s="2" t="b">
        <f>IF(Table1938[[#This Row],[Author]]="",TRUE,FALSE)</f>
        <v>0</v>
      </c>
      <c r="Q458" s="2" t="b">
        <f>IF(Table1938[[#This Row],[DOI]]&lt;&gt;"", FALSE,TRUE)</f>
        <v>0</v>
      </c>
      <c r="R458" s="2" t="b">
        <f>IF(Table1938[[#This Row],[Abstract]]="",TRUE,FALSE)</f>
        <v>0</v>
      </c>
      <c r="S458" s="2" t="b">
        <f>IF(OR(Table1938[[#This Row],[Document Type]]="book",Table1938[[#This Row],[Document Type]]="bookSection"),TRUE,FALSE)</f>
        <v>0</v>
      </c>
      <c r="T458" s="2" t="b">
        <f>NOT(IF(OR(Table1938[[#This Row],[Language]]&lt;&gt;"en",Table1938[[#This Row],[Language]]&lt;&gt;"EN",Table1938[[#This Row],[Language]]&lt;&gt;"spa",Table1938[[#This Row],[Language]]&lt;&gt;"SPA"),TRUE,FALSE))</f>
        <v>0</v>
      </c>
      <c r="U458" s="2" t="b">
        <f>IF(AND(Table1938[[#This Row],[EC-01]]=FALSE,Table1938[[#This Row],[EC-02]]=FALSE,Table1938[[#This Row],[EC-03]]=FALSE,Table1938[[#This Row],[EC-04]]=FALSE,Table1938[[#This Row],[EC-05]]=FALSE,Table1938[[#This Row],[EC-06]]=FALSE),TRUE,FALSE)</f>
        <v>1</v>
      </c>
      <c r="V458" s="2" t="b">
        <f>IF(Table1938[[#This Row],[Date]]&lt;&gt;"",AND(YEAR(Table1938[[#This Row],[Date]])&gt;=2010, YEAR(Table1938[[#This Row],[Date]])&lt;=2024),FALSE)</f>
        <v>1</v>
      </c>
      <c r="W458" s="2" t="b">
        <f>IF(Table1938[[#This Row],[Date]]&lt;&gt;"",AND(YEAR(Table1938[[#This Row],[Date]])&gt;=2010, YEAR(Table1938[[#This Row],[Date]])&lt;=2020),FALSE)</f>
        <v>0</v>
      </c>
      <c r="X458" s="2" t="b">
        <f>IF(AND(Table1938[[#This Row],[Accesible]]=TRUE,Table1938[[#This Row],[DOI]]&lt;&gt;""),TRUE,FALSE)</f>
        <v>1</v>
      </c>
      <c r="Y458" s="2" t="b">
        <f>OR(Table1938[[#This Row],[Document Type]]="journalArticle",Table1938[[#This Row],[Document Type]]="conferencePaper",Table1938[[#This Row],[Document Type]]="review")</f>
        <v>1</v>
      </c>
      <c r="Z458" s="2" t="b" cm="1">
        <f t="array" ref="Z458">SUMPRODUCT(--ISNUMBER(SEARCH({"dimensional analysis","dimensionless coefficients","Π","Pi","theorem","software","design","tools","development","architecture","similar"}, LOWER(Table1938[[#This Row],[Title]]))))&gt;0</f>
        <v>0</v>
      </c>
      <c r="AA458" s="2" t="b" cm="1">
        <f t="array" ref="AA458">SUMPRODUCT(--ISNUMBER(SEARCH({"dimensional analysis","dimensionless coefficients","Π","Pi","theorem","software","design","tools","development","architecture","similar"}, LOWER(Table1938[[#This Row],[Abstract]]))))&gt;0</f>
        <v>1</v>
      </c>
      <c r="AB458" s="2" t="b">
        <f>AND(OR(Table1938[[#This Row],[IC-01 @2024]:[IC-01 @2020]])=TRUE,Table1938[[#This Row],[IC-02]]=TRUE,Table1938[[#This Row],[IC-03]]=TRUE,Table1938[[#This Row],[IC-04]]=TRUE,Table1938[[#This Row],[IC-05]]=TRUE)</f>
        <v>0</v>
      </c>
      <c r="AC458" s="2" t="b">
        <f>AND(Table1938[[#This Row],[Pass-IC]]=TRUE,Table1938[[#This Row],[Pass-EC]]=TRUE)</f>
        <v>0</v>
      </c>
      <c r="AD458" s="2" t="b">
        <f>COUNTIF($D$25:D458, Table1938[[#This Row],[Title]]) = 1</f>
        <v>1</v>
      </c>
      <c r="AE458" s="2" t="b">
        <f>AND(Table1938[[#This Row],[IC + EC]:[Unique]])</f>
        <v>0</v>
      </c>
      <c r="AF458" s="2" t="b">
        <v>0</v>
      </c>
      <c r="AG458" s="2" t="b">
        <v>0</v>
      </c>
      <c r="AH458" s="2" t="b">
        <v>0</v>
      </c>
      <c r="AI458" s="2" t="b">
        <f>IF(AND(Table1938[[#This Row],[Double Check]]=TRUE,Table1938[[#This Row],[Inspected]]=TRUE,Table1938[[#This Row],[Relevant]]=TRUE),TRUE,FALSE)</f>
        <v>0</v>
      </c>
    </row>
    <row r="459" spans="1:35" ht="28.7" x14ac:dyDescent="0.5">
      <c r="A459" s="2">
        <v>458</v>
      </c>
      <c r="B459" s="20" t="s">
        <v>3</v>
      </c>
      <c r="C459" s="20" t="s">
        <v>3650</v>
      </c>
      <c r="D459" s="20" t="s">
        <v>1534</v>
      </c>
      <c r="E459" s="20" t="s">
        <v>1533</v>
      </c>
      <c r="F459" s="2" t="s">
        <v>1536</v>
      </c>
      <c r="G459" s="20" t="s">
        <v>933</v>
      </c>
      <c r="H459" s="36">
        <v>43709</v>
      </c>
      <c r="I459" s="20">
        <v>2019</v>
      </c>
      <c r="J459" s="20" t="s">
        <v>61</v>
      </c>
      <c r="K459" s="20" t="s">
        <v>3651</v>
      </c>
      <c r="L459" s="20" t="s">
        <v>2515</v>
      </c>
      <c r="M459" s="20" t="s">
        <v>1535</v>
      </c>
      <c r="N459" s="20" t="b">
        <v>1</v>
      </c>
      <c r="O459" s="2" t="b">
        <f>IF(Table1938[[#This Row],[Title]]="",TRUE,FALSE)</f>
        <v>0</v>
      </c>
      <c r="P459" s="2" t="b">
        <f>IF(Table1938[[#This Row],[Author]]="",TRUE,FALSE)</f>
        <v>0</v>
      </c>
      <c r="Q459" s="2" t="b">
        <f>IF(Table1938[[#This Row],[DOI]]&lt;&gt;"", FALSE,TRUE)</f>
        <v>0</v>
      </c>
      <c r="R459" s="2" t="b">
        <f>IF(Table1938[[#This Row],[Abstract]]="",TRUE,FALSE)</f>
        <v>0</v>
      </c>
      <c r="S459" s="2" t="b">
        <f>IF(OR(Table1938[[#This Row],[Document Type]]="book",Table1938[[#This Row],[Document Type]]="bookSection"),TRUE,FALSE)</f>
        <v>0</v>
      </c>
      <c r="T459" s="2" t="b">
        <f>NOT(IF(OR(Table1938[[#This Row],[Language]]&lt;&gt;"en",Table1938[[#This Row],[Language]]&lt;&gt;"EN",Table1938[[#This Row],[Language]]&lt;&gt;"spa",Table1938[[#This Row],[Language]]&lt;&gt;"SPA"),TRUE,FALSE))</f>
        <v>0</v>
      </c>
      <c r="U459" s="2" t="b">
        <f>IF(AND(Table1938[[#This Row],[EC-01]]=FALSE,Table1938[[#This Row],[EC-02]]=FALSE,Table1938[[#This Row],[EC-03]]=FALSE,Table1938[[#This Row],[EC-04]]=FALSE,Table1938[[#This Row],[EC-05]]=FALSE,Table1938[[#This Row],[EC-06]]=FALSE),TRUE,FALSE)</f>
        <v>1</v>
      </c>
      <c r="V459" s="2" t="b">
        <f>IF(Table1938[[#This Row],[Date]]&lt;&gt;"",AND(YEAR(Table1938[[#This Row],[Date]])&gt;=2010, YEAR(Table1938[[#This Row],[Date]])&lt;=2024),FALSE)</f>
        <v>1</v>
      </c>
      <c r="W459" s="2" t="b">
        <f>IF(Table1938[[#This Row],[Date]]&lt;&gt;"",AND(YEAR(Table1938[[#This Row],[Date]])&gt;=2010, YEAR(Table1938[[#This Row],[Date]])&lt;=2020),FALSE)</f>
        <v>1</v>
      </c>
      <c r="X459" s="2" t="b">
        <f>IF(AND(Table1938[[#This Row],[Accesible]]=TRUE,Table1938[[#This Row],[DOI]]&lt;&gt;""),TRUE,FALSE)</f>
        <v>1</v>
      </c>
      <c r="Y459" s="2" t="b">
        <f>OR(Table1938[[#This Row],[Document Type]]="journalArticle",Table1938[[#This Row],[Document Type]]="conferencePaper",Table1938[[#This Row],[Document Type]]="review")</f>
        <v>1</v>
      </c>
      <c r="Z459" s="2" t="b" cm="1">
        <f t="array" ref="Z459">SUMPRODUCT(--ISNUMBER(SEARCH({"dimensional analysis","dimensionless coefficients","Π","Pi","theorem","software","design","tools","development","architecture","similar"}, LOWER(Table1938[[#This Row],[Title]]))))&gt;0</f>
        <v>0</v>
      </c>
      <c r="AA459" s="2" t="b" cm="1">
        <f t="array" ref="AA459">SUMPRODUCT(--ISNUMBER(SEARCH({"dimensional analysis","dimensionless coefficients","Π","Pi","theorem","software","design","tools","development","architecture","similar"}, LOWER(Table1938[[#This Row],[Abstract]]))))&gt;0</f>
        <v>1</v>
      </c>
      <c r="AB459" s="2" t="b">
        <f>AND(OR(Table1938[[#This Row],[IC-01 @2024]:[IC-01 @2020]])=TRUE,Table1938[[#This Row],[IC-02]]=TRUE,Table1938[[#This Row],[IC-03]]=TRUE,Table1938[[#This Row],[IC-04]]=TRUE,Table1938[[#This Row],[IC-05]]=TRUE)</f>
        <v>0</v>
      </c>
      <c r="AC459" s="2" t="b">
        <f>AND(Table1938[[#This Row],[Pass-IC]]=TRUE,Table1938[[#This Row],[Pass-EC]]=TRUE)</f>
        <v>0</v>
      </c>
      <c r="AD459" s="2" t="b">
        <f>COUNTIF($D$25:D459, Table1938[[#This Row],[Title]]) = 1</f>
        <v>1</v>
      </c>
      <c r="AE459" s="2" t="b">
        <f>AND(Table1938[[#This Row],[IC + EC]:[Unique]])</f>
        <v>0</v>
      </c>
      <c r="AF459" s="2" t="b">
        <v>0</v>
      </c>
      <c r="AG459" s="2" t="b">
        <v>0</v>
      </c>
      <c r="AH459" s="2" t="b">
        <v>0</v>
      </c>
      <c r="AI459" s="2" t="b">
        <f>IF(AND(Table1938[[#This Row],[Double Check]]=TRUE,Table1938[[#This Row],[Inspected]]=TRUE,Table1938[[#This Row],[Relevant]]=TRUE),TRUE,FALSE)</f>
        <v>0</v>
      </c>
    </row>
    <row r="460" spans="1:35" ht="43" x14ac:dyDescent="0.5">
      <c r="A460" s="2">
        <v>459</v>
      </c>
      <c r="B460" s="20" t="s">
        <v>3</v>
      </c>
      <c r="C460" s="20" t="s">
        <v>3652</v>
      </c>
      <c r="D460" s="20" t="s">
        <v>1352</v>
      </c>
      <c r="E460" s="20" t="s">
        <v>1351</v>
      </c>
      <c r="F460" s="2" t="s">
        <v>1354</v>
      </c>
      <c r="G460" s="20" t="s">
        <v>945</v>
      </c>
      <c r="H460" s="36">
        <v>45261</v>
      </c>
      <c r="I460" s="20">
        <v>2023</v>
      </c>
      <c r="J460" s="20" t="s">
        <v>61</v>
      </c>
      <c r="K460" s="20" t="s">
        <v>3653</v>
      </c>
      <c r="L460" s="20" t="s">
        <v>2515</v>
      </c>
      <c r="M460" s="20" t="s">
        <v>1353</v>
      </c>
      <c r="N460" s="20" t="b">
        <v>1</v>
      </c>
      <c r="O460" s="2" t="b">
        <f>IF(Table1938[[#This Row],[Title]]="",TRUE,FALSE)</f>
        <v>0</v>
      </c>
      <c r="P460" s="2" t="b">
        <f>IF(Table1938[[#This Row],[Author]]="",TRUE,FALSE)</f>
        <v>0</v>
      </c>
      <c r="Q460" s="2" t="b">
        <f>IF(Table1938[[#This Row],[DOI]]&lt;&gt;"", FALSE,TRUE)</f>
        <v>0</v>
      </c>
      <c r="R460" s="2" t="b">
        <f>IF(Table1938[[#This Row],[Abstract]]="",TRUE,FALSE)</f>
        <v>0</v>
      </c>
      <c r="S460" s="2" t="b">
        <f>IF(OR(Table1938[[#This Row],[Document Type]]="book",Table1938[[#This Row],[Document Type]]="bookSection"),TRUE,FALSE)</f>
        <v>0</v>
      </c>
      <c r="T460" s="2" t="b">
        <f>NOT(IF(OR(Table1938[[#This Row],[Language]]&lt;&gt;"en",Table1938[[#This Row],[Language]]&lt;&gt;"EN",Table1938[[#This Row],[Language]]&lt;&gt;"spa",Table1938[[#This Row],[Language]]&lt;&gt;"SPA"),TRUE,FALSE))</f>
        <v>0</v>
      </c>
      <c r="U460" s="2" t="b">
        <f>IF(AND(Table1938[[#This Row],[EC-01]]=FALSE,Table1938[[#This Row],[EC-02]]=FALSE,Table1938[[#This Row],[EC-03]]=FALSE,Table1938[[#This Row],[EC-04]]=FALSE,Table1938[[#This Row],[EC-05]]=FALSE,Table1938[[#This Row],[EC-06]]=FALSE),TRUE,FALSE)</f>
        <v>1</v>
      </c>
      <c r="V460" s="2" t="b">
        <f>IF(Table1938[[#This Row],[Date]]&lt;&gt;"",AND(YEAR(Table1938[[#This Row],[Date]])&gt;=2010, YEAR(Table1938[[#This Row],[Date]])&lt;=2024),FALSE)</f>
        <v>1</v>
      </c>
      <c r="W460" s="2" t="b">
        <f>IF(Table1938[[#This Row],[Date]]&lt;&gt;"",AND(YEAR(Table1938[[#This Row],[Date]])&gt;=2010, YEAR(Table1938[[#This Row],[Date]])&lt;=2020),FALSE)</f>
        <v>0</v>
      </c>
      <c r="X460" s="2" t="b">
        <f>IF(AND(Table1938[[#This Row],[Accesible]]=TRUE,Table1938[[#This Row],[DOI]]&lt;&gt;""),TRUE,FALSE)</f>
        <v>1</v>
      </c>
      <c r="Y460" s="2" t="b">
        <f>OR(Table1938[[#This Row],[Document Type]]="journalArticle",Table1938[[#This Row],[Document Type]]="conferencePaper",Table1938[[#This Row],[Document Type]]="review")</f>
        <v>1</v>
      </c>
      <c r="Z460" s="2" t="b" cm="1">
        <f t="array" ref="Z460">SUMPRODUCT(--ISNUMBER(SEARCH({"dimensional analysis","dimensionless coefficients","Π","Pi","theorem","software","design","tools","development","architecture","similar"}, LOWER(Table1938[[#This Row],[Title]]))))&gt;0</f>
        <v>1</v>
      </c>
      <c r="AA460" s="2" t="b" cm="1">
        <f t="array" ref="AA460">SUMPRODUCT(--ISNUMBER(SEARCH({"dimensional analysis","dimensionless coefficients","Π","Pi","theorem","software","design","tools","development","architecture","similar"}, LOWER(Table1938[[#This Row],[Abstract]]))))&gt;0</f>
        <v>1</v>
      </c>
      <c r="AB460" s="2" t="b">
        <f>AND(OR(Table1938[[#This Row],[IC-01 @2024]:[IC-01 @2020]])=TRUE,Table1938[[#This Row],[IC-02]]=TRUE,Table1938[[#This Row],[IC-03]]=TRUE,Table1938[[#This Row],[IC-04]]=TRUE,Table1938[[#This Row],[IC-05]]=TRUE)</f>
        <v>1</v>
      </c>
      <c r="AC460" s="2" t="b">
        <f>AND(Table1938[[#This Row],[Pass-IC]]=TRUE,Table1938[[#This Row],[Pass-EC]]=TRUE)</f>
        <v>1</v>
      </c>
      <c r="AD460" s="2" t="b">
        <f>COUNTIF($D$25:D460, Table1938[[#This Row],[Title]]) = 1</f>
        <v>1</v>
      </c>
      <c r="AE460" s="2" t="b">
        <f>AND(Table1938[[#This Row],[IC + EC]:[Unique]])</f>
        <v>1</v>
      </c>
      <c r="AF460" s="2" t="b">
        <v>1</v>
      </c>
      <c r="AG460" s="2" t="b">
        <v>0</v>
      </c>
      <c r="AH460" s="2" t="b">
        <v>0</v>
      </c>
      <c r="AI460" s="2" t="b">
        <f>IF(AND(Table1938[[#This Row],[Double Check]]=TRUE,Table1938[[#This Row],[Inspected]]=TRUE,Table1938[[#This Row],[Relevant]]=TRUE),TRUE,FALSE)</f>
        <v>0</v>
      </c>
    </row>
    <row r="461" spans="1:35" ht="43" x14ac:dyDescent="0.5">
      <c r="A461" s="2">
        <v>460</v>
      </c>
      <c r="B461" s="20" t="s">
        <v>3</v>
      </c>
      <c r="C461" s="20" t="s">
        <v>3654</v>
      </c>
      <c r="D461" s="20" t="s">
        <v>2059</v>
      </c>
      <c r="E461" s="20" t="s">
        <v>2058</v>
      </c>
      <c r="F461" s="2" t="s">
        <v>2061</v>
      </c>
      <c r="G461" s="20" t="s">
        <v>1002</v>
      </c>
      <c r="H461" s="36">
        <v>44378</v>
      </c>
      <c r="I461" s="20">
        <v>2021</v>
      </c>
      <c r="J461" s="20" t="s">
        <v>61</v>
      </c>
      <c r="K461" s="20" t="s">
        <v>3655</v>
      </c>
      <c r="L461" s="20" t="s">
        <v>2515</v>
      </c>
      <c r="M461" s="20" t="s">
        <v>2060</v>
      </c>
      <c r="N461" s="20" t="b">
        <v>1</v>
      </c>
      <c r="O461" s="2" t="b">
        <f>IF(Table1938[[#This Row],[Title]]="",TRUE,FALSE)</f>
        <v>0</v>
      </c>
      <c r="P461" s="2" t="b">
        <f>IF(Table1938[[#This Row],[Author]]="",TRUE,FALSE)</f>
        <v>0</v>
      </c>
      <c r="Q461" s="2" t="b">
        <f>IF(Table1938[[#This Row],[DOI]]&lt;&gt;"", FALSE,TRUE)</f>
        <v>0</v>
      </c>
      <c r="R461" s="2" t="b">
        <f>IF(Table1938[[#This Row],[Abstract]]="",TRUE,FALSE)</f>
        <v>0</v>
      </c>
      <c r="S461" s="2" t="b">
        <f>IF(OR(Table1938[[#This Row],[Document Type]]="book",Table1938[[#This Row],[Document Type]]="bookSection"),TRUE,FALSE)</f>
        <v>0</v>
      </c>
      <c r="T461" s="2" t="b">
        <f>NOT(IF(OR(Table1938[[#This Row],[Language]]&lt;&gt;"en",Table1938[[#This Row],[Language]]&lt;&gt;"EN",Table1938[[#This Row],[Language]]&lt;&gt;"spa",Table1938[[#This Row],[Language]]&lt;&gt;"SPA"),TRUE,FALSE))</f>
        <v>0</v>
      </c>
      <c r="U461" s="2" t="b">
        <f>IF(AND(Table1938[[#This Row],[EC-01]]=FALSE,Table1938[[#This Row],[EC-02]]=FALSE,Table1938[[#This Row],[EC-03]]=FALSE,Table1938[[#This Row],[EC-04]]=FALSE,Table1938[[#This Row],[EC-05]]=FALSE,Table1938[[#This Row],[EC-06]]=FALSE),TRUE,FALSE)</f>
        <v>1</v>
      </c>
      <c r="V461" s="2" t="b">
        <f>IF(Table1938[[#This Row],[Date]]&lt;&gt;"",AND(YEAR(Table1938[[#This Row],[Date]])&gt;=2010, YEAR(Table1938[[#This Row],[Date]])&lt;=2024),FALSE)</f>
        <v>1</v>
      </c>
      <c r="W461" s="2" t="b">
        <f>IF(Table1938[[#This Row],[Date]]&lt;&gt;"",AND(YEAR(Table1938[[#This Row],[Date]])&gt;=2010, YEAR(Table1938[[#This Row],[Date]])&lt;=2020),FALSE)</f>
        <v>0</v>
      </c>
      <c r="X461" s="2" t="b">
        <f>IF(AND(Table1938[[#This Row],[Accesible]]=TRUE,Table1938[[#This Row],[DOI]]&lt;&gt;""),TRUE,FALSE)</f>
        <v>1</v>
      </c>
      <c r="Y461" s="2" t="b">
        <f>OR(Table1938[[#This Row],[Document Type]]="journalArticle",Table1938[[#This Row],[Document Type]]="conferencePaper",Table1938[[#This Row],[Document Type]]="review")</f>
        <v>1</v>
      </c>
      <c r="Z461" s="2" t="b" cm="1">
        <f t="array" ref="Z461">SUMPRODUCT(--ISNUMBER(SEARCH({"dimensional analysis","dimensionless coefficients","Π","Pi","theorem","software","design","tools","development","architecture","similar"}, LOWER(Table1938[[#This Row],[Title]]))))&gt;0</f>
        <v>1</v>
      </c>
      <c r="AA461" s="2" t="b" cm="1">
        <f t="array" ref="AA461">SUMPRODUCT(--ISNUMBER(SEARCH({"dimensional analysis","dimensionless coefficients","Π","Pi","theorem","software","design","tools","development","architecture","similar"}, LOWER(Table1938[[#This Row],[Abstract]]))))&gt;0</f>
        <v>1</v>
      </c>
      <c r="AB461" s="2" t="b">
        <f>AND(OR(Table1938[[#This Row],[IC-01 @2024]:[IC-01 @2020]])=TRUE,Table1938[[#This Row],[IC-02]]=TRUE,Table1938[[#This Row],[IC-03]]=TRUE,Table1938[[#This Row],[IC-04]]=TRUE,Table1938[[#This Row],[IC-05]]=TRUE)</f>
        <v>1</v>
      </c>
      <c r="AC461" s="2" t="b">
        <f>AND(Table1938[[#This Row],[Pass-IC]]=TRUE,Table1938[[#This Row],[Pass-EC]]=TRUE)</f>
        <v>1</v>
      </c>
      <c r="AD461" s="2" t="b">
        <f>COUNTIF($D$25:D461, Table1938[[#This Row],[Title]]) = 1</f>
        <v>1</v>
      </c>
      <c r="AE461" s="2" t="b">
        <f>AND(Table1938[[#This Row],[IC + EC]:[Unique]])</f>
        <v>1</v>
      </c>
      <c r="AF461" s="2" t="b">
        <v>1</v>
      </c>
      <c r="AG461" s="2" t="b">
        <v>0</v>
      </c>
      <c r="AH461" s="2" t="b">
        <v>0</v>
      </c>
      <c r="AI461" s="2" t="b">
        <f>IF(AND(Table1938[[#This Row],[Double Check]]=TRUE,Table1938[[#This Row],[Inspected]]=TRUE,Table1938[[#This Row],[Relevant]]=TRUE),TRUE,FALSE)</f>
        <v>0</v>
      </c>
    </row>
    <row r="462" spans="1:35" ht="57.35" x14ac:dyDescent="0.5">
      <c r="A462" s="2">
        <v>461</v>
      </c>
      <c r="B462" s="20" t="s">
        <v>3</v>
      </c>
      <c r="C462" s="20" t="s">
        <v>3656</v>
      </c>
      <c r="D462" s="20" t="s">
        <v>2176</v>
      </c>
      <c r="E462" s="20" t="s">
        <v>2175</v>
      </c>
      <c r="F462" s="2" t="s">
        <v>2178</v>
      </c>
      <c r="G462" s="20" t="s">
        <v>954</v>
      </c>
      <c r="H462" s="36">
        <v>42213</v>
      </c>
      <c r="I462" s="20">
        <v>2015</v>
      </c>
      <c r="J462" s="20" t="s">
        <v>61</v>
      </c>
      <c r="K462" s="20" t="s">
        <v>3657</v>
      </c>
      <c r="L462" s="20" t="s">
        <v>2515</v>
      </c>
      <c r="M462" s="20" t="s">
        <v>2177</v>
      </c>
      <c r="N462" s="20" t="b">
        <v>1</v>
      </c>
      <c r="O462" s="2" t="b">
        <f>IF(Table1938[[#This Row],[Title]]="",TRUE,FALSE)</f>
        <v>0</v>
      </c>
      <c r="P462" s="2" t="b">
        <f>IF(Table1938[[#This Row],[Author]]="",TRUE,FALSE)</f>
        <v>0</v>
      </c>
      <c r="Q462" s="2" t="b">
        <f>IF(Table1938[[#This Row],[DOI]]&lt;&gt;"", FALSE,TRUE)</f>
        <v>0</v>
      </c>
      <c r="R462" s="2" t="b">
        <f>IF(Table1938[[#This Row],[Abstract]]="",TRUE,FALSE)</f>
        <v>0</v>
      </c>
      <c r="S462" s="2" t="b">
        <f>IF(OR(Table1938[[#This Row],[Document Type]]="book",Table1938[[#This Row],[Document Type]]="bookSection"),TRUE,FALSE)</f>
        <v>0</v>
      </c>
      <c r="T462" s="2" t="b">
        <f>NOT(IF(OR(Table1938[[#This Row],[Language]]&lt;&gt;"en",Table1938[[#This Row],[Language]]&lt;&gt;"EN",Table1938[[#This Row],[Language]]&lt;&gt;"spa",Table1938[[#This Row],[Language]]&lt;&gt;"SPA"),TRUE,FALSE))</f>
        <v>0</v>
      </c>
      <c r="U462" s="2" t="b">
        <f>IF(AND(Table1938[[#This Row],[EC-01]]=FALSE,Table1938[[#This Row],[EC-02]]=FALSE,Table1938[[#This Row],[EC-03]]=FALSE,Table1938[[#This Row],[EC-04]]=FALSE,Table1938[[#This Row],[EC-05]]=FALSE,Table1938[[#This Row],[EC-06]]=FALSE),TRUE,FALSE)</f>
        <v>1</v>
      </c>
      <c r="V462" s="2" t="b">
        <f>IF(Table1938[[#This Row],[Date]]&lt;&gt;"",AND(YEAR(Table1938[[#This Row],[Date]])&gt;=2010, YEAR(Table1938[[#This Row],[Date]])&lt;=2024),FALSE)</f>
        <v>1</v>
      </c>
      <c r="W462" s="2" t="b">
        <f>IF(Table1938[[#This Row],[Date]]&lt;&gt;"",AND(YEAR(Table1938[[#This Row],[Date]])&gt;=2010, YEAR(Table1938[[#This Row],[Date]])&lt;=2020),FALSE)</f>
        <v>1</v>
      </c>
      <c r="X462" s="2" t="b">
        <f>IF(AND(Table1938[[#This Row],[Accesible]]=TRUE,Table1938[[#This Row],[DOI]]&lt;&gt;""),TRUE,FALSE)</f>
        <v>1</v>
      </c>
      <c r="Y462" s="2" t="b">
        <f>OR(Table1938[[#This Row],[Document Type]]="journalArticle",Table1938[[#This Row],[Document Type]]="conferencePaper",Table1938[[#This Row],[Document Type]]="review")</f>
        <v>1</v>
      </c>
      <c r="Z462" s="2" t="b" cm="1">
        <f t="array" ref="Z462">SUMPRODUCT(--ISNUMBER(SEARCH({"dimensional analysis","dimensionless coefficients","Π","Pi","theorem","software","design","tools","development","architecture","similar"}, LOWER(Table1938[[#This Row],[Title]]))))&gt;0</f>
        <v>0</v>
      </c>
      <c r="AA462" s="2" t="b" cm="1">
        <f t="array" ref="AA462">SUMPRODUCT(--ISNUMBER(SEARCH({"dimensional analysis","dimensionless coefficients","Π","Pi","theorem","software","design","tools","development","architecture","similar"}, LOWER(Table1938[[#This Row],[Abstract]]))))&gt;0</f>
        <v>0</v>
      </c>
      <c r="AB462" s="2" t="b">
        <f>AND(OR(Table1938[[#This Row],[IC-01 @2024]:[IC-01 @2020]])=TRUE,Table1938[[#This Row],[IC-02]]=TRUE,Table1938[[#This Row],[IC-03]]=TRUE,Table1938[[#This Row],[IC-04]]=TRUE,Table1938[[#This Row],[IC-05]]=TRUE)</f>
        <v>0</v>
      </c>
      <c r="AC462" s="2" t="b">
        <f>AND(Table1938[[#This Row],[Pass-IC]]=TRUE,Table1938[[#This Row],[Pass-EC]]=TRUE)</f>
        <v>0</v>
      </c>
      <c r="AD462" s="2" t="b">
        <f>COUNTIF($D$25:D462, Table1938[[#This Row],[Title]]) = 1</f>
        <v>1</v>
      </c>
      <c r="AE462" s="2" t="b">
        <f>AND(Table1938[[#This Row],[IC + EC]:[Unique]])</f>
        <v>0</v>
      </c>
      <c r="AF462" s="2" t="b">
        <v>0</v>
      </c>
      <c r="AG462" s="2" t="b">
        <v>0</v>
      </c>
      <c r="AH462" s="2" t="b">
        <v>0</v>
      </c>
      <c r="AI462" s="2" t="b">
        <f>IF(AND(Table1938[[#This Row],[Double Check]]=TRUE,Table1938[[#This Row],[Inspected]]=TRUE,Table1938[[#This Row],[Relevant]]=TRUE),TRUE,FALSE)</f>
        <v>0</v>
      </c>
    </row>
    <row r="463" spans="1:35" ht="57.35" x14ac:dyDescent="0.5">
      <c r="A463" s="2">
        <v>462</v>
      </c>
      <c r="B463" s="20" t="s">
        <v>3</v>
      </c>
      <c r="C463" s="20" t="s">
        <v>3658</v>
      </c>
      <c r="D463" s="20" t="s">
        <v>1295</v>
      </c>
      <c r="E463" s="20" t="s">
        <v>1294</v>
      </c>
      <c r="F463" s="2" t="s">
        <v>1297</v>
      </c>
      <c r="G463" s="20" t="s">
        <v>920</v>
      </c>
      <c r="H463" s="36">
        <v>42740</v>
      </c>
      <c r="I463" s="20">
        <v>2017</v>
      </c>
      <c r="J463" s="20" t="s">
        <v>61</v>
      </c>
      <c r="K463" s="20" t="s">
        <v>3659</v>
      </c>
      <c r="L463" s="20" t="s">
        <v>2515</v>
      </c>
      <c r="M463" s="20" t="s">
        <v>1296</v>
      </c>
      <c r="N463" s="20" t="b">
        <v>1</v>
      </c>
      <c r="O463" s="2" t="b">
        <f>IF(Table1938[[#This Row],[Title]]="",TRUE,FALSE)</f>
        <v>0</v>
      </c>
      <c r="P463" s="2" t="b">
        <f>IF(Table1938[[#This Row],[Author]]="",TRUE,FALSE)</f>
        <v>0</v>
      </c>
      <c r="Q463" s="2" t="b">
        <f>IF(Table1938[[#This Row],[DOI]]&lt;&gt;"", FALSE,TRUE)</f>
        <v>0</v>
      </c>
      <c r="R463" s="2" t="b">
        <f>IF(Table1938[[#This Row],[Abstract]]="",TRUE,FALSE)</f>
        <v>0</v>
      </c>
      <c r="S463" s="2" t="b">
        <f>IF(OR(Table1938[[#This Row],[Document Type]]="book",Table1938[[#This Row],[Document Type]]="bookSection"),TRUE,FALSE)</f>
        <v>0</v>
      </c>
      <c r="T463" s="2" t="b">
        <f>NOT(IF(OR(Table1938[[#This Row],[Language]]&lt;&gt;"en",Table1938[[#This Row],[Language]]&lt;&gt;"EN",Table1938[[#This Row],[Language]]&lt;&gt;"spa",Table1938[[#This Row],[Language]]&lt;&gt;"SPA"),TRUE,FALSE))</f>
        <v>0</v>
      </c>
      <c r="U463" s="2" t="b">
        <f>IF(AND(Table1938[[#This Row],[EC-01]]=FALSE,Table1938[[#This Row],[EC-02]]=FALSE,Table1938[[#This Row],[EC-03]]=FALSE,Table1938[[#This Row],[EC-04]]=FALSE,Table1938[[#This Row],[EC-05]]=FALSE,Table1938[[#This Row],[EC-06]]=FALSE),TRUE,FALSE)</f>
        <v>1</v>
      </c>
      <c r="V463" s="2" t="b">
        <f>IF(Table1938[[#This Row],[Date]]&lt;&gt;"",AND(YEAR(Table1938[[#This Row],[Date]])&gt;=2010, YEAR(Table1938[[#This Row],[Date]])&lt;=2024),FALSE)</f>
        <v>1</v>
      </c>
      <c r="W463" s="2" t="b">
        <f>IF(Table1938[[#This Row],[Date]]&lt;&gt;"",AND(YEAR(Table1938[[#This Row],[Date]])&gt;=2010, YEAR(Table1938[[#This Row],[Date]])&lt;=2020),FALSE)</f>
        <v>1</v>
      </c>
      <c r="X463" s="2" t="b">
        <f>IF(AND(Table1938[[#This Row],[Accesible]]=TRUE,Table1938[[#This Row],[DOI]]&lt;&gt;""),TRUE,FALSE)</f>
        <v>1</v>
      </c>
      <c r="Y463" s="2" t="b">
        <f>OR(Table1938[[#This Row],[Document Type]]="journalArticle",Table1938[[#This Row],[Document Type]]="conferencePaper",Table1938[[#This Row],[Document Type]]="review")</f>
        <v>1</v>
      </c>
      <c r="Z463" s="2" t="b" cm="1">
        <f t="array" ref="Z463">SUMPRODUCT(--ISNUMBER(SEARCH({"dimensional analysis","dimensionless coefficients","Π","Pi","theorem","software","design","tools","development","architecture","similar"}, LOWER(Table1938[[#This Row],[Title]]))))&gt;0</f>
        <v>1</v>
      </c>
      <c r="AA463" s="2" t="b" cm="1">
        <f t="array" ref="AA463">SUMPRODUCT(--ISNUMBER(SEARCH({"dimensional analysis","dimensionless coefficients","Π","Pi","theorem","software","design","tools","development","architecture","similar"}, LOWER(Table1938[[#This Row],[Abstract]]))))&gt;0</f>
        <v>1</v>
      </c>
      <c r="AB463" s="2" t="b">
        <f>AND(OR(Table1938[[#This Row],[IC-01 @2024]:[IC-01 @2020]])=TRUE,Table1938[[#This Row],[IC-02]]=TRUE,Table1938[[#This Row],[IC-03]]=TRUE,Table1938[[#This Row],[IC-04]]=TRUE,Table1938[[#This Row],[IC-05]]=TRUE)</f>
        <v>1</v>
      </c>
      <c r="AC463" s="2" t="b">
        <f>AND(Table1938[[#This Row],[Pass-IC]]=TRUE,Table1938[[#This Row],[Pass-EC]]=TRUE)</f>
        <v>1</v>
      </c>
      <c r="AD463" s="2" t="b">
        <f>COUNTIF($D$25:D463, Table1938[[#This Row],[Title]]) = 1</f>
        <v>1</v>
      </c>
      <c r="AE463" s="2" t="b">
        <f>AND(Table1938[[#This Row],[IC + EC]:[Unique]])</f>
        <v>1</v>
      </c>
      <c r="AF463" s="2" t="b">
        <v>1</v>
      </c>
      <c r="AG463" s="2" t="b">
        <v>0</v>
      </c>
      <c r="AH463" s="2" t="b">
        <v>0</v>
      </c>
      <c r="AI463" s="2" t="b">
        <f>IF(AND(Table1938[[#This Row],[Double Check]]=TRUE,Table1938[[#This Row],[Inspected]]=TRUE,Table1938[[#This Row],[Relevant]]=TRUE),TRUE,FALSE)</f>
        <v>0</v>
      </c>
    </row>
    <row r="464" spans="1:35" ht="43" x14ac:dyDescent="0.5">
      <c r="A464" s="2">
        <v>463</v>
      </c>
      <c r="B464" s="20" t="s">
        <v>3</v>
      </c>
      <c r="C464" s="20" t="s">
        <v>3660</v>
      </c>
      <c r="D464" s="20" t="s">
        <v>2384</v>
      </c>
      <c r="E464" s="20" t="s">
        <v>2383</v>
      </c>
      <c r="F464" s="2" t="s">
        <v>2386</v>
      </c>
      <c r="G464" s="20" t="s">
        <v>951</v>
      </c>
      <c r="H464" s="36">
        <v>43160</v>
      </c>
      <c r="I464" s="20">
        <v>2018</v>
      </c>
      <c r="J464" s="20" t="s">
        <v>61</v>
      </c>
      <c r="K464" s="20" t="s">
        <v>3661</v>
      </c>
      <c r="L464" s="20" t="s">
        <v>2515</v>
      </c>
      <c r="M464" s="20" t="s">
        <v>2385</v>
      </c>
      <c r="N464" s="20" t="b">
        <v>1</v>
      </c>
      <c r="O464" s="2" t="b">
        <f>IF(Table1938[[#This Row],[Title]]="",TRUE,FALSE)</f>
        <v>0</v>
      </c>
      <c r="P464" s="2" t="b">
        <f>IF(Table1938[[#This Row],[Author]]="",TRUE,FALSE)</f>
        <v>0</v>
      </c>
      <c r="Q464" s="2" t="b">
        <f>IF(Table1938[[#This Row],[DOI]]&lt;&gt;"", FALSE,TRUE)</f>
        <v>0</v>
      </c>
      <c r="R464" s="2" t="b">
        <f>IF(Table1938[[#This Row],[Abstract]]="",TRUE,FALSE)</f>
        <v>0</v>
      </c>
      <c r="S464" s="2" t="b">
        <f>IF(OR(Table1938[[#This Row],[Document Type]]="book",Table1938[[#This Row],[Document Type]]="bookSection"),TRUE,FALSE)</f>
        <v>0</v>
      </c>
      <c r="T464" s="2" t="b">
        <f>NOT(IF(OR(Table1938[[#This Row],[Language]]&lt;&gt;"en",Table1938[[#This Row],[Language]]&lt;&gt;"EN",Table1938[[#This Row],[Language]]&lt;&gt;"spa",Table1938[[#This Row],[Language]]&lt;&gt;"SPA"),TRUE,FALSE))</f>
        <v>0</v>
      </c>
      <c r="U464" s="2" t="b">
        <f>IF(AND(Table1938[[#This Row],[EC-01]]=FALSE,Table1938[[#This Row],[EC-02]]=FALSE,Table1938[[#This Row],[EC-03]]=FALSE,Table1938[[#This Row],[EC-04]]=FALSE,Table1938[[#This Row],[EC-05]]=FALSE,Table1938[[#This Row],[EC-06]]=FALSE),TRUE,FALSE)</f>
        <v>1</v>
      </c>
      <c r="V464" s="2" t="b">
        <f>IF(Table1938[[#This Row],[Date]]&lt;&gt;"",AND(YEAR(Table1938[[#This Row],[Date]])&gt;=2010, YEAR(Table1938[[#This Row],[Date]])&lt;=2024),FALSE)</f>
        <v>1</v>
      </c>
      <c r="W464" s="2" t="b">
        <f>IF(Table1938[[#This Row],[Date]]&lt;&gt;"",AND(YEAR(Table1938[[#This Row],[Date]])&gt;=2010, YEAR(Table1938[[#This Row],[Date]])&lt;=2020),FALSE)</f>
        <v>1</v>
      </c>
      <c r="X464" s="2" t="b">
        <f>IF(AND(Table1938[[#This Row],[Accesible]]=TRUE,Table1938[[#This Row],[DOI]]&lt;&gt;""),TRUE,FALSE)</f>
        <v>1</v>
      </c>
      <c r="Y464" s="2" t="b">
        <f>OR(Table1938[[#This Row],[Document Type]]="journalArticle",Table1938[[#This Row],[Document Type]]="conferencePaper",Table1938[[#This Row],[Document Type]]="review")</f>
        <v>1</v>
      </c>
      <c r="Z464" s="2" t="b" cm="1">
        <f t="array" ref="Z464">SUMPRODUCT(--ISNUMBER(SEARCH({"dimensional analysis","dimensionless coefficients","Π","Pi","theorem","software","design","tools","development","architecture","similar"}, LOWER(Table1938[[#This Row],[Title]]))))&gt;0</f>
        <v>0</v>
      </c>
      <c r="AA464" s="2" t="b" cm="1">
        <f t="array" ref="AA464">SUMPRODUCT(--ISNUMBER(SEARCH({"dimensional analysis","dimensionless coefficients","Π","Pi","theorem","software","design","tools","development","architecture","similar"}, LOWER(Table1938[[#This Row],[Abstract]]))))&gt;0</f>
        <v>1</v>
      </c>
      <c r="AB464" s="2" t="b">
        <f>AND(OR(Table1938[[#This Row],[IC-01 @2024]:[IC-01 @2020]])=TRUE,Table1938[[#This Row],[IC-02]]=TRUE,Table1938[[#This Row],[IC-03]]=TRUE,Table1938[[#This Row],[IC-04]]=TRUE,Table1938[[#This Row],[IC-05]]=TRUE)</f>
        <v>0</v>
      </c>
      <c r="AC464" s="2" t="b">
        <f>AND(Table1938[[#This Row],[Pass-IC]]=TRUE,Table1938[[#This Row],[Pass-EC]]=TRUE)</f>
        <v>0</v>
      </c>
      <c r="AD464" s="2" t="b">
        <f>COUNTIF($D$25:D464, Table1938[[#This Row],[Title]]) = 1</f>
        <v>1</v>
      </c>
      <c r="AE464" s="2" t="b">
        <f>AND(Table1938[[#This Row],[IC + EC]:[Unique]])</f>
        <v>0</v>
      </c>
      <c r="AF464" s="2" t="b">
        <v>0</v>
      </c>
      <c r="AG464" s="2" t="b">
        <v>0</v>
      </c>
      <c r="AH464" s="2" t="b">
        <v>0</v>
      </c>
      <c r="AI464" s="2" t="b">
        <f>IF(AND(Table1938[[#This Row],[Double Check]]=TRUE,Table1938[[#This Row],[Inspected]]=TRUE,Table1938[[#This Row],[Relevant]]=TRUE),TRUE,FALSE)</f>
        <v>0</v>
      </c>
    </row>
    <row r="465" spans="1:35" ht="71.7" x14ac:dyDescent="0.5">
      <c r="A465" s="2">
        <v>464</v>
      </c>
      <c r="B465" s="20" t="s">
        <v>3</v>
      </c>
      <c r="C465" s="20" t="s">
        <v>3662</v>
      </c>
      <c r="D465" s="20" t="s">
        <v>1099</v>
      </c>
      <c r="E465" s="20" t="s">
        <v>1098</v>
      </c>
      <c r="F465" s="2" t="s">
        <v>1101</v>
      </c>
      <c r="G465" s="20" t="s">
        <v>1015</v>
      </c>
      <c r="H465" s="36">
        <v>45231</v>
      </c>
      <c r="I465" s="20">
        <v>2023</v>
      </c>
      <c r="J465" s="20" t="s">
        <v>61</v>
      </c>
      <c r="K465" s="20" t="s">
        <v>3663</v>
      </c>
      <c r="L465" s="20" t="s">
        <v>2515</v>
      </c>
      <c r="M465" s="20" t="s">
        <v>1100</v>
      </c>
      <c r="N465" s="20" t="b">
        <v>1</v>
      </c>
      <c r="O465" s="2" t="b">
        <f>IF(Table1938[[#This Row],[Title]]="",TRUE,FALSE)</f>
        <v>0</v>
      </c>
      <c r="P465" s="2" t="b">
        <f>IF(Table1938[[#This Row],[Author]]="",TRUE,FALSE)</f>
        <v>0</v>
      </c>
      <c r="Q465" s="2" t="b">
        <f>IF(Table1938[[#This Row],[DOI]]&lt;&gt;"", FALSE,TRUE)</f>
        <v>0</v>
      </c>
      <c r="R465" s="2" t="b">
        <f>IF(Table1938[[#This Row],[Abstract]]="",TRUE,FALSE)</f>
        <v>0</v>
      </c>
      <c r="S465" s="2" t="b">
        <f>IF(OR(Table1938[[#This Row],[Document Type]]="book",Table1938[[#This Row],[Document Type]]="bookSection"),TRUE,FALSE)</f>
        <v>0</v>
      </c>
      <c r="T465" s="2" t="b">
        <f>NOT(IF(OR(Table1938[[#This Row],[Language]]&lt;&gt;"en",Table1938[[#This Row],[Language]]&lt;&gt;"EN",Table1938[[#This Row],[Language]]&lt;&gt;"spa",Table1938[[#This Row],[Language]]&lt;&gt;"SPA"),TRUE,FALSE))</f>
        <v>0</v>
      </c>
      <c r="U465" s="2" t="b">
        <f>IF(AND(Table1938[[#This Row],[EC-01]]=FALSE,Table1938[[#This Row],[EC-02]]=FALSE,Table1938[[#This Row],[EC-03]]=FALSE,Table1938[[#This Row],[EC-04]]=FALSE,Table1938[[#This Row],[EC-05]]=FALSE,Table1938[[#This Row],[EC-06]]=FALSE),TRUE,FALSE)</f>
        <v>1</v>
      </c>
      <c r="V465" s="2" t="b">
        <f>IF(Table1938[[#This Row],[Date]]&lt;&gt;"",AND(YEAR(Table1938[[#This Row],[Date]])&gt;=2010, YEAR(Table1938[[#This Row],[Date]])&lt;=2024),FALSE)</f>
        <v>1</v>
      </c>
      <c r="W465" s="2" t="b">
        <f>IF(Table1938[[#This Row],[Date]]&lt;&gt;"",AND(YEAR(Table1938[[#This Row],[Date]])&gt;=2010, YEAR(Table1938[[#This Row],[Date]])&lt;=2020),FALSE)</f>
        <v>0</v>
      </c>
      <c r="X465" s="2" t="b">
        <f>IF(AND(Table1938[[#This Row],[Accesible]]=TRUE,Table1938[[#This Row],[DOI]]&lt;&gt;""),TRUE,FALSE)</f>
        <v>1</v>
      </c>
      <c r="Y465" s="2" t="b">
        <f>OR(Table1938[[#This Row],[Document Type]]="journalArticle",Table1938[[#This Row],[Document Type]]="conferencePaper",Table1938[[#This Row],[Document Type]]="review")</f>
        <v>1</v>
      </c>
      <c r="Z465" s="2" t="b" cm="1">
        <f t="array" ref="Z465">SUMPRODUCT(--ISNUMBER(SEARCH({"dimensional analysis","dimensionless coefficients","Π","Pi","theorem","software","design","tools","development","architecture","similar"}, LOWER(Table1938[[#This Row],[Title]]))))&gt;0</f>
        <v>0</v>
      </c>
      <c r="AA465" s="2" t="b" cm="1">
        <f t="array" ref="AA465">SUMPRODUCT(--ISNUMBER(SEARCH({"dimensional analysis","dimensionless coefficients","Π","Pi","theorem","software","design","tools","development","architecture","similar"}, LOWER(Table1938[[#This Row],[Abstract]]))))&gt;0</f>
        <v>1</v>
      </c>
      <c r="AB465" s="2" t="b">
        <f>AND(OR(Table1938[[#This Row],[IC-01 @2024]:[IC-01 @2020]])=TRUE,Table1938[[#This Row],[IC-02]]=TRUE,Table1938[[#This Row],[IC-03]]=TRUE,Table1938[[#This Row],[IC-04]]=TRUE,Table1938[[#This Row],[IC-05]]=TRUE)</f>
        <v>0</v>
      </c>
      <c r="AC465" s="2" t="b">
        <f>AND(Table1938[[#This Row],[Pass-IC]]=TRUE,Table1938[[#This Row],[Pass-EC]]=TRUE)</f>
        <v>0</v>
      </c>
      <c r="AD465" s="2" t="b">
        <f>COUNTIF($D$25:D465, Table1938[[#This Row],[Title]]) = 1</f>
        <v>1</v>
      </c>
      <c r="AE465" s="2" t="b">
        <f>AND(Table1938[[#This Row],[IC + EC]:[Unique]])</f>
        <v>0</v>
      </c>
      <c r="AF465" s="2" t="b">
        <v>0</v>
      </c>
      <c r="AG465" s="2" t="b">
        <v>0</v>
      </c>
      <c r="AH465" s="2" t="b">
        <v>0</v>
      </c>
      <c r="AI465" s="2" t="b">
        <f>IF(AND(Table1938[[#This Row],[Double Check]]=TRUE,Table1938[[#This Row],[Inspected]]=TRUE,Table1938[[#This Row],[Relevant]]=TRUE),TRUE,FALSE)</f>
        <v>0</v>
      </c>
    </row>
    <row r="466" spans="1:35" ht="43" x14ac:dyDescent="0.5">
      <c r="A466" s="2">
        <v>465</v>
      </c>
      <c r="B466" s="20" t="s">
        <v>3</v>
      </c>
      <c r="C466" s="20" t="s">
        <v>3664</v>
      </c>
      <c r="D466" s="20" t="s">
        <v>1520</v>
      </c>
      <c r="E466" s="20" t="s">
        <v>1519</v>
      </c>
      <c r="F466" s="2" t="s">
        <v>1522</v>
      </c>
      <c r="G466" s="20" t="s">
        <v>1122</v>
      </c>
      <c r="H466" s="36">
        <v>45292</v>
      </c>
      <c r="I466" s="20">
        <v>2024</v>
      </c>
      <c r="J466" s="20" t="s">
        <v>61</v>
      </c>
      <c r="K466" s="20" t="s">
        <v>3665</v>
      </c>
      <c r="L466" s="20" t="s">
        <v>2515</v>
      </c>
      <c r="M466" s="20" t="s">
        <v>1521</v>
      </c>
      <c r="N466" s="20" t="b">
        <v>1</v>
      </c>
      <c r="O466" s="2" t="b">
        <f>IF(Table1938[[#This Row],[Title]]="",TRUE,FALSE)</f>
        <v>0</v>
      </c>
      <c r="P466" s="2" t="b">
        <f>IF(Table1938[[#This Row],[Author]]="",TRUE,FALSE)</f>
        <v>0</v>
      </c>
      <c r="Q466" s="2" t="b">
        <f>IF(Table1938[[#This Row],[DOI]]&lt;&gt;"", FALSE,TRUE)</f>
        <v>0</v>
      </c>
      <c r="R466" s="2" t="b">
        <f>IF(Table1938[[#This Row],[Abstract]]="",TRUE,FALSE)</f>
        <v>0</v>
      </c>
      <c r="S466" s="2" t="b">
        <f>IF(OR(Table1938[[#This Row],[Document Type]]="book",Table1938[[#This Row],[Document Type]]="bookSection"),TRUE,FALSE)</f>
        <v>0</v>
      </c>
      <c r="T466" s="2" t="b">
        <f>NOT(IF(OR(Table1938[[#This Row],[Language]]&lt;&gt;"en",Table1938[[#This Row],[Language]]&lt;&gt;"EN",Table1938[[#This Row],[Language]]&lt;&gt;"spa",Table1938[[#This Row],[Language]]&lt;&gt;"SPA"),TRUE,FALSE))</f>
        <v>0</v>
      </c>
      <c r="U466" s="2" t="b">
        <f>IF(AND(Table1938[[#This Row],[EC-01]]=FALSE,Table1938[[#This Row],[EC-02]]=FALSE,Table1938[[#This Row],[EC-03]]=FALSE,Table1938[[#This Row],[EC-04]]=FALSE,Table1938[[#This Row],[EC-05]]=FALSE,Table1938[[#This Row],[EC-06]]=FALSE),TRUE,FALSE)</f>
        <v>1</v>
      </c>
      <c r="V466" s="2" t="b">
        <f>IF(Table1938[[#This Row],[Date]]&lt;&gt;"",AND(YEAR(Table1938[[#This Row],[Date]])&gt;=2010, YEAR(Table1938[[#This Row],[Date]])&lt;=2024),FALSE)</f>
        <v>1</v>
      </c>
      <c r="W466" s="2" t="b">
        <f>IF(Table1938[[#This Row],[Date]]&lt;&gt;"",AND(YEAR(Table1938[[#This Row],[Date]])&gt;=2010, YEAR(Table1938[[#This Row],[Date]])&lt;=2020),FALSE)</f>
        <v>0</v>
      </c>
      <c r="X466" s="2" t="b">
        <f>IF(AND(Table1938[[#This Row],[Accesible]]=TRUE,Table1938[[#This Row],[DOI]]&lt;&gt;""),TRUE,FALSE)</f>
        <v>1</v>
      </c>
      <c r="Y466" s="2" t="b">
        <f>OR(Table1938[[#This Row],[Document Type]]="journalArticle",Table1938[[#This Row],[Document Type]]="conferencePaper",Table1938[[#This Row],[Document Type]]="review")</f>
        <v>1</v>
      </c>
      <c r="Z466" s="2" t="b" cm="1">
        <f t="array" ref="Z466">SUMPRODUCT(--ISNUMBER(SEARCH({"dimensional analysis","dimensionless coefficients","Π","Pi","theorem","software","design","tools","development","architecture","similar"}, LOWER(Table1938[[#This Row],[Title]]))))&gt;0</f>
        <v>1</v>
      </c>
      <c r="AA466" s="2" t="b" cm="1">
        <f t="array" ref="AA466">SUMPRODUCT(--ISNUMBER(SEARCH({"dimensional analysis","dimensionless coefficients","Π","Pi","theorem","software","design","tools","development","architecture","similar"}, LOWER(Table1938[[#This Row],[Abstract]]))))&gt;0</f>
        <v>1</v>
      </c>
      <c r="AB466" s="2" t="b">
        <f>AND(OR(Table1938[[#This Row],[IC-01 @2024]:[IC-01 @2020]])=TRUE,Table1938[[#This Row],[IC-02]]=TRUE,Table1938[[#This Row],[IC-03]]=TRUE,Table1938[[#This Row],[IC-04]]=TRUE,Table1938[[#This Row],[IC-05]]=TRUE)</f>
        <v>1</v>
      </c>
      <c r="AC466" s="2" t="b">
        <f>AND(Table1938[[#This Row],[Pass-IC]]=TRUE,Table1938[[#This Row],[Pass-EC]]=TRUE)</f>
        <v>1</v>
      </c>
      <c r="AD466" s="2" t="b">
        <f>COUNTIF($D$25:D466, Table1938[[#This Row],[Title]]) = 1</f>
        <v>1</v>
      </c>
      <c r="AE466" s="2" t="b">
        <f>AND(Table1938[[#This Row],[IC + EC]:[Unique]])</f>
        <v>1</v>
      </c>
      <c r="AF466" s="2" t="b">
        <v>1</v>
      </c>
      <c r="AG466" s="2" t="b">
        <v>0</v>
      </c>
      <c r="AH466" s="2" t="b">
        <v>0</v>
      </c>
      <c r="AI466" s="2" t="b">
        <f>IF(AND(Table1938[[#This Row],[Double Check]]=TRUE,Table1938[[#This Row],[Inspected]]=TRUE,Table1938[[#This Row],[Relevant]]=TRUE),TRUE,FALSE)</f>
        <v>0</v>
      </c>
    </row>
    <row r="467" spans="1:35" ht="114.7" x14ac:dyDescent="0.5">
      <c r="A467" s="2">
        <v>466</v>
      </c>
      <c r="B467" s="20" t="s">
        <v>3</v>
      </c>
      <c r="C467" s="20" t="s">
        <v>3666</v>
      </c>
      <c r="D467" s="20" t="s">
        <v>2067</v>
      </c>
      <c r="E467" s="20" t="s">
        <v>2066</v>
      </c>
      <c r="F467" s="2" t="s">
        <v>2070</v>
      </c>
      <c r="G467" s="20" t="s">
        <v>2068</v>
      </c>
      <c r="H467" s="36">
        <v>44470</v>
      </c>
      <c r="I467" s="20">
        <v>2021</v>
      </c>
      <c r="J467" s="20" t="s">
        <v>61</v>
      </c>
      <c r="K467" s="20" t="s">
        <v>3667</v>
      </c>
      <c r="L467" s="20" t="s">
        <v>2515</v>
      </c>
      <c r="M467" s="20" t="s">
        <v>2069</v>
      </c>
      <c r="N467" s="20" t="b">
        <v>1</v>
      </c>
      <c r="O467" s="2" t="b">
        <f>IF(Table1938[[#This Row],[Title]]="",TRUE,FALSE)</f>
        <v>0</v>
      </c>
      <c r="P467" s="2" t="b">
        <f>IF(Table1938[[#This Row],[Author]]="",TRUE,FALSE)</f>
        <v>0</v>
      </c>
      <c r="Q467" s="2" t="b">
        <f>IF(Table1938[[#This Row],[DOI]]&lt;&gt;"", FALSE,TRUE)</f>
        <v>0</v>
      </c>
      <c r="R467" s="2" t="b">
        <f>IF(Table1938[[#This Row],[Abstract]]="",TRUE,FALSE)</f>
        <v>0</v>
      </c>
      <c r="S467" s="2" t="b">
        <f>IF(OR(Table1938[[#This Row],[Document Type]]="book",Table1938[[#This Row],[Document Type]]="bookSection"),TRUE,FALSE)</f>
        <v>0</v>
      </c>
      <c r="T467" s="2" t="b">
        <f>NOT(IF(OR(Table1938[[#This Row],[Language]]&lt;&gt;"en",Table1938[[#This Row],[Language]]&lt;&gt;"EN",Table1938[[#This Row],[Language]]&lt;&gt;"spa",Table1938[[#This Row],[Language]]&lt;&gt;"SPA"),TRUE,FALSE))</f>
        <v>0</v>
      </c>
      <c r="U467" s="2" t="b">
        <f>IF(AND(Table1938[[#This Row],[EC-01]]=FALSE,Table1938[[#This Row],[EC-02]]=FALSE,Table1938[[#This Row],[EC-03]]=FALSE,Table1938[[#This Row],[EC-04]]=FALSE,Table1938[[#This Row],[EC-05]]=FALSE,Table1938[[#This Row],[EC-06]]=FALSE),TRUE,FALSE)</f>
        <v>1</v>
      </c>
      <c r="V467" s="2" t="b">
        <f>IF(Table1938[[#This Row],[Date]]&lt;&gt;"",AND(YEAR(Table1938[[#This Row],[Date]])&gt;=2010, YEAR(Table1938[[#This Row],[Date]])&lt;=2024),FALSE)</f>
        <v>1</v>
      </c>
      <c r="W467" s="2" t="b">
        <f>IF(Table1938[[#This Row],[Date]]&lt;&gt;"",AND(YEAR(Table1938[[#This Row],[Date]])&gt;=2010, YEAR(Table1938[[#This Row],[Date]])&lt;=2020),FALSE)</f>
        <v>0</v>
      </c>
      <c r="X467" s="2" t="b">
        <f>IF(AND(Table1938[[#This Row],[Accesible]]=TRUE,Table1938[[#This Row],[DOI]]&lt;&gt;""),TRUE,FALSE)</f>
        <v>1</v>
      </c>
      <c r="Y467" s="2" t="b">
        <f>OR(Table1938[[#This Row],[Document Type]]="journalArticle",Table1938[[#This Row],[Document Type]]="conferencePaper",Table1938[[#This Row],[Document Type]]="review")</f>
        <v>1</v>
      </c>
      <c r="Z467" s="2" t="b" cm="1">
        <f t="array" ref="Z467">SUMPRODUCT(--ISNUMBER(SEARCH({"dimensional analysis","dimensionless coefficients","Π","Pi","theorem","software","design","tools","development","architecture","similar"}, LOWER(Table1938[[#This Row],[Title]]))))&gt;0</f>
        <v>0</v>
      </c>
      <c r="AA467" s="2" t="b" cm="1">
        <f t="array" ref="AA467">SUMPRODUCT(--ISNUMBER(SEARCH({"dimensional analysis","dimensionless coefficients","Π","Pi","theorem","software","design","tools","development","architecture","similar"}, LOWER(Table1938[[#This Row],[Abstract]]))))&gt;0</f>
        <v>1</v>
      </c>
      <c r="AB467" s="2" t="b">
        <f>AND(OR(Table1938[[#This Row],[IC-01 @2024]:[IC-01 @2020]])=TRUE,Table1938[[#This Row],[IC-02]]=TRUE,Table1938[[#This Row],[IC-03]]=TRUE,Table1938[[#This Row],[IC-04]]=TRUE,Table1938[[#This Row],[IC-05]]=TRUE)</f>
        <v>0</v>
      </c>
      <c r="AC467" s="2" t="b">
        <f>AND(Table1938[[#This Row],[Pass-IC]]=TRUE,Table1938[[#This Row],[Pass-EC]]=TRUE)</f>
        <v>0</v>
      </c>
      <c r="AD467" s="2" t="b">
        <f>COUNTIF($D$25:D467, Table1938[[#This Row],[Title]]) = 1</f>
        <v>1</v>
      </c>
      <c r="AE467" s="2" t="b">
        <f>AND(Table1938[[#This Row],[IC + EC]:[Unique]])</f>
        <v>0</v>
      </c>
      <c r="AF467" s="2" t="b">
        <v>0</v>
      </c>
      <c r="AG467" s="2" t="b">
        <v>0</v>
      </c>
      <c r="AH467" s="2" t="b">
        <v>0</v>
      </c>
      <c r="AI467" s="2" t="b">
        <f>IF(AND(Table1938[[#This Row],[Double Check]]=TRUE,Table1938[[#This Row],[Inspected]]=TRUE,Table1938[[#This Row],[Relevant]]=TRUE),TRUE,FALSE)</f>
        <v>0</v>
      </c>
    </row>
    <row r="468" spans="1:35" ht="57.35" x14ac:dyDescent="0.5">
      <c r="A468" s="2">
        <v>467</v>
      </c>
      <c r="B468" s="20" t="s">
        <v>3</v>
      </c>
      <c r="C468" s="20" t="s">
        <v>3668</v>
      </c>
      <c r="D468" s="20" t="s">
        <v>1442</v>
      </c>
      <c r="E468" s="20" t="s">
        <v>1441</v>
      </c>
      <c r="F468" s="2" t="s">
        <v>1444</v>
      </c>
      <c r="G468" s="20" t="s">
        <v>1144</v>
      </c>
      <c r="H468" s="36">
        <v>40273</v>
      </c>
      <c r="I468" s="20">
        <v>2010</v>
      </c>
      <c r="J468" s="20" t="s">
        <v>61</v>
      </c>
      <c r="K468" s="20" t="s">
        <v>3669</v>
      </c>
      <c r="L468" s="20" t="s">
        <v>2515</v>
      </c>
      <c r="M468" s="20" t="s">
        <v>1443</v>
      </c>
      <c r="N468" s="20" t="b">
        <v>1</v>
      </c>
      <c r="O468" s="2" t="b">
        <f>IF(Table1938[[#This Row],[Title]]="",TRUE,FALSE)</f>
        <v>0</v>
      </c>
      <c r="P468" s="2" t="b">
        <f>IF(Table1938[[#This Row],[Author]]="",TRUE,FALSE)</f>
        <v>0</v>
      </c>
      <c r="Q468" s="2" t="b">
        <f>IF(Table1938[[#This Row],[DOI]]&lt;&gt;"", FALSE,TRUE)</f>
        <v>0</v>
      </c>
      <c r="R468" s="2" t="b">
        <f>IF(Table1938[[#This Row],[Abstract]]="",TRUE,FALSE)</f>
        <v>0</v>
      </c>
      <c r="S468" s="2" t="b">
        <f>IF(OR(Table1938[[#This Row],[Document Type]]="book",Table1938[[#This Row],[Document Type]]="bookSection"),TRUE,FALSE)</f>
        <v>0</v>
      </c>
      <c r="T468" s="2" t="b">
        <f>NOT(IF(OR(Table1938[[#This Row],[Language]]&lt;&gt;"en",Table1938[[#This Row],[Language]]&lt;&gt;"EN",Table1938[[#This Row],[Language]]&lt;&gt;"spa",Table1938[[#This Row],[Language]]&lt;&gt;"SPA"),TRUE,FALSE))</f>
        <v>0</v>
      </c>
      <c r="U468" s="2" t="b">
        <f>IF(AND(Table1938[[#This Row],[EC-01]]=FALSE,Table1938[[#This Row],[EC-02]]=FALSE,Table1938[[#This Row],[EC-03]]=FALSE,Table1938[[#This Row],[EC-04]]=FALSE,Table1938[[#This Row],[EC-05]]=FALSE,Table1938[[#This Row],[EC-06]]=FALSE),TRUE,FALSE)</f>
        <v>1</v>
      </c>
      <c r="V468" s="2" t="b">
        <f>IF(Table1938[[#This Row],[Date]]&lt;&gt;"",AND(YEAR(Table1938[[#This Row],[Date]])&gt;=2010, YEAR(Table1938[[#This Row],[Date]])&lt;=2024),FALSE)</f>
        <v>1</v>
      </c>
      <c r="W468" s="2" t="b">
        <f>IF(Table1938[[#This Row],[Date]]&lt;&gt;"",AND(YEAR(Table1938[[#This Row],[Date]])&gt;=2010, YEAR(Table1938[[#This Row],[Date]])&lt;=2020),FALSE)</f>
        <v>1</v>
      </c>
      <c r="X468" s="2" t="b">
        <f>IF(AND(Table1938[[#This Row],[Accesible]]=TRUE,Table1938[[#This Row],[DOI]]&lt;&gt;""),TRUE,FALSE)</f>
        <v>1</v>
      </c>
      <c r="Y468" s="2" t="b">
        <f>OR(Table1938[[#This Row],[Document Type]]="journalArticle",Table1938[[#This Row],[Document Type]]="conferencePaper",Table1938[[#This Row],[Document Type]]="review")</f>
        <v>1</v>
      </c>
      <c r="Z468" s="2" t="b" cm="1">
        <f t="array" ref="Z468">SUMPRODUCT(--ISNUMBER(SEARCH({"dimensional analysis","dimensionless coefficients","Π","Pi","theorem","software","design","tools","development","architecture","similar"}, LOWER(Table1938[[#This Row],[Title]]))))&gt;0</f>
        <v>0</v>
      </c>
      <c r="AA468" s="2" t="b" cm="1">
        <f t="array" ref="AA468">SUMPRODUCT(--ISNUMBER(SEARCH({"dimensional analysis","dimensionless coefficients","Π","Pi","theorem","software","design","tools","development","architecture","similar"}, LOWER(Table1938[[#This Row],[Abstract]]))))&gt;0</f>
        <v>1</v>
      </c>
      <c r="AB468" s="2" t="b">
        <f>AND(OR(Table1938[[#This Row],[IC-01 @2024]:[IC-01 @2020]])=TRUE,Table1938[[#This Row],[IC-02]]=TRUE,Table1938[[#This Row],[IC-03]]=TRUE,Table1938[[#This Row],[IC-04]]=TRUE,Table1938[[#This Row],[IC-05]]=TRUE)</f>
        <v>0</v>
      </c>
      <c r="AC468" s="2" t="b">
        <f>AND(Table1938[[#This Row],[Pass-IC]]=TRUE,Table1938[[#This Row],[Pass-EC]]=TRUE)</f>
        <v>0</v>
      </c>
      <c r="AD468" s="2" t="b">
        <f>COUNTIF($D$25:D468, Table1938[[#This Row],[Title]]) = 1</f>
        <v>1</v>
      </c>
      <c r="AE468" s="2" t="b">
        <f>AND(Table1938[[#This Row],[IC + EC]:[Unique]])</f>
        <v>0</v>
      </c>
      <c r="AF468" s="2" t="b">
        <v>0</v>
      </c>
      <c r="AG468" s="2" t="b">
        <v>0</v>
      </c>
      <c r="AH468" s="2" t="b">
        <v>0</v>
      </c>
      <c r="AI468" s="2" t="b">
        <f>IF(AND(Table1938[[#This Row],[Double Check]]=TRUE,Table1938[[#This Row],[Inspected]]=TRUE,Table1938[[#This Row],[Relevant]]=TRUE),TRUE,FALSE)</f>
        <v>0</v>
      </c>
    </row>
    <row r="469" spans="1:35" ht="71.7" x14ac:dyDescent="0.5">
      <c r="A469" s="2">
        <v>468</v>
      </c>
      <c r="B469" s="20" t="s">
        <v>3</v>
      </c>
      <c r="C469" s="20" t="s">
        <v>3670</v>
      </c>
      <c r="D469" s="20" t="s">
        <v>2188</v>
      </c>
      <c r="E469" s="20" t="s">
        <v>2187</v>
      </c>
      <c r="F469" s="2" t="s">
        <v>2190</v>
      </c>
      <c r="G469" s="20" t="s">
        <v>945</v>
      </c>
      <c r="H469" s="36">
        <v>44256</v>
      </c>
      <c r="I469" s="20">
        <v>2021</v>
      </c>
      <c r="J469" s="20" t="s">
        <v>61</v>
      </c>
      <c r="K469" s="20" t="s">
        <v>3671</v>
      </c>
      <c r="L469" s="20" t="s">
        <v>2515</v>
      </c>
      <c r="M469" s="20" t="s">
        <v>2189</v>
      </c>
      <c r="N469" s="20" t="b">
        <v>1</v>
      </c>
      <c r="O469" s="2" t="b">
        <f>IF(Table1938[[#This Row],[Title]]="",TRUE,FALSE)</f>
        <v>0</v>
      </c>
      <c r="P469" s="2" t="b">
        <f>IF(Table1938[[#This Row],[Author]]="",TRUE,FALSE)</f>
        <v>0</v>
      </c>
      <c r="Q469" s="2" t="b">
        <f>IF(Table1938[[#This Row],[DOI]]&lt;&gt;"", FALSE,TRUE)</f>
        <v>0</v>
      </c>
      <c r="R469" s="2" t="b">
        <f>IF(Table1938[[#This Row],[Abstract]]="",TRUE,FALSE)</f>
        <v>0</v>
      </c>
      <c r="S469" s="2" t="b">
        <f>IF(OR(Table1938[[#This Row],[Document Type]]="book",Table1938[[#This Row],[Document Type]]="bookSection"),TRUE,FALSE)</f>
        <v>0</v>
      </c>
      <c r="T469" s="2" t="b">
        <f>NOT(IF(OR(Table1938[[#This Row],[Language]]&lt;&gt;"en",Table1938[[#This Row],[Language]]&lt;&gt;"EN",Table1938[[#This Row],[Language]]&lt;&gt;"spa",Table1938[[#This Row],[Language]]&lt;&gt;"SPA"),TRUE,FALSE))</f>
        <v>0</v>
      </c>
      <c r="U469" s="2" t="b">
        <f>IF(AND(Table1938[[#This Row],[EC-01]]=FALSE,Table1938[[#This Row],[EC-02]]=FALSE,Table1938[[#This Row],[EC-03]]=FALSE,Table1938[[#This Row],[EC-04]]=FALSE,Table1938[[#This Row],[EC-05]]=FALSE,Table1938[[#This Row],[EC-06]]=FALSE),TRUE,FALSE)</f>
        <v>1</v>
      </c>
      <c r="V469" s="2" t="b">
        <f>IF(Table1938[[#This Row],[Date]]&lt;&gt;"",AND(YEAR(Table1938[[#This Row],[Date]])&gt;=2010, YEAR(Table1938[[#This Row],[Date]])&lt;=2024),FALSE)</f>
        <v>1</v>
      </c>
      <c r="W469" s="2" t="b">
        <f>IF(Table1938[[#This Row],[Date]]&lt;&gt;"",AND(YEAR(Table1938[[#This Row],[Date]])&gt;=2010, YEAR(Table1938[[#This Row],[Date]])&lt;=2020),FALSE)</f>
        <v>0</v>
      </c>
      <c r="X469" s="2" t="b">
        <f>IF(AND(Table1938[[#This Row],[Accesible]]=TRUE,Table1938[[#This Row],[DOI]]&lt;&gt;""),TRUE,FALSE)</f>
        <v>1</v>
      </c>
      <c r="Y469" s="2" t="b">
        <f>OR(Table1938[[#This Row],[Document Type]]="journalArticle",Table1938[[#This Row],[Document Type]]="conferencePaper",Table1938[[#This Row],[Document Type]]="review")</f>
        <v>1</v>
      </c>
      <c r="Z469" s="2" t="b" cm="1">
        <f t="array" ref="Z469">SUMPRODUCT(--ISNUMBER(SEARCH({"dimensional analysis","dimensionless coefficients","Π","Pi","theorem","software","design","tools","development","architecture","similar"}, LOWER(Table1938[[#This Row],[Title]]))))&gt;0</f>
        <v>0</v>
      </c>
      <c r="AA469" s="2" t="b" cm="1">
        <f t="array" ref="AA469">SUMPRODUCT(--ISNUMBER(SEARCH({"dimensional analysis","dimensionless coefficients","Π","Pi","theorem","software","design","tools","development","architecture","similar"}, LOWER(Table1938[[#This Row],[Abstract]]))))&gt;0</f>
        <v>1</v>
      </c>
      <c r="AB469" s="2" t="b">
        <f>AND(OR(Table1938[[#This Row],[IC-01 @2024]:[IC-01 @2020]])=TRUE,Table1938[[#This Row],[IC-02]]=TRUE,Table1938[[#This Row],[IC-03]]=TRUE,Table1938[[#This Row],[IC-04]]=TRUE,Table1938[[#This Row],[IC-05]]=TRUE)</f>
        <v>0</v>
      </c>
      <c r="AC469" s="2" t="b">
        <f>AND(Table1938[[#This Row],[Pass-IC]]=TRUE,Table1938[[#This Row],[Pass-EC]]=TRUE)</f>
        <v>0</v>
      </c>
      <c r="AD469" s="2" t="b">
        <f>COUNTIF($D$25:D469, Table1938[[#This Row],[Title]]) = 1</f>
        <v>1</v>
      </c>
      <c r="AE469" s="2" t="b">
        <f>AND(Table1938[[#This Row],[IC + EC]:[Unique]])</f>
        <v>0</v>
      </c>
      <c r="AF469" s="2" t="b">
        <v>0</v>
      </c>
      <c r="AG469" s="2" t="b">
        <v>0</v>
      </c>
      <c r="AH469" s="2" t="b">
        <v>0</v>
      </c>
      <c r="AI469" s="2" t="b">
        <f>IF(AND(Table1938[[#This Row],[Double Check]]=TRUE,Table1938[[#This Row],[Inspected]]=TRUE,Table1938[[#This Row],[Relevant]]=TRUE),TRUE,FALSE)</f>
        <v>0</v>
      </c>
    </row>
    <row r="470" spans="1:35" ht="28.7" x14ac:dyDescent="0.5">
      <c r="A470" s="2">
        <v>469</v>
      </c>
      <c r="B470" s="20" t="s">
        <v>3</v>
      </c>
      <c r="C470" s="20" t="s">
        <v>3672</v>
      </c>
      <c r="D470" s="20" t="s">
        <v>2417</v>
      </c>
      <c r="E470" s="20" t="s">
        <v>2416</v>
      </c>
      <c r="F470" s="2" t="s">
        <v>2420</v>
      </c>
      <c r="G470" s="20" t="s">
        <v>2418</v>
      </c>
      <c r="H470" s="36">
        <v>41852</v>
      </c>
      <c r="I470" s="20">
        <v>2014</v>
      </c>
      <c r="J470" s="20" t="s">
        <v>61</v>
      </c>
      <c r="K470" s="20" t="s">
        <v>3673</v>
      </c>
      <c r="L470" s="20" t="s">
        <v>2515</v>
      </c>
      <c r="M470" s="20" t="s">
        <v>2419</v>
      </c>
      <c r="N470" s="20" t="b">
        <v>1</v>
      </c>
      <c r="O470" s="2" t="b">
        <f>IF(Table1938[[#This Row],[Title]]="",TRUE,FALSE)</f>
        <v>0</v>
      </c>
      <c r="P470" s="2" t="b">
        <f>IF(Table1938[[#This Row],[Author]]="",TRUE,FALSE)</f>
        <v>0</v>
      </c>
      <c r="Q470" s="2" t="b">
        <f>IF(Table1938[[#This Row],[DOI]]&lt;&gt;"", FALSE,TRUE)</f>
        <v>0</v>
      </c>
      <c r="R470" s="2" t="b">
        <f>IF(Table1938[[#This Row],[Abstract]]="",TRUE,FALSE)</f>
        <v>0</v>
      </c>
      <c r="S470" s="2" t="b">
        <f>IF(OR(Table1938[[#This Row],[Document Type]]="book",Table1938[[#This Row],[Document Type]]="bookSection"),TRUE,FALSE)</f>
        <v>0</v>
      </c>
      <c r="T470" s="2" t="b">
        <f>NOT(IF(OR(Table1938[[#This Row],[Language]]&lt;&gt;"en",Table1938[[#This Row],[Language]]&lt;&gt;"EN",Table1938[[#This Row],[Language]]&lt;&gt;"spa",Table1938[[#This Row],[Language]]&lt;&gt;"SPA"),TRUE,FALSE))</f>
        <v>0</v>
      </c>
      <c r="U470" s="2" t="b">
        <f>IF(AND(Table1938[[#This Row],[EC-01]]=FALSE,Table1938[[#This Row],[EC-02]]=FALSE,Table1938[[#This Row],[EC-03]]=FALSE,Table1938[[#This Row],[EC-04]]=FALSE,Table1938[[#This Row],[EC-05]]=FALSE,Table1938[[#This Row],[EC-06]]=FALSE),TRUE,FALSE)</f>
        <v>1</v>
      </c>
      <c r="V470" s="2" t="b">
        <f>IF(Table1938[[#This Row],[Date]]&lt;&gt;"",AND(YEAR(Table1938[[#This Row],[Date]])&gt;=2010, YEAR(Table1938[[#This Row],[Date]])&lt;=2024),FALSE)</f>
        <v>1</v>
      </c>
      <c r="W470" s="2" t="b">
        <f>IF(Table1938[[#This Row],[Date]]&lt;&gt;"",AND(YEAR(Table1938[[#This Row],[Date]])&gt;=2010, YEAR(Table1938[[#This Row],[Date]])&lt;=2020),FALSE)</f>
        <v>1</v>
      </c>
      <c r="X470" s="2" t="b">
        <f>IF(AND(Table1938[[#This Row],[Accesible]]=TRUE,Table1938[[#This Row],[DOI]]&lt;&gt;""),TRUE,FALSE)</f>
        <v>1</v>
      </c>
      <c r="Y470" s="2" t="b">
        <f>OR(Table1938[[#This Row],[Document Type]]="journalArticle",Table1938[[#This Row],[Document Type]]="conferencePaper",Table1938[[#This Row],[Document Type]]="review")</f>
        <v>1</v>
      </c>
      <c r="Z470" s="2" t="b" cm="1">
        <f t="array" ref="Z470">SUMPRODUCT(--ISNUMBER(SEARCH({"dimensional analysis","dimensionless coefficients","Π","Pi","theorem","software","design","tools","development","architecture","similar"}, LOWER(Table1938[[#This Row],[Title]]))))&gt;0</f>
        <v>0</v>
      </c>
      <c r="AA470" s="2" t="b" cm="1">
        <f t="array" ref="AA470">SUMPRODUCT(--ISNUMBER(SEARCH({"dimensional analysis","dimensionless coefficients","Π","Pi","theorem","software","design","tools","development","architecture","similar"}, LOWER(Table1938[[#This Row],[Abstract]]))))&gt;0</f>
        <v>1</v>
      </c>
      <c r="AB470" s="2" t="b">
        <f>AND(OR(Table1938[[#This Row],[IC-01 @2024]:[IC-01 @2020]])=TRUE,Table1938[[#This Row],[IC-02]]=TRUE,Table1938[[#This Row],[IC-03]]=TRUE,Table1938[[#This Row],[IC-04]]=TRUE,Table1938[[#This Row],[IC-05]]=TRUE)</f>
        <v>0</v>
      </c>
      <c r="AC470" s="2" t="b">
        <f>AND(Table1938[[#This Row],[Pass-IC]]=TRUE,Table1938[[#This Row],[Pass-EC]]=TRUE)</f>
        <v>0</v>
      </c>
      <c r="AD470" s="2" t="b">
        <f>COUNTIF($D$25:D470, Table1938[[#This Row],[Title]]) = 1</f>
        <v>1</v>
      </c>
      <c r="AE470" s="2" t="b">
        <f>AND(Table1938[[#This Row],[IC + EC]:[Unique]])</f>
        <v>0</v>
      </c>
      <c r="AF470" s="2" t="b">
        <v>0</v>
      </c>
      <c r="AG470" s="2" t="b">
        <v>0</v>
      </c>
      <c r="AH470" s="2" t="b">
        <v>0</v>
      </c>
      <c r="AI470" s="2" t="b">
        <f>IF(AND(Table1938[[#This Row],[Double Check]]=TRUE,Table1938[[#This Row],[Inspected]]=TRUE,Table1938[[#This Row],[Relevant]]=TRUE),TRUE,FALSE)</f>
        <v>0</v>
      </c>
    </row>
    <row r="471" spans="1:35" ht="43" x14ac:dyDescent="0.5">
      <c r="A471" s="2">
        <v>470</v>
      </c>
      <c r="B471" s="20" t="s">
        <v>3</v>
      </c>
      <c r="C471" s="20" t="s">
        <v>3674</v>
      </c>
      <c r="D471" s="20" t="s">
        <v>2297</v>
      </c>
      <c r="E471" s="20" t="s">
        <v>2296</v>
      </c>
      <c r="F471" s="2" t="s">
        <v>2299</v>
      </c>
      <c r="G471" s="20" t="s">
        <v>1236</v>
      </c>
      <c r="H471" s="36">
        <v>43435</v>
      </c>
      <c r="I471" s="20">
        <v>2018</v>
      </c>
      <c r="J471" s="20" t="s">
        <v>61</v>
      </c>
      <c r="K471" s="20" t="s">
        <v>3675</v>
      </c>
      <c r="L471" s="20" t="s">
        <v>2515</v>
      </c>
      <c r="M471" s="20" t="s">
        <v>2298</v>
      </c>
      <c r="N471" s="20" t="b">
        <v>1</v>
      </c>
      <c r="O471" s="2" t="b">
        <f>IF(Table1938[[#This Row],[Title]]="",TRUE,FALSE)</f>
        <v>0</v>
      </c>
      <c r="P471" s="2" t="b">
        <f>IF(Table1938[[#This Row],[Author]]="",TRUE,FALSE)</f>
        <v>0</v>
      </c>
      <c r="Q471" s="2" t="b">
        <f>IF(Table1938[[#This Row],[DOI]]&lt;&gt;"", FALSE,TRUE)</f>
        <v>0</v>
      </c>
      <c r="R471" s="2" t="b">
        <f>IF(Table1938[[#This Row],[Abstract]]="",TRUE,FALSE)</f>
        <v>0</v>
      </c>
      <c r="S471" s="2" t="b">
        <f>IF(OR(Table1938[[#This Row],[Document Type]]="book",Table1938[[#This Row],[Document Type]]="bookSection"),TRUE,FALSE)</f>
        <v>0</v>
      </c>
      <c r="T471" s="2" t="b">
        <f>NOT(IF(OR(Table1938[[#This Row],[Language]]&lt;&gt;"en",Table1938[[#This Row],[Language]]&lt;&gt;"EN",Table1938[[#This Row],[Language]]&lt;&gt;"spa",Table1938[[#This Row],[Language]]&lt;&gt;"SPA"),TRUE,FALSE))</f>
        <v>0</v>
      </c>
      <c r="U471" s="2" t="b">
        <f>IF(AND(Table1938[[#This Row],[EC-01]]=FALSE,Table1938[[#This Row],[EC-02]]=FALSE,Table1938[[#This Row],[EC-03]]=FALSE,Table1938[[#This Row],[EC-04]]=FALSE,Table1938[[#This Row],[EC-05]]=FALSE,Table1938[[#This Row],[EC-06]]=FALSE),TRUE,FALSE)</f>
        <v>1</v>
      </c>
      <c r="V471" s="2" t="b">
        <f>IF(Table1938[[#This Row],[Date]]&lt;&gt;"",AND(YEAR(Table1938[[#This Row],[Date]])&gt;=2010, YEAR(Table1938[[#This Row],[Date]])&lt;=2024),FALSE)</f>
        <v>1</v>
      </c>
      <c r="W471" s="2" t="b">
        <f>IF(Table1938[[#This Row],[Date]]&lt;&gt;"",AND(YEAR(Table1938[[#This Row],[Date]])&gt;=2010, YEAR(Table1938[[#This Row],[Date]])&lt;=2020),FALSE)</f>
        <v>1</v>
      </c>
      <c r="X471" s="2" t="b">
        <f>IF(AND(Table1938[[#This Row],[Accesible]]=TRUE,Table1938[[#This Row],[DOI]]&lt;&gt;""),TRUE,FALSE)</f>
        <v>1</v>
      </c>
      <c r="Y471" s="2" t="b">
        <f>OR(Table1938[[#This Row],[Document Type]]="journalArticle",Table1938[[#This Row],[Document Type]]="conferencePaper",Table1938[[#This Row],[Document Type]]="review")</f>
        <v>1</v>
      </c>
      <c r="Z471" s="2" t="b" cm="1">
        <f t="array" ref="Z471">SUMPRODUCT(--ISNUMBER(SEARCH({"dimensional analysis","dimensionless coefficients","Π","Pi","theorem","software","design","tools","development","architecture","similar"}, LOWER(Table1938[[#This Row],[Title]]))))&gt;0</f>
        <v>0</v>
      </c>
      <c r="AA471" s="2" t="b" cm="1">
        <f t="array" ref="AA471">SUMPRODUCT(--ISNUMBER(SEARCH({"dimensional analysis","dimensionless coefficients","Π","Pi","theorem","software","design","tools","development","architecture","similar"}, LOWER(Table1938[[#This Row],[Abstract]]))))&gt;0</f>
        <v>1</v>
      </c>
      <c r="AB471" s="2" t="b">
        <f>AND(OR(Table1938[[#This Row],[IC-01 @2024]:[IC-01 @2020]])=TRUE,Table1938[[#This Row],[IC-02]]=TRUE,Table1938[[#This Row],[IC-03]]=TRUE,Table1938[[#This Row],[IC-04]]=TRUE,Table1938[[#This Row],[IC-05]]=TRUE)</f>
        <v>0</v>
      </c>
      <c r="AC471" s="2" t="b">
        <f>AND(Table1938[[#This Row],[Pass-IC]]=TRUE,Table1938[[#This Row],[Pass-EC]]=TRUE)</f>
        <v>0</v>
      </c>
      <c r="AD471" s="2" t="b">
        <f>COUNTIF($D$25:D471, Table1938[[#This Row],[Title]]) = 1</f>
        <v>1</v>
      </c>
      <c r="AE471" s="2" t="b">
        <f>AND(Table1938[[#This Row],[IC + EC]:[Unique]])</f>
        <v>0</v>
      </c>
      <c r="AF471" s="2" t="b">
        <v>0</v>
      </c>
      <c r="AG471" s="2" t="b">
        <v>0</v>
      </c>
      <c r="AH471" s="2" t="b">
        <v>0</v>
      </c>
      <c r="AI471" s="2" t="b">
        <f>IF(AND(Table1938[[#This Row],[Double Check]]=TRUE,Table1938[[#This Row],[Inspected]]=TRUE,Table1938[[#This Row],[Relevant]]=TRUE),TRUE,FALSE)</f>
        <v>0</v>
      </c>
    </row>
    <row r="472" spans="1:35" ht="71.7" x14ac:dyDescent="0.5">
      <c r="A472" s="2">
        <v>471</v>
      </c>
      <c r="B472" s="20" t="s">
        <v>3</v>
      </c>
      <c r="C472" s="20" t="s">
        <v>3676</v>
      </c>
      <c r="D472" s="20" t="s">
        <v>1304</v>
      </c>
      <c r="E472" s="20" t="s">
        <v>1303</v>
      </c>
      <c r="F472" s="2" t="s">
        <v>1306</v>
      </c>
      <c r="G472" s="20" t="s">
        <v>924</v>
      </c>
      <c r="H472" s="36">
        <v>44743</v>
      </c>
      <c r="I472" s="20">
        <v>2022</v>
      </c>
      <c r="J472" s="20" t="s">
        <v>61</v>
      </c>
      <c r="K472" s="20" t="s">
        <v>3677</v>
      </c>
      <c r="L472" s="20" t="s">
        <v>2515</v>
      </c>
      <c r="M472" s="20" t="s">
        <v>1305</v>
      </c>
      <c r="N472" s="20" t="b">
        <v>1</v>
      </c>
      <c r="O472" s="2" t="b">
        <f>IF(Table1938[[#This Row],[Title]]="",TRUE,FALSE)</f>
        <v>0</v>
      </c>
      <c r="P472" s="2" t="b">
        <f>IF(Table1938[[#This Row],[Author]]="",TRUE,FALSE)</f>
        <v>0</v>
      </c>
      <c r="Q472" s="2" t="b">
        <f>IF(Table1938[[#This Row],[DOI]]&lt;&gt;"", FALSE,TRUE)</f>
        <v>0</v>
      </c>
      <c r="R472" s="2" t="b">
        <f>IF(Table1938[[#This Row],[Abstract]]="",TRUE,FALSE)</f>
        <v>0</v>
      </c>
      <c r="S472" s="2" t="b">
        <f>IF(OR(Table1938[[#This Row],[Document Type]]="book",Table1938[[#This Row],[Document Type]]="bookSection"),TRUE,FALSE)</f>
        <v>0</v>
      </c>
      <c r="T472" s="2" t="b">
        <f>NOT(IF(OR(Table1938[[#This Row],[Language]]&lt;&gt;"en",Table1938[[#This Row],[Language]]&lt;&gt;"EN",Table1938[[#This Row],[Language]]&lt;&gt;"spa",Table1938[[#This Row],[Language]]&lt;&gt;"SPA"),TRUE,FALSE))</f>
        <v>0</v>
      </c>
      <c r="U472" s="2" t="b">
        <f>IF(AND(Table1938[[#This Row],[EC-01]]=FALSE,Table1938[[#This Row],[EC-02]]=FALSE,Table1938[[#This Row],[EC-03]]=FALSE,Table1938[[#This Row],[EC-04]]=FALSE,Table1938[[#This Row],[EC-05]]=FALSE,Table1938[[#This Row],[EC-06]]=FALSE),TRUE,FALSE)</f>
        <v>1</v>
      </c>
      <c r="V472" s="2" t="b">
        <f>IF(Table1938[[#This Row],[Date]]&lt;&gt;"",AND(YEAR(Table1938[[#This Row],[Date]])&gt;=2010, YEAR(Table1938[[#This Row],[Date]])&lt;=2024),FALSE)</f>
        <v>1</v>
      </c>
      <c r="W472" s="2" t="b">
        <f>IF(Table1938[[#This Row],[Date]]&lt;&gt;"",AND(YEAR(Table1938[[#This Row],[Date]])&gt;=2010, YEAR(Table1938[[#This Row],[Date]])&lt;=2020),FALSE)</f>
        <v>0</v>
      </c>
      <c r="X472" s="2" t="b">
        <f>IF(AND(Table1938[[#This Row],[Accesible]]=TRUE,Table1938[[#This Row],[DOI]]&lt;&gt;""),TRUE,FALSE)</f>
        <v>1</v>
      </c>
      <c r="Y472" s="2" t="b">
        <f>OR(Table1938[[#This Row],[Document Type]]="journalArticle",Table1938[[#This Row],[Document Type]]="conferencePaper",Table1938[[#This Row],[Document Type]]="review")</f>
        <v>1</v>
      </c>
      <c r="Z472" s="2" t="b" cm="1">
        <f t="array" ref="Z472">SUMPRODUCT(--ISNUMBER(SEARCH({"dimensional analysis","dimensionless coefficients","Π","Pi","theorem","software","design","tools","development","architecture","similar"}, LOWER(Table1938[[#This Row],[Title]]))))&gt;0</f>
        <v>1</v>
      </c>
      <c r="AA472" s="2" t="b" cm="1">
        <f t="array" ref="AA472">SUMPRODUCT(--ISNUMBER(SEARCH({"dimensional analysis","dimensionless coefficients","Π","Pi","theorem","software","design","tools","development","architecture","similar"}, LOWER(Table1938[[#This Row],[Abstract]]))))&gt;0</f>
        <v>1</v>
      </c>
      <c r="AB472" s="2" t="b">
        <f>AND(OR(Table1938[[#This Row],[IC-01 @2024]:[IC-01 @2020]])=TRUE,Table1938[[#This Row],[IC-02]]=TRUE,Table1938[[#This Row],[IC-03]]=TRUE,Table1938[[#This Row],[IC-04]]=TRUE,Table1938[[#This Row],[IC-05]]=TRUE)</f>
        <v>1</v>
      </c>
      <c r="AC472" s="2" t="b">
        <f>AND(Table1938[[#This Row],[Pass-IC]]=TRUE,Table1938[[#This Row],[Pass-EC]]=TRUE)</f>
        <v>1</v>
      </c>
      <c r="AD472" s="2" t="b">
        <f>COUNTIF($D$25:D472, Table1938[[#This Row],[Title]]) = 1</f>
        <v>1</v>
      </c>
      <c r="AE472" s="2" t="b">
        <f>AND(Table1938[[#This Row],[IC + EC]:[Unique]])</f>
        <v>1</v>
      </c>
      <c r="AF472" s="2" t="b">
        <v>1</v>
      </c>
      <c r="AG472" s="2" t="b">
        <v>0</v>
      </c>
      <c r="AH472" s="2" t="b">
        <v>0</v>
      </c>
      <c r="AI472" s="2" t="b">
        <f>IF(AND(Table1938[[#This Row],[Double Check]]=TRUE,Table1938[[#This Row],[Inspected]]=TRUE,Table1938[[#This Row],[Relevant]]=TRUE),TRUE,FALSE)</f>
        <v>0</v>
      </c>
    </row>
    <row r="473" spans="1:35" ht="43" x14ac:dyDescent="0.5">
      <c r="A473" s="2">
        <v>472</v>
      </c>
      <c r="B473" s="20" t="s">
        <v>3</v>
      </c>
      <c r="C473" s="20" t="s">
        <v>3678</v>
      </c>
      <c r="D473" s="20" t="s">
        <v>2000</v>
      </c>
      <c r="E473" s="20" t="s">
        <v>1999</v>
      </c>
      <c r="F473" s="2" t="s">
        <v>2002</v>
      </c>
      <c r="G473" s="20" t="s">
        <v>996</v>
      </c>
      <c r="H473" s="36">
        <v>45200</v>
      </c>
      <c r="I473" s="20">
        <v>2023</v>
      </c>
      <c r="J473" s="20" t="s">
        <v>61</v>
      </c>
      <c r="K473" s="20" t="s">
        <v>3679</v>
      </c>
      <c r="L473" s="20" t="s">
        <v>2515</v>
      </c>
      <c r="M473" s="20" t="s">
        <v>2001</v>
      </c>
      <c r="N473" s="20" t="b">
        <v>1</v>
      </c>
      <c r="O473" s="2" t="b">
        <f>IF(Table1938[[#This Row],[Title]]="",TRUE,FALSE)</f>
        <v>0</v>
      </c>
      <c r="P473" s="2" t="b">
        <f>IF(Table1938[[#This Row],[Author]]="",TRUE,FALSE)</f>
        <v>0</v>
      </c>
      <c r="Q473" s="2" t="b">
        <f>IF(Table1938[[#This Row],[DOI]]&lt;&gt;"", FALSE,TRUE)</f>
        <v>0</v>
      </c>
      <c r="R473" s="2" t="b">
        <f>IF(Table1938[[#This Row],[Abstract]]="",TRUE,FALSE)</f>
        <v>0</v>
      </c>
      <c r="S473" s="2" t="b">
        <f>IF(OR(Table1938[[#This Row],[Document Type]]="book",Table1938[[#This Row],[Document Type]]="bookSection"),TRUE,FALSE)</f>
        <v>0</v>
      </c>
      <c r="T473" s="2" t="b">
        <f>NOT(IF(OR(Table1938[[#This Row],[Language]]&lt;&gt;"en",Table1938[[#This Row],[Language]]&lt;&gt;"EN",Table1938[[#This Row],[Language]]&lt;&gt;"spa",Table1938[[#This Row],[Language]]&lt;&gt;"SPA"),TRUE,FALSE))</f>
        <v>0</v>
      </c>
      <c r="U473" s="2" t="b">
        <f>IF(AND(Table1938[[#This Row],[EC-01]]=FALSE,Table1938[[#This Row],[EC-02]]=FALSE,Table1938[[#This Row],[EC-03]]=FALSE,Table1938[[#This Row],[EC-04]]=FALSE,Table1938[[#This Row],[EC-05]]=FALSE,Table1938[[#This Row],[EC-06]]=FALSE),TRUE,FALSE)</f>
        <v>1</v>
      </c>
      <c r="V473" s="2" t="b">
        <f>IF(Table1938[[#This Row],[Date]]&lt;&gt;"",AND(YEAR(Table1938[[#This Row],[Date]])&gt;=2010, YEAR(Table1938[[#This Row],[Date]])&lt;=2024),FALSE)</f>
        <v>1</v>
      </c>
      <c r="W473" s="2" t="b">
        <f>IF(Table1938[[#This Row],[Date]]&lt;&gt;"",AND(YEAR(Table1938[[#This Row],[Date]])&gt;=2010, YEAR(Table1938[[#This Row],[Date]])&lt;=2020),FALSE)</f>
        <v>0</v>
      </c>
      <c r="X473" s="2" t="b">
        <f>IF(AND(Table1938[[#This Row],[Accesible]]=TRUE,Table1938[[#This Row],[DOI]]&lt;&gt;""),TRUE,FALSE)</f>
        <v>1</v>
      </c>
      <c r="Y473" s="2" t="b">
        <f>OR(Table1938[[#This Row],[Document Type]]="journalArticle",Table1938[[#This Row],[Document Type]]="conferencePaper",Table1938[[#This Row],[Document Type]]="review")</f>
        <v>1</v>
      </c>
      <c r="Z473" s="2" t="b" cm="1">
        <f t="array" ref="Z473">SUMPRODUCT(--ISNUMBER(SEARCH({"dimensional analysis","dimensionless coefficients","Π","Pi","theorem","software","design","tools","development","architecture","similar"}, LOWER(Table1938[[#This Row],[Title]]))))&gt;0</f>
        <v>0</v>
      </c>
      <c r="AA473" s="2" t="b" cm="1">
        <f t="array" ref="AA473">SUMPRODUCT(--ISNUMBER(SEARCH({"dimensional analysis","dimensionless coefficients","Π","Pi","theorem","software","design","tools","development","architecture","similar"}, LOWER(Table1938[[#This Row],[Abstract]]))))&gt;0</f>
        <v>0</v>
      </c>
      <c r="AB473" s="2" t="b">
        <f>AND(OR(Table1938[[#This Row],[IC-01 @2024]:[IC-01 @2020]])=TRUE,Table1938[[#This Row],[IC-02]]=TRUE,Table1938[[#This Row],[IC-03]]=TRUE,Table1938[[#This Row],[IC-04]]=TRUE,Table1938[[#This Row],[IC-05]]=TRUE)</f>
        <v>0</v>
      </c>
      <c r="AC473" s="2" t="b">
        <f>AND(Table1938[[#This Row],[Pass-IC]]=TRUE,Table1938[[#This Row],[Pass-EC]]=TRUE)</f>
        <v>0</v>
      </c>
      <c r="AD473" s="2" t="b">
        <f>COUNTIF($D$25:D473, Table1938[[#This Row],[Title]]) = 1</f>
        <v>1</v>
      </c>
      <c r="AE473" s="2" t="b">
        <f>AND(Table1938[[#This Row],[IC + EC]:[Unique]])</f>
        <v>0</v>
      </c>
      <c r="AF473" s="2" t="b">
        <v>0</v>
      </c>
      <c r="AG473" s="2" t="b">
        <v>0</v>
      </c>
      <c r="AH473" s="2" t="b">
        <v>0</v>
      </c>
      <c r="AI473" s="2" t="b">
        <f>IF(AND(Table1938[[#This Row],[Double Check]]=TRUE,Table1938[[#This Row],[Inspected]]=TRUE,Table1938[[#This Row],[Relevant]]=TRUE),TRUE,FALSE)</f>
        <v>0</v>
      </c>
    </row>
    <row r="474" spans="1:35" ht="43" x14ac:dyDescent="0.5">
      <c r="A474" s="2">
        <v>473</v>
      </c>
      <c r="B474" s="20" t="s">
        <v>3</v>
      </c>
      <c r="C474" s="20" t="s">
        <v>3680</v>
      </c>
      <c r="D474" s="20" t="s">
        <v>1179</v>
      </c>
      <c r="E474" s="20" t="s">
        <v>1178</v>
      </c>
      <c r="F474" s="2" t="s">
        <v>1181</v>
      </c>
      <c r="G474" s="20" t="s">
        <v>958</v>
      </c>
      <c r="H474" s="36">
        <v>45337</v>
      </c>
      <c r="I474" s="20">
        <v>2024</v>
      </c>
      <c r="J474" s="20" t="s">
        <v>61</v>
      </c>
      <c r="K474" s="20" t="s">
        <v>3681</v>
      </c>
      <c r="L474" s="20" t="s">
        <v>2515</v>
      </c>
      <c r="M474" s="20" t="s">
        <v>1180</v>
      </c>
      <c r="N474" s="20" t="b">
        <v>1</v>
      </c>
      <c r="O474" s="2" t="b">
        <f>IF(Table1938[[#This Row],[Title]]="",TRUE,FALSE)</f>
        <v>0</v>
      </c>
      <c r="P474" s="2" t="b">
        <f>IF(Table1938[[#This Row],[Author]]="",TRUE,FALSE)</f>
        <v>0</v>
      </c>
      <c r="Q474" s="2" t="b">
        <f>IF(Table1938[[#This Row],[DOI]]&lt;&gt;"", FALSE,TRUE)</f>
        <v>0</v>
      </c>
      <c r="R474" s="2" t="b">
        <f>IF(Table1938[[#This Row],[Abstract]]="",TRUE,FALSE)</f>
        <v>0</v>
      </c>
      <c r="S474" s="2" t="b">
        <f>IF(OR(Table1938[[#This Row],[Document Type]]="book",Table1938[[#This Row],[Document Type]]="bookSection"),TRUE,FALSE)</f>
        <v>0</v>
      </c>
      <c r="T474" s="2" t="b">
        <f>NOT(IF(OR(Table1938[[#This Row],[Language]]&lt;&gt;"en",Table1938[[#This Row],[Language]]&lt;&gt;"EN",Table1938[[#This Row],[Language]]&lt;&gt;"spa",Table1938[[#This Row],[Language]]&lt;&gt;"SPA"),TRUE,FALSE))</f>
        <v>0</v>
      </c>
      <c r="U474" s="2" t="b">
        <f>IF(AND(Table1938[[#This Row],[EC-01]]=FALSE,Table1938[[#This Row],[EC-02]]=FALSE,Table1938[[#This Row],[EC-03]]=FALSE,Table1938[[#This Row],[EC-04]]=FALSE,Table1938[[#This Row],[EC-05]]=FALSE,Table1938[[#This Row],[EC-06]]=FALSE),TRUE,FALSE)</f>
        <v>1</v>
      </c>
      <c r="V474" s="2" t="b">
        <f>IF(Table1938[[#This Row],[Date]]&lt;&gt;"",AND(YEAR(Table1938[[#This Row],[Date]])&gt;=2010, YEAR(Table1938[[#This Row],[Date]])&lt;=2024),FALSE)</f>
        <v>1</v>
      </c>
      <c r="W474" s="2" t="b">
        <f>IF(Table1938[[#This Row],[Date]]&lt;&gt;"",AND(YEAR(Table1938[[#This Row],[Date]])&gt;=2010, YEAR(Table1938[[#This Row],[Date]])&lt;=2020),FALSE)</f>
        <v>0</v>
      </c>
      <c r="X474" s="2" t="b">
        <f>IF(AND(Table1938[[#This Row],[Accesible]]=TRUE,Table1938[[#This Row],[DOI]]&lt;&gt;""),TRUE,FALSE)</f>
        <v>1</v>
      </c>
      <c r="Y474" s="2" t="b">
        <f>OR(Table1938[[#This Row],[Document Type]]="journalArticle",Table1938[[#This Row],[Document Type]]="conferencePaper",Table1938[[#This Row],[Document Type]]="review")</f>
        <v>1</v>
      </c>
      <c r="Z474" s="2" t="b" cm="1">
        <f t="array" ref="Z474">SUMPRODUCT(--ISNUMBER(SEARCH({"dimensional analysis","dimensionless coefficients","Π","Pi","theorem","software","design","tools","development","architecture","similar"}, LOWER(Table1938[[#This Row],[Title]]))))&gt;0</f>
        <v>0</v>
      </c>
      <c r="AA474" s="2" t="b" cm="1">
        <f t="array" ref="AA474">SUMPRODUCT(--ISNUMBER(SEARCH({"dimensional analysis","dimensionless coefficients","Π","Pi","theorem","software","design","tools","development","architecture","similar"}, LOWER(Table1938[[#This Row],[Abstract]]))))&gt;0</f>
        <v>1</v>
      </c>
      <c r="AB474" s="2" t="b">
        <f>AND(OR(Table1938[[#This Row],[IC-01 @2024]:[IC-01 @2020]])=TRUE,Table1938[[#This Row],[IC-02]]=TRUE,Table1938[[#This Row],[IC-03]]=TRUE,Table1938[[#This Row],[IC-04]]=TRUE,Table1938[[#This Row],[IC-05]]=TRUE)</f>
        <v>0</v>
      </c>
      <c r="AC474" s="2" t="b">
        <f>AND(Table1938[[#This Row],[Pass-IC]]=TRUE,Table1938[[#This Row],[Pass-EC]]=TRUE)</f>
        <v>0</v>
      </c>
      <c r="AD474" s="2" t="b">
        <f>COUNTIF($D$25:D474, Table1938[[#This Row],[Title]]) = 1</f>
        <v>1</v>
      </c>
      <c r="AE474" s="2" t="b">
        <f>AND(Table1938[[#This Row],[IC + EC]:[Unique]])</f>
        <v>0</v>
      </c>
      <c r="AF474" s="2" t="b">
        <v>0</v>
      </c>
      <c r="AG474" s="2" t="b">
        <v>0</v>
      </c>
      <c r="AH474" s="2" t="b">
        <v>0</v>
      </c>
      <c r="AI474" s="2" t="b">
        <f>IF(AND(Table1938[[#This Row],[Double Check]]=TRUE,Table1938[[#This Row],[Inspected]]=TRUE,Table1938[[#This Row],[Relevant]]=TRUE),TRUE,FALSE)</f>
        <v>0</v>
      </c>
    </row>
    <row r="475" spans="1:35" ht="28.7" x14ac:dyDescent="0.5">
      <c r="A475" s="2">
        <v>474</v>
      </c>
      <c r="B475" s="20" t="s">
        <v>3</v>
      </c>
      <c r="C475" s="20" t="s">
        <v>3682</v>
      </c>
      <c r="D475" s="20" t="s">
        <v>1551</v>
      </c>
      <c r="E475" s="20" t="s">
        <v>1550</v>
      </c>
      <c r="F475" s="2" t="s">
        <v>1553</v>
      </c>
      <c r="G475" s="20" t="s">
        <v>1171</v>
      </c>
      <c r="H475" s="36">
        <v>40787</v>
      </c>
      <c r="I475" s="20">
        <v>2011</v>
      </c>
      <c r="J475" s="20" t="s">
        <v>61</v>
      </c>
      <c r="K475" s="20" t="s">
        <v>3683</v>
      </c>
      <c r="L475" s="20" t="s">
        <v>2515</v>
      </c>
      <c r="M475" s="20" t="s">
        <v>1552</v>
      </c>
      <c r="N475" s="20" t="b">
        <v>1</v>
      </c>
      <c r="O475" s="2" t="b">
        <f>IF(Table1938[[#This Row],[Title]]="",TRUE,FALSE)</f>
        <v>0</v>
      </c>
      <c r="P475" s="2" t="b">
        <f>IF(Table1938[[#This Row],[Author]]="",TRUE,FALSE)</f>
        <v>0</v>
      </c>
      <c r="Q475" s="2" t="b">
        <f>IF(Table1938[[#This Row],[DOI]]&lt;&gt;"", FALSE,TRUE)</f>
        <v>0</v>
      </c>
      <c r="R475" s="2" t="b">
        <f>IF(Table1938[[#This Row],[Abstract]]="",TRUE,FALSE)</f>
        <v>0</v>
      </c>
      <c r="S475" s="2" t="b">
        <f>IF(OR(Table1938[[#This Row],[Document Type]]="book",Table1938[[#This Row],[Document Type]]="bookSection"),TRUE,FALSE)</f>
        <v>0</v>
      </c>
      <c r="T475" s="2" t="b">
        <f>NOT(IF(OR(Table1938[[#This Row],[Language]]&lt;&gt;"en",Table1938[[#This Row],[Language]]&lt;&gt;"EN",Table1938[[#This Row],[Language]]&lt;&gt;"spa",Table1938[[#This Row],[Language]]&lt;&gt;"SPA"),TRUE,FALSE))</f>
        <v>0</v>
      </c>
      <c r="U475" s="2" t="b">
        <f>IF(AND(Table1938[[#This Row],[EC-01]]=FALSE,Table1938[[#This Row],[EC-02]]=FALSE,Table1938[[#This Row],[EC-03]]=FALSE,Table1938[[#This Row],[EC-04]]=FALSE,Table1938[[#This Row],[EC-05]]=FALSE,Table1938[[#This Row],[EC-06]]=FALSE),TRUE,FALSE)</f>
        <v>1</v>
      </c>
      <c r="V475" s="2" t="b">
        <f>IF(Table1938[[#This Row],[Date]]&lt;&gt;"",AND(YEAR(Table1938[[#This Row],[Date]])&gt;=2010, YEAR(Table1938[[#This Row],[Date]])&lt;=2024),FALSE)</f>
        <v>1</v>
      </c>
      <c r="W475" s="2" t="b">
        <f>IF(Table1938[[#This Row],[Date]]&lt;&gt;"",AND(YEAR(Table1938[[#This Row],[Date]])&gt;=2010, YEAR(Table1938[[#This Row],[Date]])&lt;=2020),FALSE)</f>
        <v>1</v>
      </c>
      <c r="X475" s="2" t="b">
        <f>IF(AND(Table1938[[#This Row],[Accesible]]=TRUE,Table1938[[#This Row],[DOI]]&lt;&gt;""),TRUE,FALSE)</f>
        <v>1</v>
      </c>
      <c r="Y475" s="2" t="b">
        <f>OR(Table1938[[#This Row],[Document Type]]="journalArticle",Table1938[[#This Row],[Document Type]]="conferencePaper",Table1938[[#This Row],[Document Type]]="review")</f>
        <v>1</v>
      </c>
      <c r="Z475" s="2" t="b" cm="1">
        <f t="array" ref="Z475">SUMPRODUCT(--ISNUMBER(SEARCH({"dimensional analysis","dimensionless coefficients","Π","Pi","theorem","software","design","tools","development","architecture","similar"}, LOWER(Table1938[[#This Row],[Title]]))))&gt;0</f>
        <v>0</v>
      </c>
      <c r="AA475" s="2" t="b" cm="1">
        <f t="array" ref="AA475">SUMPRODUCT(--ISNUMBER(SEARCH({"dimensional analysis","dimensionless coefficients","Π","Pi","theorem","software","design","tools","development","architecture","similar"}, LOWER(Table1938[[#This Row],[Abstract]]))))&gt;0</f>
        <v>1</v>
      </c>
      <c r="AB475" s="2" t="b">
        <f>AND(OR(Table1938[[#This Row],[IC-01 @2024]:[IC-01 @2020]])=TRUE,Table1938[[#This Row],[IC-02]]=TRUE,Table1938[[#This Row],[IC-03]]=TRUE,Table1938[[#This Row],[IC-04]]=TRUE,Table1938[[#This Row],[IC-05]]=TRUE)</f>
        <v>0</v>
      </c>
      <c r="AC475" s="2" t="b">
        <f>AND(Table1938[[#This Row],[Pass-IC]]=TRUE,Table1938[[#This Row],[Pass-EC]]=TRUE)</f>
        <v>0</v>
      </c>
      <c r="AD475" s="2" t="b">
        <f>COUNTIF($D$25:D475, Table1938[[#This Row],[Title]]) = 1</f>
        <v>1</v>
      </c>
      <c r="AE475" s="2" t="b">
        <f>AND(Table1938[[#This Row],[IC + EC]:[Unique]])</f>
        <v>0</v>
      </c>
      <c r="AF475" s="2" t="b">
        <v>0</v>
      </c>
      <c r="AG475" s="2" t="b">
        <v>0</v>
      </c>
      <c r="AH475" s="2" t="b">
        <v>0</v>
      </c>
      <c r="AI475" s="2" t="b">
        <f>IF(AND(Table1938[[#This Row],[Double Check]]=TRUE,Table1938[[#This Row],[Inspected]]=TRUE,Table1938[[#This Row],[Relevant]]=TRUE),TRUE,FALSE)</f>
        <v>0</v>
      </c>
    </row>
    <row r="476" spans="1:35" ht="57.35" x14ac:dyDescent="0.5">
      <c r="A476" s="2">
        <v>475</v>
      </c>
      <c r="B476" s="20" t="s">
        <v>3</v>
      </c>
      <c r="C476" s="20" t="s">
        <v>3684</v>
      </c>
      <c r="D476" s="20" t="s">
        <v>2097</v>
      </c>
      <c r="E476" s="20" t="s">
        <v>2096</v>
      </c>
      <c r="F476" s="2" t="s">
        <v>2099</v>
      </c>
      <c r="G476" s="20" t="s">
        <v>1016</v>
      </c>
      <c r="H476" s="36">
        <v>44075</v>
      </c>
      <c r="I476" s="20">
        <v>2020</v>
      </c>
      <c r="J476" s="20" t="s">
        <v>61</v>
      </c>
      <c r="K476" s="20" t="s">
        <v>3685</v>
      </c>
      <c r="L476" s="20" t="s">
        <v>2515</v>
      </c>
      <c r="M476" s="20" t="s">
        <v>2098</v>
      </c>
      <c r="N476" s="20" t="b">
        <v>1</v>
      </c>
      <c r="O476" s="2" t="b">
        <f>IF(Table1938[[#This Row],[Title]]="",TRUE,FALSE)</f>
        <v>0</v>
      </c>
      <c r="P476" s="2" t="b">
        <f>IF(Table1938[[#This Row],[Author]]="",TRUE,FALSE)</f>
        <v>0</v>
      </c>
      <c r="Q476" s="2" t="b">
        <f>IF(Table1938[[#This Row],[DOI]]&lt;&gt;"", FALSE,TRUE)</f>
        <v>0</v>
      </c>
      <c r="R476" s="2" t="b">
        <f>IF(Table1938[[#This Row],[Abstract]]="",TRUE,FALSE)</f>
        <v>0</v>
      </c>
      <c r="S476" s="2" t="b">
        <f>IF(OR(Table1938[[#This Row],[Document Type]]="book",Table1938[[#This Row],[Document Type]]="bookSection"),TRUE,FALSE)</f>
        <v>0</v>
      </c>
      <c r="T476" s="2" t="b">
        <f>NOT(IF(OR(Table1938[[#This Row],[Language]]&lt;&gt;"en",Table1938[[#This Row],[Language]]&lt;&gt;"EN",Table1938[[#This Row],[Language]]&lt;&gt;"spa",Table1938[[#This Row],[Language]]&lt;&gt;"SPA"),TRUE,FALSE))</f>
        <v>0</v>
      </c>
      <c r="U476" s="2" t="b">
        <f>IF(AND(Table1938[[#This Row],[EC-01]]=FALSE,Table1938[[#This Row],[EC-02]]=FALSE,Table1938[[#This Row],[EC-03]]=FALSE,Table1938[[#This Row],[EC-04]]=FALSE,Table1938[[#This Row],[EC-05]]=FALSE,Table1938[[#This Row],[EC-06]]=FALSE),TRUE,FALSE)</f>
        <v>1</v>
      </c>
      <c r="V476" s="2" t="b">
        <f>IF(Table1938[[#This Row],[Date]]&lt;&gt;"",AND(YEAR(Table1938[[#This Row],[Date]])&gt;=2010, YEAR(Table1938[[#This Row],[Date]])&lt;=2024),FALSE)</f>
        <v>1</v>
      </c>
      <c r="W476" s="2" t="b">
        <f>IF(Table1938[[#This Row],[Date]]&lt;&gt;"",AND(YEAR(Table1938[[#This Row],[Date]])&gt;=2010, YEAR(Table1938[[#This Row],[Date]])&lt;=2020),FALSE)</f>
        <v>1</v>
      </c>
      <c r="X476" s="2" t="b">
        <f>IF(AND(Table1938[[#This Row],[Accesible]]=TRUE,Table1938[[#This Row],[DOI]]&lt;&gt;""),TRUE,FALSE)</f>
        <v>1</v>
      </c>
      <c r="Y476" s="2" t="b">
        <f>OR(Table1938[[#This Row],[Document Type]]="journalArticle",Table1938[[#This Row],[Document Type]]="conferencePaper",Table1938[[#This Row],[Document Type]]="review")</f>
        <v>1</v>
      </c>
      <c r="Z476" s="2" t="b" cm="1">
        <f t="array" ref="Z476">SUMPRODUCT(--ISNUMBER(SEARCH({"dimensional analysis","dimensionless coefficients","Π","Pi","theorem","software","design","tools","development","architecture","similar"}, LOWER(Table1938[[#This Row],[Title]]))))&gt;0</f>
        <v>0</v>
      </c>
      <c r="AA476" s="2" t="b" cm="1">
        <f t="array" ref="AA476">SUMPRODUCT(--ISNUMBER(SEARCH({"dimensional analysis","dimensionless coefficients","Π","Pi","theorem","software","design","tools","development","architecture","similar"}, LOWER(Table1938[[#This Row],[Abstract]]))))&gt;0</f>
        <v>0</v>
      </c>
      <c r="AB476" s="2" t="b">
        <f>AND(OR(Table1938[[#This Row],[IC-01 @2024]:[IC-01 @2020]])=TRUE,Table1938[[#This Row],[IC-02]]=TRUE,Table1938[[#This Row],[IC-03]]=TRUE,Table1938[[#This Row],[IC-04]]=TRUE,Table1938[[#This Row],[IC-05]]=TRUE)</f>
        <v>0</v>
      </c>
      <c r="AC476" s="2" t="b">
        <f>AND(Table1938[[#This Row],[Pass-IC]]=TRUE,Table1938[[#This Row],[Pass-EC]]=TRUE)</f>
        <v>0</v>
      </c>
      <c r="AD476" s="2" t="b">
        <f>COUNTIF($D$25:D476, Table1938[[#This Row],[Title]]) = 1</f>
        <v>1</v>
      </c>
      <c r="AE476" s="2" t="b">
        <f>AND(Table1938[[#This Row],[IC + EC]:[Unique]])</f>
        <v>0</v>
      </c>
      <c r="AF476" s="2" t="b">
        <v>0</v>
      </c>
      <c r="AG476" s="2" t="b">
        <v>0</v>
      </c>
      <c r="AH476" s="2" t="b">
        <v>0</v>
      </c>
      <c r="AI476" s="2" t="b">
        <f>IF(AND(Table1938[[#This Row],[Double Check]]=TRUE,Table1938[[#This Row],[Inspected]]=TRUE,Table1938[[#This Row],[Relevant]]=TRUE),TRUE,FALSE)</f>
        <v>0</v>
      </c>
    </row>
    <row r="477" spans="1:35" ht="43" x14ac:dyDescent="0.5">
      <c r="A477" s="2">
        <v>476</v>
      </c>
      <c r="B477" s="20" t="s">
        <v>3</v>
      </c>
      <c r="C477" s="20" t="s">
        <v>3686</v>
      </c>
      <c r="D477" s="20" t="s">
        <v>1253</v>
      </c>
      <c r="E477" s="20" t="s">
        <v>1252</v>
      </c>
      <c r="F477" s="2" t="s">
        <v>1255</v>
      </c>
      <c r="G477" s="20" t="s">
        <v>1122</v>
      </c>
      <c r="H477" s="36">
        <v>45627</v>
      </c>
      <c r="I477" s="20">
        <v>2024</v>
      </c>
      <c r="J477" s="20" t="s">
        <v>61</v>
      </c>
      <c r="K477" s="20" t="s">
        <v>3687</v>
      </c>
      <c r="L477" s="20" t="s">
        <v>2515</v>
      </c>
      <c r="M477" s="20" t="s">
        <v>1254</v>
      </c>
      <c r="N477" s="20" t="b">
        <v>1</v>
      </c>
      <c r="O477" s="2" t="b">
        <f>IF(Table1938[[#This Row],[Title]]="",TRUE,FALSE)</f>
        <v>0</v>
      </c>
      <c r="P477" s="2" t="b">
        <f>IF(Table1938[[#This Row],[Author]]="",TRUE,FALSE)</f>
        <v>0</v>
      </c>
      <c r="Q477" s="2" t="b">
        <f>IF(Table1938[[#This Row],[DOI]]&lt;&gt;"", FALSE,TRUE)</f>
        <v>0</v>
      </c>
      <c r="R477" s="2" t="b">
        <f>IF(Table1938[[#This Row],[Abstract]]="",TRUE,FALSE)</f>
        <v>0</v>
      </c>
      <c r="S477" s="2" t="b">
        <f>IF(OR(Table1938[[#This Row],[Document Type]]="book",Table1938[[#This Row],[Document Type]]="bookSection"),TRUE,FALSE)</f>
        <v>0</v>
      </c>
      <c r="T477" s="2" t="b">
        <f>NOT(IF(OR(Table1938[[#This Row],[Language]]&lt;&gt;"en",Table1938[[#This Row],[Language]]&lt;&gt;"EN",Table1938[[#This Row],[Language]]&lt;&gt;"spa",Table1938[[#This Row],[Language]]&lt;&gt;"SPA"),TRUE,FALSE))</f>
        <v>0</v>
      </c>
      <c r="U477" s="2" t="b">
        <f>IF(AND(Table1938[[#This Row],[EC-01]]=FALSE,Table1938[[#This Row],[EC-02]]=FALSE,Table1938[[#This Row],[EC-03]]=FALSE,Table1938[[#This Row],[EC-04]]=FALSE,Table1938[[#This Row],[EC-05]]=FALSE,Table1938[[#This Row],[EC-06]]=FALSE),TRUE,FALSE)</f>
        <v>1</v>
      </c>
      <c r="V477" s="2" t="b">
        <f>IF(Table1938[[#This Row],[Date]]&lt;&gt;"",AND(YEAR(Table1938[[#This Row],[Date]])&gt;=2010, YEAR(Table1938[[#This Row],[Date]])&lt;=2024),FALSE)</f>
        <v>1</v>
      </c>
      <c r="W477" s="2" t="b">
        <f>IF(Table1938[[#This Row],[Date]]&lt;&gt;"",AND(YEAR(Table1938[[#This Row],[Date]])&gt;=2010, YEAR(Table1938[[#This Row],[Date]])&lt;=2020),FALSE)</f>
        <v>0</v>
      </c>
      <c r="X477" s="2" t="b">
        <f>IF(AND(Table1938[[#This Row],[Accesible]]=TRUE,Table1938[[#This Row],[DOI]]&lt;&gt;""),TRUE,FALSE)</f>
        <v>1</v>
      </c>
      <c r="Y477" s="2" t="b">
        <f>OR(Table1938[[#This Row],[Document Type]]="journalArticle",Table1938[[#This Row],[Document Type]]="conferencePaper",Table1938[[#This Row],[Document Type]]="review")</f>
        <v>1</v>
      </c>
      <c r="Z477" s="2" t="b" cm="1">
        <f t="array" ref="Z477">SUMPRODUCT(--ISNUMBER(SEARCH({"dimensional analysis","dimensionless coefficients","Π","Pi","theorem","software","design","tools","development","architecture","similar"}, LOWER(Table1938[[#This Row],[Title]]))))&gt;0</f>
        <v>1</v>
      </c>
      <c r="AA477" s="2" t="b" cm="1">
        <f t="array" ref="AA477">SUMPRODUCT(--ISNUMBER(SEARCH({"dimensional analysis","dimensionless coefficients","Π","Pi","theorem","software","design","tools","development","architecture","similar"}, LOWER(Table1938[[#This Row],[Abstract]]))))&gt;0</f>
        <v>1</v>
      </c>
      <c r="AB477" s="2" t="b">
        <f>AND(OR(Table1938[[#This Row],[IC-01 @2024]:[IC-01 @2020]])=TRUE,Table1938[[#This Row],[IC-02]]=TRUE,Table1938[[#This Row],[IC-03]]=TRUE,Table1938[[#This Row],[IC-04]]=TRUE,Table1938[[#This Row],[IC-05]]=TRUE)</f>
        <v>1</v>
      </c>
      <c r="AC477" s="2" t="b">
        <f>AND(Table1938[[#This Row],[Pass-IC]]=TRUE,Table1938[[#This Row],[Pass-EC]]=TRUE)</f>
        <v>1</v>
      </c>
      <c r="AD477" s="2" t="b">
        <f>COUNTIF($D$25:D477, Table1938[[#This Row],[Title]]) = 1</f>
        <v>1</v>
      </c>
      <c r="AE477" s="2" t="b">
        <f>AND(Table1938[[#This Row],[IC + EC]:[Unique]])</f>
        <v>1</v>
      </c>
      <c r="AF477" s="2" t="b">
        <v>1</v>
      </c>
      <c r="AG477" s="2" t="b">
        <v>0</v>
      </c>
      <c r="AH477" s="2" t="b">
        <v>0</v>
      </c>
      <c r="AI477" s="2" t="b">
        <f>IF(AND(Table1938[[#This Row],[Double Check]]=TRUE,Table1938[[#This Row],[Inspected]]=TRUE,Table1938[[#This Row],[Relevant]]=TRUE),TRUE,FALSE)</f>
        <v>0</v>
      </c>
    </row>
    <row r="478" spans="1:35" ht="43" x14ac:dyDescent="0.5">
      <c r="A478" s="2">
        <v>477</v>
      </c>
      <c r="B478" s="20" t="s">
        <v>3</v>
      </c>
      <c r="C478" s="20" t="s">
        <v>3688</v>
      </c>
      <c r="D478" s="20" t="s">
        <v>1207</v>
      </c>
      <c r="E478" s="20" t="s">
        <v>1206</v>
      </c>
      <c r="F478" s="2" t="s">
        <v>1209</v>
      </c>
      <c r="G478" s="20" t="s">
        <v>929</v>
      </c>
      <c r="H478" s="36">
        <v>44515</v>
      </c>
      <c r="I478" s="20">
        <v>2021</v>
      </c>
      <c r="J478" s="20" t="s">
        <v>61</v>
      </c>
      <c r="K478" s="20" t="s">
        <v>3689</v>
      </c>
      <c r="L478" s="20" t="s">
        <v>2515</v>
      </c>
      <c r="M478" s="20" t="s">
        <v>1208</v>
      </c>
      <c r="N478" s="20" t="b">
        <v>1</v>
      </c>
      <c r="O478" s="2" t="b">
        <f>IF(Table1938[[#This Row],[Title]]="",TRUE,FALSE)</f>
        <v>0</v>
      </c>
      <c r="P478" s="2" t="b">
        <f>IF(Table1938[[#This Row],[Author]]="",TRUE,FALSE)</f>
        <v>0</v>
      </c>
      <c r="Q478" s="2" t="b">
        <f>IF(Table1938[[#This Row],[DOI]]&lt;&gt;"", FALSE,TRUE)</f>
        <v>0</v>
      </c>
      <c r="R478" s="2" t="b">
        <f>IF(Table1938[[#This Row],[Abstract]]="",TRUE,FALSE)</f>
        <v>0</v>
      </c>
      <c r="S478" s="2" t="b">
        <f>IF(OR(Table1938[[#This Row],[Document Type]]="book",Table1938[[#This Row],[Document Type]]="bookSection"),TRUE,FALSE)</f>
        <v>0</v>
      </c>
      <c r="T478" s="2" t="b">
        <f>NOT(IF(OR(Table1938[[#This Row],[Language]]&lt;&gt;"en",Table1938[[#This Row],[Language]]&lt;&gt;"EN",Table1938[[#This Row],[Language]]&lt;&gt;"spa",Table1938[[#This Row],[Language]]&lt;&gt;"SPA"),TRUE,FALSE))</f>
        <v>0</v>
      </c>
      <c r="U478" s="2" t="b">
        <f>IF(AND(Table1938[[#This Row],[EC-01]]=FALSE,Table1938[[#This Row],[EC-02]]=FALSE,Table1938[[#This Row],[EC-03]]=FALSE,Table1938[[#This Row],[EC-04]]=FALSE,Table1938[[#This Row],[EC-05]]=FALSE,Table1938[[#This Row],[EC-06]]=FALSE),TRUE,FALSE)</f>
        <v>1</v>
      </c>
      <c r="V478" s="2" t="b">
        <f>IF(Table1938[[#This Row],[Date]]&lt;&gt;"",AND(YEAR(Table1938[[#This Row],[Date]])&gt;=2010, YEAR(Table1938[[#This Row],[Date]])&lt;=2024),FALSE)</f>
        <v>1</v>
      </c>
      <c r="W478" s="2" t="b">
        <f>IF(Table1938[[#This Row],[Date]]&lt;&gt;"",AND(YEAR(Table1938[[#This Row],[Date]])&gt;=2010, YEAR(Table1938[[#This Row],[Date]])&lt;=2020),FALSE)</f>
        <v>0</v>
      </c>
      <c r="X478" s="2" t="b">
        <f>IF(AND(Table1938[[#This Row],[Accesible]]=TRUE,Table1938[[#This Row],[DOI]]&lt;&gt;""),TRUE,FALSE)</f>
        <v>1</v>
      </c>
      <c r="Y478" s="2" t="b">
        <f>OR(Table1938[[#This Row],[Document Type]]="journalArticle",Table1938[[#This Row],[Document Type]]="conferencePaper",Table1938[[#This Row],[Document Type]]="review")</f>
        <v>1</v>
      </c>
      <c r="Z478" s="2" t="b" cm="1">
        <f t="array" ref="Z478">SUMPRODUCT(--ISNUMBER(SEARCH({"dimensional analysis","dimensionless coefficients","Π","Pi","theorem","software","design","tools","development","architecture","similar"}, LOWER(Table1938[[#This Row],[Title]]))))&gt;0</f>
        <v>1</v>
      </c>
      <c r="AA478" s="2" t="b" cm="1">
        <f t="array" ref="AA478">SUMPRODUCT(--ISNUMBER(SEARCH({"dimensional analysis","dimensionless coefficients","Π","Pi","theorem","software","design","tools","development","architecture","similar"}, LOWER(Table1938[[#This Row],[Abstract]]))))&gt;0</f>
        <v>1</v>
      </c>
      <c r="AB478" s="2" t="b">
        <f>AND(OR(Table1938[[#This Row],[IC-01 @2024]:[IC-01 @2020]])=TRUE,Table1938[[#This Row],[IC-02]]=TRUE,Table1938[[#This Row],[IC-03]]=TRUE,Table1938[[#This Row],[IC-04]]=TRUE,Table1938[[#This Row],[IC-05]]=TRUE)</f>
        <v>1</v>
      </c>
      <c r="AC478" s="2" t="b">
        <f>AND(Table1938[[#This Row],[Pass-IC]]=TRUE,Table1938[[#This Row],[Pass-EC]]=TRUE)</f>
        <v>1</v>
      </c>
      <c r="AD478" s="2" t="b">
        <f>COUNTIF($D$25:D478, Table1938[[#This Row],[Title]]) = 1</f>
        <v>1</v>
      </c>
      <c r="AE478" s="2" t="b">
        <f>AND(Table1938[[#This Row],[IC + EC]:[Unique]])</f>
        <v>1</v>
      </c>
      <c r="AF478" s="2" t="b">
        <v>1</v>
      </c>
      <c r="AG478" s="2" t="b">
        <v>0</v>
      </c>
      <c r="AH478" s="2" t="b">
        <v>0</v>
      </c>
      <c r="AI478" s="2" t="b">
        <f>IF(AND(Table1938[[#This Row],[Double Check]]=TRUE,Table1938[[#This Row],[Inspected]]=TRUE,Table1938[[#This Row],[Relevant]]=TRUE),TRUE,FALSE)</f>
        <v>0</v>
      </c>
    </row>
    <row r="479" spans="1:35" ht="43" x14ac:dyDescent="0.5">
      <c r="A479" s="2">
        <v>478</v>
      </c>
      <c r="B479" s="20" t="s">
        <v>3</v>
      </c>
      <c r="C479" s="20" t="s">
        <v>3690</v>
      </c>
      <c r="D479" s="20" t="s">
        <v>2426</v>
      </c>
      <c r="E479" s="20" t="s">
        <v>2425</v>
      </c>
      <c r="F479" s="2" t="s">
        <v>2428</v>
      </c>
      <c r="G479" s="20" t="s">
        <v>2418</v>
      </c>
      <c r="H479" s="36">
        <v>45627</v>
      </c>
      <c r="I479" s="20">
        <v>2024</v>
      </c>
      <c r="J479" s="20" t="s">
        <v>61</v>
      </c>
      <c r="K479" s="20" t="s">
        <v>3691</v>
      </c>
      <c r="L479" s="20" t="s">
        <v>2515</v>
      </c>
      <c r="M479" s="20" t="s">
        <v>2427</v>
      </c>
      <c r="N479" s="20" t="b">
        <v>1</v>
      </c>
      <c r="O479" s="2" t="b">
        <f>IF(Table1938[[#This Row],[Title]]="",TRUE,FALSE)</f>
        <v>0</v>
      </c>
      <c r="P479" s="2" t="b">
        <f>IF(Table1938[[#This Row],[Author]]="",TRUE,FALSE)</f>
        <v>0</v>
      </c>
      <c r="Q479" s="2" t="b">
        <f>IF(Table1938[[#This Row],[DOI]]&lt;&gt;"", FALSE,TRUE)</f>
        <v>0</v>
      </c>
      <c r="R479" s="2" t="b">
        <f>IF(Table1938[[#This Row],[Abstract]]="",TRUE,FALSE)</f>
        <v>0</v>
      </c>
      <c r="S479" s="2" t="b">
        <f>IF(OR(Table1938[[#This Row],[Document Type]]="book",Table1938[[#This Row],[Document Type]]="bookSection"),TRUE,FALSE)</f>
        <v>0</v>
      </c>
      <c r="T479" s="2" t="b">
        <f>NOT(IF(OR(Table1938[[#This Row],[Language]]&lt;&gt;"en",Table1938[[#This Row],[Language]]&lt;&gt;"EN",Table1938[[#This Row],[Language]]&lt;&gt;"spa",Table1938[[#This Row],[Language]]&lt;&gt;"SPA"),TRUE,FALSE))</f>
        <v>0</v>
      </c>
      <c r="U479" s="2" t="b">
        <f>IF(AND(Table1938[[#This Row],[EC-01]]=FALSE,Table1938[[#This Row],[EC-02]]=FALSE,Table1938[[#This Row],[EC-03]]=FALSE,Table1938[[#This Row],[EC-04]]=FALSE,Table1938[[#This Row],[EC-05]]=FALSE,Table1938[[#This Row],[EC-06]]=FALSE),TRUE,FALSE)</f>
        <v>1</v>
      </c>
      <c r="V479" s="2" t="b">
        <f>IF(Table1938[[#This Row],[Date]]&lt;&gt;"",AND(YEAR(Table1938[[#This Row],[Date]])&gt;=2010, YEAR(Table1938[[#This Row],[Date]])&lt;=2024),FALSE)</f>
        <v>1</v>
      </c>
      <c r="W479" s="2" t="b">
        <f>IF(Table1938[[#This Row],[Date]]&lt;&gt;"",AND(YEAR(Table1938[[#This Row],[Date]])&gt;=2010, YEAR(Table1938[[#This Row],[Date]])&lt;=2020),FALSE)</f>
        <v>0</v>
      </c>
      <c r="X479" s="2" t="b">
        <f>IF(AND(Table1938[[#This Row],[Accesible]]=TRUE,Table1938[[#This Row],[DOI]]&lt;&gt;""),TRUE,FALSE)</f>
        <v>1</v>
      </c>
      <c r="Y479" s="2" t="b">
        <f>OR(Table1938[[#This Row],[Document Type]]="journalArticle",Table1938[[#This Row],[Document Type]]="conferencePaper",Table1938[[#This Row],[Document Type]]="review")</f>
        <v>1</v>
      </c>
      <c r="Z479" s="2" t="b" cm="1">
        <f t="array" ref="Z479">SUMPRODUCT(--ISNUMBER(SEARCH({"dimensional analysis","dimensionless coefficients","Π","Pi","theorem","software","design","tools","development","architecture","similar"}, LOWER(Table1938[[#This Row],[Title]]))))&gt;0</f>
        <v>0</v>
      </c>
      <c r="AA479" s="2" t="b" cm="1">
        <f t="array" ref="AA479">SUMPRODUCT(--ISNUMBER(SEARCH({"dimensional analysis","dimensionless coefficients","Π","Pi","theorem","software","design","tools","development","architecture","similar"}, LOWER(Table1938[[#This Row],[Abstract]]))))&gt;0</f>
        <v>1</v>
      </c>
      <c r="AB479" s="2" t="b">
        <f>AND(OR(Table1938[[#This Row],[IC-01 @2024]:[IC-01 @2020]])=TRUE,Table1938[[#This Row],[IC-02]]=TRUE,Table1938[[#This Row],[IC-03]]=TRUE,Table1938[[#This Row],[IC-04]]=TRUE,Table1938[[#This Row],[IC-05]]=TRUE)</f>
        <v>0</v>
      </c>
      <c r="AC479" s="2" t="b">
        <f>AND(Table1938[[#This Row],[Pass-IC]]=TRUE,Table1938[[#This Row],[Pass-EC]]=TRUE)</f>
        <v>0</v>
      </c>
      <c r="AD479" s="2" t="b">
        <f>COUNTIF($D$25:D479, Table1938[[#This Row],[Title]]) = 1</f>
        <v>1</v>
      </c>
      <c r="AE479" s="2" t="b">
        <f>AND(Table1938[[#This Row],[IC + EC]:[Unique]])</f>
        <v>0</v>
      </c>
      <c r="AF479" s="2" t="b">
        <v>0</v>
      </c>
      <c r="AG479" s="2" t="b">
        <v>0</v>
      </c>
      <c r="AH479" s="2" t="b">
        <v>0</v>
      </c>
      <c r="AI479" s="2" t="b">
        <f>IF(AND(Table1938[[#This Row],[Double Check]]=TRUE,Table1938[[#This Row],[Inspected]]=TRUE,Table1938[[#This Row],[Relevant]]=TRUE),TRUE,FALSE)</f>
        <v>0</v>
      </c>
    </row>
    <row r="480" spans="1:35" ht="71.7" x14ac:dyDescent="0.5">
      <c r="A480" s="2">
        <v>479</v>
      </c>
      <c r="B480" s="20" t="s">
        <v>3</v>
      </c>
      <c r="C480" s="20" t="s">
        <v>3692</v>
      </c>
      <c r="D480" s="20" t="s">
        <v>1157</v>
      </c>
      <c r="E480" s="20" t="s">
        <v>1156</v>
      </c>
      <c r="F480" s="2" t="s">
        <v>1159</v>
      </c>
      <c r="G480" s="20" t="s">
        <v>1113</v>
      </c>
      <c r="H480" s="36">
        <v>44075</v>
      </c>
      <c r="I480" s="20">
        <v>2020</v>
      </c>
      <c r="J480" s="20" t="s">
        <v>61</v>
      </c>
      <c r="K480" s="20" t="s">
        <v>3693</v>
      </c>
      <c r="L480" s="20" t="s">
        <v>2515</v>
      </c>
      <c r="M480" s="20" t="s">
        <v>1158</v>
      </c>
      <c r="N480" s="20" t="b">
        <v>1</v>
      </c>
      <c r="O480" s="2" t="b">
        <f>IF(Table1938[[#This Row],[Title]]="",TRUE,FALSE)</f>
        <v>0</v>
      </c>
      <c r="P480" s="2" t="b">
        <f>IF(Table1938[[#This Row],[Author]]="",TRUE,FALSE)</f>
        <v>0</v>
      </c>
      <c r="Q480" s="2" t="b">
        <f>IF(Table1938[[#This Row],[DOI]]&lt;&gt;"", FALSE,TRUE)</f>
        <v>0</v>
      </c>
      <c r="R480" s="2" t="b">
        <f>IF(Table1938[[#This Row],[Abstract]]="",TRUE,FALSE)</f>
        <v>0</v>
      </c>
      <c r="S480" s="2" t="b">
        <f>IF(OR(Table1938[[#This Row],[Document Type]]="book",Table1938[[#This Row],[Document Type]]="bookSection"),TRUE,FALSE)</f>
        <v>0</v>
      </c>
      <c r="T480" s="2" t="b">
        <f>NOT(IF(OR(Table1938[[#This Row],[Language]]&lt;&gt;"en",Table1938[[#This Row],[Language]]&lt;&gt;"EN",Table1938[[#This Row],[Language]]&lt;&gt;"spa",Table1938[[#This Row],[Language]]&lt;&gt;"SPA"),TRUE,FALSE))</f>
        <v>0</v>
      </c>
      <c r="U480" s="2" t="b">
        <f>IF(AND(Table1938[[#This Row],[EC-01]]=FALSE,Table1938[[#This Row],[EC-02]]=FALSE,Table1938[[#This Row],[EC-03]]=FALSE,Table1938[[#This Row],[EC-04]]=FALSE,Table1938[[#This Row],[EC-05]]=FALSE,Table1938[[#This Row],[EC-06]]=FALSE),TRUE,FALSE)</f>
        <v>1</v>
      </c>
      <c r="V480" s="2" t="b">
        <f>IF(Table1938[[#This Row],[Date]]&lt;&gt;"",AND(YEAR(Table1938[[#This Row],[Date]])&gt;=2010, YEAR(Table1938[[#This Row],[Date]])&lt;=2024),FALSE)</f>
        <v>1</v>
      </c>
      <c r="W480" s="2" t="b">
        <f>IF(Table1938[[#This Row],[Date]]&lt;&gt;"",AND(YEAR(Table1938[[#This Row],[Date]])&gt;=2010, YEAR(Table1938[[#This Row],[Date]])&lt;=2020),FALSE)</f>
        <v>1</v>
      </c>
      <c r="X480" s="2" t="b">
        <f>IF(AND(Table1938[[#This Row],[Accesible]]=TRUE,Table1938[[#This Row],[DOI]]&lt;&gt;""),TRUE,FALSE)</f>
        <v>1</v>
      </c>
      <c r="Y480" s="2" t="b">
        <f>OR(Table1938[[#This Row],[Document Type]]="journalArticle",Table1938[[#This Row],[Document Type]]="conferencePaper",Table1938[[#This Row],[Document Type]]="review")</f>
        <v>1</v>
      </c>
      <c r="Z480" s="2" t="b" cm="1">
        <f t="array" ref="Z480">SUMPRODUCT(--ISNUMBER(SEARCH({"dimensional analysis","dimensionless coefficients","Π","Pi","theorem","software","design","tools","development","architecture","similar"}, LOWER(Table1938[[#This Row],[Title]]))))&gt;0</f>
        <v>0</v>
      </c>
      <c r="AA480" s="2" t="b" cm="1">
        <f t="array" ref="AA480">SUMPRODUCT(--ISNUMBER(SEARCH({"dimensional analysis","dimensionless coefficients","Π","Pi","theorem","software","design","tools","development","architecture","similar"}, LOWER(Table1938[[#This Row],[Abstract]]))))&gt;0</f>
        <v>1</v>
      </c>
      <c r="AB480" s="2" t="b">
        <f>AND(OR(Table1938[[#This Row],[IC-01 @2024]:[IC-01 @2020]])=TRUE,Table1938[[#This Row],[IC-02]]=TRUE,Table1938[[#This Row],[IC-03]]=TRUE,Table1938[[#This Row],[IC-04]]=TRUE,Table1938[[#This Row],[IC-05]]=TRUE)</f>
        <v>0</v>
      </c>
      <c r="AC480" s="2" t="b">
        <f>AND(Table1938[[#This Row],[Pass-IC]]=TRUE,Table1938[[#This Row],[Pass-EC]]=TRUE)</f>
        <v>0</v>
      </c>
      <c r="AD480" s="2" t="b">
        <f>COUNTIF($D$25:D480, Table1938[[#This Row],[Title]]) = 1</f>
        <v>1</v>
      </c>
      <c r="AE480" s="2" t="b">
        <f>AND(Table1938[[#This Row],[IC + EC]:[Unique]])</f>
        <v>0</v>
      </c>
      <c r="AF480" s="2" t="b">
        <v>0</v>
      </c>
      <c r="AG480" s="2" t="b">
        <v>0</v>
      </c>
      <c r="AH480" s="2" t="b">
        <v>0</v>
      </c>
      <c r="AI480" s="2" t="b">
        <f>IF(AND(Table1938[[#This Row],[Double Check]]=TRUE,Table1938[[#This Row],[Inspected]]=TRUE,Table1938[[#This Row],[Relevant]]=TRUE),TRUE,FALSE)</f>
        <v>0</v>
      </c>
    </row>
    <row r="481" spans="1:35" ht="57.35" x14ac:dyDescent="0.5">
      <c r="A481" s="2">
        <v>480</v>
      </c>
      <c r="B481" s="20" t="s">
        <v>3</v>
      </c>
      <c r="C481" s="20" t="s">
        <v>3694</v>
      </c>
      <c r="D481" s="20" t="s">
        <v>1693</v>
      </c>
      <c r="E481" s="20" t="s">
        <v>1692</v>
      </c>
      <c r="F481" s="2" t="s">
        <v>1695</v>
      </c>
      <c r="G481" s="20" t="s">
        <v>1122</v>
      </c>
      <c r="H481" s="36">
        <v>44621</v>
      </c>
      <c r="I481" s="20">
        <v>2022</v>
      </c>
      <c r="J481" s="20" t="s">
        <v>61</v>
      </c>
      <c r="K481" s="20" t="s">
        <v>3695</v>
      </c>
      <c r="L481" s="20" t="s">
        <v>2515</v>
      </c>
      <c r="M481" s="20" t="s">
        <v>1694</v>
      </c>
      <c r="N481" s="20" t="b">
        <v>1</v>
      </c>
      <c r="O481" s="2" t="b">
        <f>IF(Table1938[[#This Row],[Title]]="",TRUE,FALSE)</f>
        <v>0</v>
      </c>
      <c r="P481" s="2" t="b">
        <f>IF(Table1938[[#This Row],[Author]]="",TRUE,FALSE)</f>
        <v>0</v>
      </c>
      <c r="Q481" s="2" t="b">
        <f>IF(Table1938[[#This Row],[DOI]]&lt;&gt;"", FALSE,TRUE)</f>
        <v>0</v>
      </c>
      <c r="R481" s="2" t="b">
        <f>IF(Table1938[[#This Row],[Abstract]]="",TRUE,FALSE)</f>
        <v>0</v>
      </c>
      <c r="S481" s="2" t="b">
        <f>IF(OR(Table1938[[#This Row],[Document Type]]="book",Table1938[[#This Row],[Document Type]]="bookSection"),TRUE,FALSE)</f>
        <v>0</v>
      </c>
      <c r="T481" s="2" t="b">
        <f>NOT(IF(OR(Table1938[[#This Row],[Language]]&lt;&gt;"en",Table1938[[#This Row],[Language]]&lt;&gt;"EN",Table1938[[#This Row],[Language]]&lt;&gt;"spa",Table1938[[#This Row],[Language]]&lt;&gt;"SPA"),TRUE,FALSE))</f>
        <v>0</v>
      </c>
      <c r="U481" s="2" t="b">
        <f>IF(AND(Table1938[[#This Row],[EC-01]]=FALSE,Table1938[[#This Row],[EC-02]]=FALSE,Table1938[[#This Row],[EC-03]]=FALSE,Table1938[[#This Row],[EC-04]]=FALSE,Table1938[[#This Row],[EC-05]]=FALSE,Table1938[[#This Row],[EC-06]]=FALSE),TRUE,FALSE)</f>
        <v>1</v>
      </c>
      <c r="V481" s="2" t="b">
        <f>IF(Table1938[[#This Row],[Date]]&lt;&gt;"",AND(YEAR(Table1938[[#This Row],[Date]])&gt;=2010, YEAR(Table1938[[#This Row],[Date]])&lt;=2024),FALSE)</f>
        <v>1</v>
      </c>
      <c r="W481" s="2" t="b">
        <f>IF(Table1938[[#This Row],[Date]]&lt;&gt;"",AND(YEAR(Table1938[[#This Row],[Date]])&gt;=2010, YEAR(Table1938[[#This Row],[Date]])&lt;=2020),FALSE)</f>
        <v>0</v>
      </c>
      <c r="X481" s="2" t="b">
        <f>IF(AND(Table1938[[#This Row],[Accesible]]=TRUE,Table1938[[#This Row],[DOI]]&lt;&gt;""),TRUE,FALSE)</f>
        <v>1</v>
      </c>
      <c r="Y481" s="2" t="b">
        <f>OR(Table1938[[#This Row],[Document Type]]="journalArticle",Table1938[[#This Row],[Document Type]]="conferencePaper",Table1938[[#This Row],[Document Type]]="review")</f>
        <v>1</v>
      </c>
      <c r="Z481" s="2" t="b" cm="1">
        <f t="array" ref="Z481">SUMPRODUCT(--ISNUMBER(SEARCH({"dimensional analysis","dimensionless coefficients","Π","Pi","theorem","software","design","tools","development","architecture","similar"}, LOWER(Table1938[[#This Row],[Title]]))))&gt;0</f>
        <v>1</v>
      </c>
      <c r="AA481" s="2" t="b" cm="1">
        <f t="array" ref="AA481">SUMPRODUCT(--ISNUMBER(SEARCH({"dimensional analysis","dimensionless coefficients","Π","Pi","theorem","software","design","tools","development","architecture","similar"}, LOWER(Table1938[[#This Row],[Abstract]]))))&gt;0</f>
        <v>1</v>
      </c>
      <c r="AB481" s="2" t="b">
        <f>AND(OR(Table1938[[#This Row],[IC-01 @2024]:[IC-01 @2020]])=TRUE,Table1938[[#This Row],[IC-02]]=TRUE,Table1938[[#This Row],[IC-03]]=TRUE,Table1938[[#This Row],[IC-04]]=TRUE,Table1938[[#This Row],[IC-05]]=TRUE)</f>
        <v>1</v>
      </c>
      <c r="AC481" s="2" t="b">
        <f>AND(Table1938[[#This Row],[Pass-IC]]=TRUE,Table1938[[#This Row],[Pass-EC]]=TRUE)</f>
        <v>1</v>
      </c>
      <c r="AD481" s="2" t="b">
        <f>COUNTIF($D$25:D481, Table1938[[#This Row],[Title]]) = 1</f>
        <v>1</v>
      </c>
      <c r="AE481" s="2" t="b">
        <f>AND(Table1938[[#This Row],[IC + EC]:[Unique]])</f>
        <v>1</v>
      </c>
      <c r="AF481" s="2" t="b">
        <v>1</v>
      </c>
      <c r="AG481" s="2" t="b">
        <v>0</v>
      </c>
      <c r="AH481" s="2" t="b">
        <v>0</v>
      </c>
      <c r="AI481" s="2" t="b">
        <f>IF(AND(Table1938[[#This Row],[Double Check]]=TRUE,Table1938[[#This Row],[Inspected]]=TRUE,Table1938[[#This Row],[Relevant]]=TRUE),TRUE,FALSE)</f>
        <v>0</v>
      </c>
    </row>
    <row r="482" spans="1:35" ht="71.7" x14ac:dyDescent="0.5">
      <c r="A482" s="2">
        <v>481</v>
      </c>
      <c r="B482" s="20" t="s">
        <v>3</v>
      </c>
      <c r="C482" s="20" t="s">
        <v>3696</v>
      </c>
      <c r="D482" s="20" t="s">
        <v>1438</v>
      </c>
      <c r="E482" s="20" t="s">
        <v>1437</v>
      </c>
      <c r="F482" s="2" t="s">
        <v>1440</v>
      </c>
      <c r="G482" s="20" t="s">
        <v>947</v>
      </c>
      <c r="H482" s="36">
        <v>44136</v>
      </c>
      <c r="I482" s="20">
        <v>2020</v>
      </c>
      <c r="J482" s="20" t="s">
        <v>61</v>
      </c>
      <c r="K482" s="20" t="s">
        <v>3697</v>
      </c>
      <c r="L482" s="20" t="s">
        <v>2515</v>
      </c>
      <c r="M482" s="20" t="s">
        <v>1439</v>
      </c>
      <c r="N482" s="20" t="b">
        <v>1</v>
      </c>
      <c r="O482" s="2" t="b">
        <f>IF(Table1938[[#This Row],[Title]]="",TRUE,FALSE)</f>
        <v>0</v>
      </c>
      <c r="P482" s="2" t="b">
        <f>IF(Table1938[[#This Row],[Author]]="",TRUE,FALSE)</f>
        <v>0</v>
      </c>
      <c r="Q482" s="2" t="b">
        <f>IF(Table1938[[#This Row],[DOI]]&lt;&gt;"", FALSE,TRUE)</f>
        <v>0</v>
      </c>
      <c r="R482" s="2" t="b">
        <f>IF(Table1938[[#This Row],[Abstract]]="",TRUE,FALSE)</f>
        <v>0</v>
      </c>
      <c r="S482" s="2" t="b">
        <f>IF(OR(Table1938[[#This Row],[Document Type]]="book",Table1938[[#This Row],[Document Type]]="bookSection"),TRUE,FALSE)</f>
        <v>0</v>
      </c>
      <c r="T482" s="2" t="b">
        <f>NOT(IF(OR(Table1938[[#This Row],[Language]]&lt;&gt;"en",Table1938[[#This Row],[Language]]&lt;&gt;"EN",Table1938[[#This Row],[Language]]&lt;&gt;"spa",Table1938[[#This Row],[Language]]&lt;&gt;"SPA"),TRUE,FALSE))</f>
        <v>0</v>
      </c>
      <c r="U482" s="2" t="b">
        <f>IF(AND(Table1938[[#This Row],[EC-01]]=FALSE,Table1938[[#This Row],[EC-02]]=FALSE,Table1938[[#This Row],[EC-03]]=FALSE,Table1938[[#This Row],[EC-04]]=FALSE,Table1938[[#This Row],[EC-05]]=FALSE,Table1938[[#This Row],[EC-06]]=FALSE),TRUE,FALSE)</f>
        <v>1</v>
      </c>
      <c r="V482" s="2" t="b">
        <f>IF(Table1938[[#This Row],[Date]]&lt;&gt;"",AND(YEAR(Table1938[[#This Row],[Date]])&gt;=2010, YEAR(Table1938[[#This Row],[Date]])&lt;=2024),FALSE)</f>
        <v>1</v>
      </c>
      <c r="W482" s="2" t="b">
        <f>IF(Table1938[[#This Row],[Date]]&lt;&gt;"",AND(YEAR(Table1938[[#This Row],[Date]])&gt;=2010, YEAR(Table1938[[#This Row],[Date]])&lt;=2020),FALSE)</f>
        <v>1</v>
      </c>
      <c r="X482" s="2" t="b">
        <f>IF(AND(Table1938[[#This Row],[Accesible]]=TRUE,Table1938[[#This Row],[DOI]]&lt;&gt;""),TRUE,FALSE)</f>
        <v>1</v>
      </c>
      <c r="Y482" s="2" t="b">
        <f>OR(Table1938[[#This Row],[Document Type]]="journalArticle",Table1938[[#This Row],[Document Type]]="conferencePaper",Table1938[[#This Row],[Document Type]]="review")</f>
        <v>1</v>
      </c>
      <c r="Z482" s="2" t="b" cm="1">
        <f t="array" ref="Z482">SUMPRODUCT(--ISNUMBER(SEARCH({"dimensional analysis","dimensionless coefficients","Π","Pi","theorem","software","design","tools","development","architecture","similar"}, LOWER(Table1938[[#This Row],[Title]]))))&gt;0</f>
        <v>1</v>
      </c>
      <c r="AA482" s="2" t="b" cm="1">
        <f t="array" ref="AA482">SUMPRODUCT(--ISNUMBER(SEARCH({"dimensional analysis","dimensionless coefficients","Π","Pi","theorem","software","design","tools","development","architecture","similar"}, LOWER(Table1938[[#This Row],[Abstract]]))))&gt;0</f>
        <v>1</v>
      </c>
      <c r="AB482" s="2" t="b">
        <f>AND(OR(Table1938[[#This Row],[IC-01 @2024]:[IC-01 @2020]])=TRUE,Table1938[[#This Row],[IC-02]]=TRUE,Table1938[[#This Row],[IC-03]]=TRUE,Table1938[[#This Row],[IC-04]]=TRUE,Table1938[[#This Row],[IC-05]]=TRUE)</f>
        <v>1</v>
      </c>
      <c r="AC482" s="2" t="b">
        <f>AND(Table1938[[#This Row],[Pass-IC]]=TRUE,Table1938[[#This Row],[Pass-EC]]=TRUE)</f>
        <v>1</v>
      </c>
      <c r="AD482" s="2" t="b">
        <f>COUNTIF($D$25:D482, Table1938[[#This Row],[Title]]) = 1</f>
        <v>1</v>
      </c>
      <c r="AE482" s="2" t="b">
        <f>AND(Table1938[[#This Row],[IC + EC]:[Unique]])</f>
        <v>1</v>
      </c>
      <c r="AF482" s="2" t="b">
        <v>1</v>
      </c>
      <c r="AG482" s="2" t="b">
        <v>0</v>
      </c>
      <c r="AH482" s="2" t="b">
        <v>0</v>
      </c>
      <c r="AI482" s="2" t="b">
        <f>IF(AND(Table1938[[#This Row],[Double Check]]=TRUE,Table1938[[#This Row],[Inspected]]=TRUE,Table1938[[#This Row],[Relevant]]=TRUE),TRUE,FALSE)</f>
        <v>0</v>
      </c>
    </row>
    <row r="483" spans="1:35" ht="43" x14ac:dyDescent="0.5">
      <c r="A483" s="2">
        <v>482</v>
      </c>
      <c r="B483" s="20" t="s">
        <v>3</v>
      </c>
      <c r="C483" s="20" t="s">
        <v>3698</v>
      </c>
      <c r="D483" s="20" t="s">
        <v>1685</v>
      </c>
      <c r="E483" s="20" t="s">
        <v>1684</v>
      </c>
      <c r="F483" s="2" t="s">
        <v>1687</v>
      </c>
      <c r="G483" s="20" t="s">
        <v>939</v>
      </c>
      <c r="H483" s="36">
        <v>44819</v>
      </c>
      <c r="I483" s="20">
        <v>2022</v>
      </c>
      <c r="J483" s="20" t="s">
        <v>61</v>
      </c>
      <c r="K483" s="20" t="s">
        <v>3699</v>
      </c>
      <c r="L483" s="20" t="s">
        <v>2515</v>
      </c>
      <c r="M483" s="20" t="s">
        <v>1686</v>
      </c>
      <c r="N483" s="20" t="b">
        <v>1</v>
      </c>
      <c r="O483" s="2" t="b">
        <f>IF(Table1938[[#This Row],[Title]]="",TRUE,FALSE)</f>
        <v>0</v>
      </c>
      <c r="P483" s="2" t="b">
        <f>IF(Table1938[[#This Row],[Author]]="",TRUE,FALSE)</f>
        <v>0</v>
      </c>
      <c r="Q483" s="2" t="b">
        <f>IF(Table1938[[#This Row],[DOI]]&lt;&gt;"", FALSE,TRUE)</f>
        <v>0</v>
      </c>
      <c r="R483" s="2" t="b">
        <f>IF(Table1938[[#This Row],[Abstract]]="",TRUE,FALSE)</f>
        <v>0</v>
      </c>
      <c r="S483" s="2" t="b">
        <f>IF(OR(Table1938[[#This Row],[Document Type]]="book",Table1938[[#This Row],[Document Type]]="bookSection"),TRUE,FALSE)</f>
        <v>0</v>
      </c>
      <c r="T483" s="2" t="b">
        <f>NOT(IF(OR(Table1938[[#This Row],[Language]]&lt;&gt;"en",Table1938[[#This Row],[Language]]&lt;&gt;"EN",Table1938[[#This Row],[Language]]&lt;&gt;"spa",Table1938[[#This Row],[Language]]&lt;&gt;"SPA"),TRUE,FALSE))</f>
        <v>0</v>
      </c>
      <c r="U483" s="2" t="b">
        <f>IF(AND(Table1938[[#This Row],[EC-01]]=FALSE,Table1938[[#This Row],[EC-02]]=FALSE,Table1938[[#This Row],[EC-03]]=FALSE,Table1938[[#This Row],[EC-04]]=FALSE,Table1938[[#This Row],[EC-05]]=FALSE,Table1938[[#This Row],[EC-06]]=FALSE),TRUE,FALSE)</f>
        <v>1</v>
      </c>
      <c r="V483" s="2" t="b">
        <f>IF(Table1938[[#This Row],[Date]]&lt;&gt;"",AND(YEAR(Table1938[[#This Row],[Date]])&gt;=2010, YEAR(Table1938[[#This Row],[Date]])&lt;=2024),FALSE)</f>
        <v>1</v>
      </c>
      <c r="W483" s="2" t="b">
        <f>IF(Table1938[[#This Row],[Date]]&lt;&gt;"",AND(YEAR(Table1938[[#This Row],[Date]])&gt;=2010, YEAR(Table1938[[#This Row],[Date]])&lt;=2020),FALSE)</f>
        <v>0</v>
      </c>
      <c r="X483" s="2" t="b">
        <f>IF(AND(Table1938[[#This Row],[Accesible]]=TRUE,Table1938[[#This Row],[DOI]]&lt;&gt;""),TRUE,FALSE)</f>
        <v>1</v>
      </c>
      <c r="Y483" s="2" t="b">
        <f>OR(Table1938[[#This Row],[Document Type]]="journalArticle",Table1938[[#This Row],[Document Type]]="conferencePaper",Table1938[[#This Row],[Document Type]]="review")</f>
        <v>1</v>
      </c>
      <c r="Z483" s="2" t="b" cm="1">
        <f t="array" ref="Z483">SUMPRODUCT(--ISNUMBER(SEARCH({"dimensional analysis","dimensionless coefficients","Π","Pi","theorem","software","design","tools","development","architecture","similar"}, LOWER(Table1938[[#This Row],[Title]]))))&gt;0</f>
        <v>1</v>
      </c>
      <c r="AA483" s="2" t="b" cm="1">
        <f t="array" ref="AA483">SUMPRODUCT(--ISNUMBER(SEARCH({"dimensional analysis","dimensionless coefficients","Π","Pi","theorem","software","design","tools","development","architecture","similar"}, LOWER(Table1938[[#This Row],[Abstract]]))))&gt;0</f>
        <v>1</v>
      </c>
      <c r="AB483" s="2" t="b">
        <f>AND(OR(Table1938[[#This Row],[IC-01 @2024]:[IC-01 @2020]])=TRUE,Table1938[[#This Row],[IC-02]]=TRUE,Table1938[[#This Row],[IC-03]]=TRUE,Table1938[[#This Row],[IC-04]]=TRUE,Table1938[[#This Row],[IC-05]]=TRUE)</f>
        <v>1</v>
      </c>
      <c r="AC483" s="2" t="b">
        <f>AND(Table1938[[#This Row],[Pass-IC]]=TRUE,Table1938[[#This Row],[Pass-EC]]=TRUE)</f>
        <v>1</v>
      </c>
      <c r="AD483" s="2" t="b">
        <f>COUNTIF($D$25:D483, Table1938[[#This Row],[Title]]) = 1</f>
        <v>1</v>
      </c>
      <c r="AE483" s="2" t="b">
        <f>AND(Table1938[[#This Row],[IC + EC]:[Unique]])</f>
        <v>1</v>
      </c>
      <c r="AF483" s="2" t="b">
        <v>1</v>
      </c>
      <c r="AG483" s="2" t="b">
        <v>0</v>
      </c>
      <c r="AH483" s="2" t="b">
        <v>0</v>
      </c>
      <c r="AI483" s="2" t="b">
        <f>IF(AND(Table1938[[#This Row],[Double Check]]=TRUE,Table1938[[#This Row],[Inspected]]=TRUE,Table1938[[#This Row],[Relevant]]=TRUE),TRUE,FALSE)</f>
        <v>0</v>
      </c>
    </row>
    <row r="484" spans="1:35" ht="71.7" x14ac:dyDescent="0.5">
      <c r="A484" s="2">
        <v>483</v>
      </c>
      <c r="B484" s="20" t="s">
        <v>3</v>
      </c>
      <c r="C484" s="20" t="s">
        <v>3700</v>
      </c>
      <c r="D484" s="20" t="s">
        <v>1199</v>
      </c>
      <c r="E484" s="20" t="s">
        <v>1198</v>
      </c>
      <c r="F484" s="2" t="s">
        <v>1201</v>
      </c>
      <c r="G484" s="20" t="s">
        <v>1113</v>
      </c>
      <c r="H484" s="36">
        <v>44180</v>
      </c>
      <c r="I484" s="20">
        <v>2020</v>
      </c>
      <c r="J484" s="20" t="s">
        <v>61</v>
      </c>
      <c r="K484" s="20" t="s">
        <v>3701</v>
      </c>
      <c r="L484" s="20" t="s">
        <v>2515</v>
      </c>
      <c r="M484" s="20" t="s">
        <v>1200</v>
      </c>
      <c r="N484" s="20" t="b">
        <v>1</v>
      </c>
      <c r="O484" s="2" t="b">
        <f>IF(Table1938[[#This Row],[Title]]="",TRUE,FALSE)</f>
        <v>0</v>
      </c>
      <c r="P484" s="2" t="b">
        <f>IF(Table1938[[#This Row],[Author]]="",TRUE,FALSE)</f>
        <v>0</v>
      </c>
      <c r="Q484" s="2" t="b">
        <f>IF(Table1938[[#This Row],[DOI]]&lt;&gt;"", FALSE,TRUE)</f>
        <v>0</v>
      </c>
      <c r="R484" s="2" t="b">
        <f>IF(Table1938[[#This Row],[Abstract]]="",TRUE,FALSE)</f>
        <v>0</v>
      </c>
      <c r="S484" s="2" t="b">
        <f>IF(OR(Table1938[[#This Row],[Document Type]]="book",Table1938[[#This Row],[Document Type]]="bookSection"),TRUE,FALSE)</f>
        <v>0</v>
      </c>
      <c r="T484" s="2" t="b">
        <f>NOT(IF(OR(Table1938[[#This Row],[Language]]&lt;&gt;"en",Table1938[[#This Row],[Language]]&lt;&gt;"EN",Table1938[[#This Row],[Language]]&lt;&gt;"spa",Table1938[[#This Row],[Language]]&lt;&gt;"SPA"),TRUE,FALSE))</f>
        <v>0</v>
      </c>
      <c r="U484" s="2" t="b">
        <f>IF(AND(Table1938[[#This Row],[EC-01]]=FALSE,Table1938[[#This Row],[EC-02]]=FALSE,Table1938[[#This Row],[EC-03]]=FALSE,Table1938[[#This Row],[EC-04]]=FALSE,Table1938[[#This Row],[EC-05]]=FALSE,Table1938[[#This Row],[EC-06]]=FALSE),TRUE,FALSE)</f>
        <v>1</v>
      </c>
      <c r="V484" s="2" t="b">
        <f>IF(Table1938[[#This Row],[Date]]&lt;&gt;"",AND(YEAR(Table1938[[#This Row],[Date]])&gt;=2010, YEAR(Table1938[[#This Row],[Date]])&lt;=2024),FALSE)</f>
        <v>1</v>
      </c>
      <c r="W484" s="2" t="b">
        <f>IF(Table1938[[#This Row],[Date]]&lt;&gt;"",AND(YEAR(Table1938[[#This Row],[Date]])&gt;=2010, YEAR(Table1938[[#This Row],[Date]])&lt;=2020),FALSE)</f>
        <v>1</v>
      </c>
      <c r="X484" s="2" t="b">
        <f>IF(AND(Table1938[[#This Row],[Accesible]]=TRUE,Table1938[[#This Row],[DOI]]&lt;&gt;""),TRUE,FALSE)</f>
        <v>1</v>
      </c>
      <c r="Y484" s="2" t="b">
        <f>OR(Table1938[[#This Row],[Document Type]]="journalArticle",Table1938[[#This Row],[Document Type]]="conferencePaper",Table1938[[#This Row],[Document Type]]="review")</f>
        <v>1</v>
      </c>
      <c r="Z484" s="2" t="b" cm="1">
        <f t="array" ref="Z484">SUMPRODUCT(--ISNUMBER(SEARCH({"dimensional analysis","dimensionless coefficients","Π","Pi","theorem","software","design","tools","development","architecture","similar"}, LOWER(Table1938[[#This Row],[Title]]))))&gt;0</f>
        <v>0</v>
      </c>
      <c r="AA484" s="2" t="b" cm="1">
        <f t="array" ref="AA484">SUMPRODUCT(--ISNUMBER(SEARCH({"dimensional analysis","dimensionless coefficients","Π","Pi","theorem","software","design","tools","development","architecture","similar"}, LOWER(Table1938[[#This Row],[Abstract]]))))&gt;0</f>
        <v>1</v>
      </c>
      <c r="AB484" s="2" t="b">
        <f>AND(OR(Table1938[[#This Row],[IC-01 @2024]:[IC-01 @2020]])=TRUE,Table1938[[#This Row],[IC-02]]=TRUE,Table1938[[#This Row],[IC-03]]=TRUE,Table1938[[#This Row],[IC-04]]=TRUE,Table1938[[#This Row],[IC-05]]=TRUE)</f>
        <v>0</v>
      </c>
      <c r="AC484" s="2" t="b">
        <f>AND(Table1938[[#This Row],[Pass-IC]]=TRUE,Table1938[[#This Row],[Pass-EC]]=TRUE)</f>
        <v>0</v>
      </c>
      <c r="AD484" s="2" t="b">
        <f>COUNTIF($D$25:D484, Table1938[[#This Row],[Title]]) = 1</f>
        <v>1</v>
      </c>
      <c r="AE484" s="2" t="b">
        <f>AND(Table1938[[#This Row],[IC + EC]:[Unique]])</f>
        <v>0</v>
      </c>
      <c r="AF484" s="2" t="b">
        <v>0</v>
      </c>
      <c r="AG484" s="2" t="b">
        <v>0</v>
      </c>
      <c r="AH484" s="2" t="b">
        <v>0</v>
      </c>
      <c r="AI484" s="2" t="b">
        <f>IF(AND(Table1938[[#This Row],[Double Check]]=TRUE,Table1938[[#This Row],[Inspected]]=TRUE,Table1938[[#This Row],[Relevant]]=TRUE),TRUE,FALSE)</f>
        <v>0</v>
      </c>
    </row>
    <row r="485" spans="1:35" ht="86" x14ac:dyDescent="0.5">
      <c r="A485" s="2">
        <v>484</v>
      </c>
      <c r="B485" s="20" t="s">
        <v>3</v>
      </c>
      <c r="C485" s="20" t="s">
        <v>3702</v>
      </c>
      <c r="D485" s="20" t="s">
        <v>1187</v>
      </c>
      <c r="E485" s="20" t="s">
        <v>1186</v>
      </c>
      <c r="F485" s="2" t="s">
        <v>1189</v>
      </c>
      <c r="G485" s="20" t="s">
        <v>928</v>
      </c>
      <c r="H485" s="36">
        <v>42917</v>
      </c>
      <c r="I485" s="20">
        <v>2017</v>
      </c>
      <c r="J485" s="20" t="s">
        <v>61</v>
      </c>
      <c r="K485" s="20" t="s">
        <v>3703</v>
      </c>
      <c r="L485" s="20" t="s">
        <v>2515</v>
      </c>
      <c r="M485" s="20" t="s">
        <v>1188</v>
      </c>
      <c r="N485" s="20" t="b">
        <v>1</v>
      </c>
      <c r="O485" s="2" t="b">
        <f>IF(Table1938[[#This Row],[Title]]="",TRUE,FALSE)</f>
        <v>0</v>
      </c>
      <c r="P485" s="2" t="b">
        <f>IF(Table1938[[#This Row],[Author]]="",TRUE,FALSE)</f>
        <v>0</v>
      </c>
      <c r="Q485" s="2" t="b">
        <f>IF(Table1938[[#This Row],[DOI]]&lt;&gt;"", FALSE,TRUE)</f>
        <v>0</v>
      </c>
      <c r="R485" s="2" t="b">
        <f>IF(Table1938[[#This Row],[Abstract]]="",TRUE,FALSE)</f>
        <v>0</v>
      </c>
      <c r="S485" s="2" t="b">
        <f>IF(OR(Table1938[[#This Row],[Document Type]]="book",Table1938[[#This Row],[Document Type]]="bookSection"),TRUE,FALSE)</f>
        <v>0</v>
      </c>
      <c r="T485" s="2" t="b">
        <f>NOT(IF(OR(Table1938[[#This Row],[Language]]&lt;&gt;"en",Table1938[[#This Row],[Language]]&lt;&gt;"EN",Table1938[[#This Row],[Language]]&lt;&gt;"spa",Table1938[[#This Row],[Language]]&lt;&gt;"SPA"),TRUE,FALSE))</f>
        <v>0</v>
      </c>
      <c r="U485" s="2" t="b">
        <f>IF(AND(Table1938[[#This Row],[EC-01]]=FALSE,Table1938[[#This Row],[EC-02]]=FALSE,Table1938[[#This Row],[EC-03]]=FALSE,Table1938[[#This Row],[EC-04]]=FALSE,Table1938[[#This Row],[EC-05]]=FALSE,Table1938[[#This Row],[EC-06]]=FALSE),TRUE,FALSE)</f>
        <v>1</v>
      </c>
      <c r="V485" s="2" t="b">
        <f>IF(Table1938[[#This Row],[Date]]&lt;&gt;"",AND(YEAR(Table1938[[#This Row],[Date]])&gt;=2010, YEAR(Table1938[[#This Row],[Date]])&lt;=2024),FALSE)</f>
        <v>1</v>
      </c>
      <c r="W485" s="2" t="b">
        <f>IF(Table1938[[#This Row],[Date]]&lt;&gt;"",AND(YEAR(Table1938[[#This Row],[Date]])&gt;=2010, YEAR(Table1938[[#This Row],[Date]])&lt;=2020),FALSE)</f>
        <v>1</v>
      </c>
      <c r="X485" s="2" t="b">
        <f>IF(AND(Table1938[[#This Row],[Accesible]]=TRUE,Table1938[[#This Row],[DOI]]&lt;&gt;""),TRUE,FALSE)</f>
        <v>1</v>
      </c>
      <c r="Y485" s="2" t="b">
        <f>OR(Table1938[[#This Row],[Document Type]]="journalArticle",Table1938[[#This Row],[Document Type]]="conferencePaper",Table1938[[#This Row],[Document Type]]="review")</f>
        <v>1</v>
      </c>
      <c r="Z485" s="2" t="b" cm="1">
        <f t="array" ref="Z485">SUMPRODUCT(--ISNUMBER(SEARCH({"dimensional analysis","dimensionless coefficients","Π","Pi","theorem","software","design","tools","development","architecture","similar"}, LOWER(Table1938[[#This Row],[Title]]))))&gt;0</f>
        <v>1</v>
      </c>
      <c r="AA485" s="2" t="b" cm="1">
        <f t="array" ref="AA485">SUMPRODUCT(--ISNUMBER(SEARCH({"dimensional analysis","dimensionless coefficients","Π","Pi","theorem","software","design","tools","development","architecture","similar"}, LOWER(Table1938[[#This Row],[Abstract]]))))&gt;0</f>
        <v>1</v>
      </c>
      <c r="AB485" s="2" t="b">
        <f>AND(OR(Table1938[[#This Row],[IC-01 @2024]:[IC-01 @2020]])=TRUE,Table1938[[#This Row],[IC-02]]=TRUE,Table1938[[#This Row],[IC-03]]=TRUE,Table1938[[#This Row],[IC-04]]=TRUE,Table1938[[#This Row],[IC-05]]=TRUE)</f>
        <v>1</v>
      </c>
      <c r="AC485" s="2" t="b">
        <f>AND(Table1938[[#This Row],[Pass-IC]]=TRUE,Table1938[[#This Row],[Pass-EC]]=TRUE)</f>
        <v>1</v>
      </c>
      <c r="AD485" s="2" t="b">
        <f>COUNTIF($D$25:D485, Table1938[[#This Row],[Title]]) = 1</f>
        <v>1</v>
      </c>
      <c r="AE485" s="2" t="b">
        <f>AND(Table1938[[#This Row],[IC + EC]:[Unique]])</f>
        <v>1</v>
      </c>
      <c r="AF485" s="2" t="b">
        <v>1</v>
      </c>
      <c r="AG485" s="2" t="b">
        <v>0</v>
      </c>
      <c r="AH485" s="2" t="b">
        <v>0</v>
      </c>
      <c r="AI485" s="2" t="b">
        <f>IF(AND(Table1938[[#This Row],[Double Check]]=TRUE,Table1938[[#This Row],[Inspected]]=TRUE,Table1938[[#This Row],[Relevant]]=TRUE),TRUE,FALSE)</f>
        <v>0</v>
      </c>
    </row>
    <row r="486" spans="1:35" ht="71.7" x14ac:dyDescent="0.5">
      <c r="A486" s="2">
        <v>485</v>
      </c>
      <c r="B486" s="20" t="s">
        <v>3</v>
      </c>
      <c r="C486" s="20" t="s">
        <v>3704</v>
      </c>
      <c r="D486" s="20" t="s">
        <v>1857</v>
      </c>
      <c r="E486" s="20" t="s">
        <v>1856</v>
      </c>
      <c r="F486" s="2" t="s">
        <v>1859</v>
      </c>
      <c r="G486" s="20" t="s">
        <v>1139</v>
      </c>
      <c r="H486" s="36">
        <v>45505</v>
      </c>
      <c r="I486" s="20">
        <v>2024</v>
      </c>
      <c r="J486" s="20" t="s">
        <v>61</v>
      </c>
      <c r="K486" s="20" t="s">
        <v>3705</v>
      </c>
      <c r="L486" s="20" t="s">
        <v>2515</v>
      </c>
      <c r="M486" s="20" t="s">
        <v>1858</v>
      </c>
      <c r="N486" s="20" t="b">
        <v>1</v>
      </c>
      <c r="O486" s="2" t="b">
        <f>IF(Table1938[[#This Row],[Title]]="",TRUE,FALSE)</f>
        <v>0</v>
      </c>
      <c r="P486" s="2" t="b">
        <f>IF(Table1938[[#This Row],[Author]]="",TRUE,FALSE)</f>
        <v>0</v>
      </c>
      <c r="Q486" s="2" t="b">
        <f>IF(Table1938[[#This Row],[DOI]]&lt;&gt;"", FALSE,TRUE)</f>
        <v>0</v>
      </c>
      <c r="R486" s="2" t="b">
        <f>IF(Table1938[[#This Row],[Abstract]]="",TRUE,FALSE)</f>
        <v>0</v>
      </c>
      <c r="S486" s="2" t="b">
        <f>IF(OR(Table1938[[#This Row],[Document Type]]="book",Table1938[[#This Row],[Document Type]]="bookSection"),TRUE,FALSE)</f>
        <v>0</v>
      </c>
      <c r="T486" s="2" t="b">
        <f>NOT(IF(OR(Table1938[[#This Row],[Language]]&lt;&gt;"en",Table1938[[#This Row],[Language]]&lt;&gt;"EN",Table1938[[#This Row],[Language]]&lt;&gt;"spa",Table1938[[#This Row],[Language]]&lt;&gt;"SPA"),TRUE,FALSE))</f>
        <v>0</v>
      </c>
      <c r="U486" s="2" t="b">
        <f>IF(AND(Table1938[[#This Row],[EC-01]]=FALSE,Table1938[[#This Row],[EC-02]]=FALSE,Table1938[[#This Row],[EC-03]]=FALSE,Table1938[[#This Row],[EC-04]]=FALSE,Table1938[[#This Row],[EC-05]]=FALSE,Table1938[[#This Row],[EC-06]]=FALSE),TRUE,FALSE)</f>
        <v>1</v>
      </c>
      <c r="V486" s="2" t="b">
        <f>IF(Table1938[[#This Row],[Date]]&lt;&gt;"",AND(YEAR(Table1938[[#This Row],[Date]])&gt;=2010, YEAR(Table1938[[#This Row],[Date]])&lt;=2024),FALSE)</f>
        <v>1</v>
      </c>
      <c r="W486" s="2" t="b">
        <f>IF(Table1938[[#This Row],[Date]]&lt;&gt;"",AND(YEAR(Table1938[[#This Row],[Date]])&gt;=2010, YEAR(Table1938[[#This Row],[Date]])&lt;=2020),FALSE)</f>
        <v>0</v>
      </c>
      <c r="X486" s="2" t="b">
        <f>IF(AND(Table1938[[#This Row],[Accesible]]=TRUE,Table1938[[#This Row],[DOI]]&lt;&gt;""),TRUE,FALSE)</f>
        <v>1</v>
      </c>
      <c r="Y486" s="2" t="b">
        <f>OR(Table1938[[#This Row],[Document Type]]="journalArticle",Table1938[[#This Row],[Document Type]]="conferencePaper",Table1938[[#This Row],[Document Type]]="review")</f>
        <v>1</v>
      </c>
      <c r="Z486" s="2" t="b" cm="1">
        <f t="array" ref="Z486">SUMPRODUCT(--ISNUMBER(SEARCH({"dimensional analysis","dimensionless coefficients","Π","Pi","theorem","software","design","tools","development","architecture","similar"}, LOWER(Table1938[[#This Row],[Title]]))))&gt;0</f>
        <v>0</v>
      </c>
      <c r="AA486" s="2" t="b" cm="1">
        <f t="array" ref="AA486">SUMPRODUCT(--ISNUMBER(SEARCH({"dimensional analysis","dimensionless coefficients","Π","Pi","theorem","software","design","tools","development","architecture","similar"}, LOWER(Table1938[[#This Row],[Abstract]]))))&gt;0</f>
        <v>0</v>
      </c>
      <c r="AB486" s="2" t="b">
        <f>AND(OR(Table1938[[#This Row],[IC-01 @2024]:[IC-01 @2020]])=TRUE,Table1938[[#This Row],[IC-02]]=TRUE,Table1938[[#This Row],[IC-03]]=TRUE,Table1938[[#This Row],[IC-04]]=TRUE,Table1938[[#This Row],[IC-05]]=TRUE)</f>
        <v>0</v>
      </c>
      <c r="AC486" s="2" t="b">
        <f>AND(Table1938[[#This Row],[Pass-IC]]=TRUE,Table1938[[#This Row],[Pass-EC]]=TRUE)</f>
        <v>0</v>
      </c>
      <c r="AD486" s="2" t="b">
        <f>COUNTIF($D$25:D486, Table1938[[#This Row],[Title]]) = 1</f>
        <v>1</v>
      </c>
      <c r="AE486" s="2" t="b">
        <f>AND(Table1938[[#This Row],[IC + EC]:[Unique]])</f>
        <v>0</v>
      </c>
      <c r="AF486" s="2" t="b">
        <v>0</v>
      </c>
      <c r="AG486" s="2" t="b">
        <v>0</v>
      </c>
      <c r="AH486" s="2" t="b">
        <v>0</v>
      </c>
      <c r="AI486" s="2" t="b">
        <f>IF(AND(Table1938[[#This Row],[Double Check]]=TRUE,Table1938[[#This Row],[Inspected]]=TRUE,Table1938[[#This Row],[Relevant]]=TRUE),TRUE,FALSE)</f>
        <v>0</v>
      </c>
    </row>
    <row r="487" spans="1:35" ht="57.35" x14ac:dyDescent="0.5">
      <c r="A487" s="2">
        <v>486</v>
      </c>
      <c r="B487" s="20" t="s">
        <v>3</v>
      </c>
      <c r="C487" s="20" t="s">
        <v>3706</v>
      </c>
      <c r="D487" s="20" t="s">
        <v>1343</v>
      </c>
      <c r="E487" s="20" t="s">
        <v>1342</v>
      </c>
      <c r="F487" s="2" t="s">
        <v>1346</v>
      </c>
      <c r="G487" s="20" t="s">
        <v>1344</v>
      </c>
      <c r="H487" s="36">
        <v>45566</v>
      </c>
      <c r="I487" s="20">
        <v>2024</v>
      </c>
      <c r="J487" s="20" t="s">
        <v>61</v>
      </c>
      <c r="K487" s="20" t="s">
        <v>3707</v>
      </c>
      <c r="L487" s="20" t="s">
        <v>2515</v>
      </c>
      <c r="M487" s="20" t="s">
        <v>1345</v>
      </c>
      <c r="N487" s="20" t="b">
        <v>1</v>
      </c>
      <c r="O487" s="2" t="b">
        <f>IF(Table1938[[#This Row],[Title]]="",TRUE,FALSE)</f>
        <v>0</v>
      </c>
      <c r="P487" s="2" t="b">
        <f>IF(Table1938[[#This Row],[Author]]="",TRUE,FALSE)</f>
        <v>0</v>
      </c>
      <c r="Q487" s="2" t="b">
        <f>IF(Table1938[[#This Row],[DOI]]&lt;&gt;"", FALSE,TRUE)</f>
        <v>0</v>
      </c>
      <c r="R487" s="2" t="b">
        <f>IF(Table1938[[#This Row],[Abstract]]="",TRUE,FALSE)</f>
        <v>0</v>
      </c>
      <c r="S487" s="2" t="b">
        <f>IF(OR(Table1938[[#This Row],[Document Type]]="book",Table1938[[#This Row],[Document Type]]="bookSection"),TRUE,FALSE)</f>
        <v>0</v>
      </c>
      <c r="T487" s="2" t="b">
        <f>NOT(IF(OR(Table1938[[#This Row],[Language]]&lt;&gt;"en",Table1938[[#This Row],[Language]]&lt;&gt;"EN",Table1938[[#This Row],[Language]]&lt;&gt;"spa",Table1938[[#This Row],[Language]]&lt;&gt;"SPA"),TRUE,FALSE))</f>
        <v>0</v>
      </c>
      <c r="U487" s="2" t="b">
        <f>IF(AND(Table1938[[#This Row],[EC-01]]=FALSE,Table1938[[#This Row],[EC-02]]=FALSE,Table1938[[#This Row],[EC-03]]=FALSE,Table1938[[#This Row],[EC-04]]=FALSE,Table1938[[#This Row],[EC-05]]=FALSE,Table1938[[#This Row],[EC-06]]=FALSE),TRUE,FALSE)</f>
        <v>1</v>
      </c>
      <c r="V487" s="2" t="b">
        <f>IF(Table1938[[#This Row],[Date]]&lt;&gt;"",AND(YEAR(Table1938[[#This Row],[Date]])&gt;=2010, YEAR(Table1938[[#This Row],[Date]])&lt;=2024),FALSE)</f>
        <v>1</v>
      </c>
      <c r="W487" s="2" t="b">
        <f>IF(Table1938[[#This Row],[Date]]&lt;&gt;"",AND(YEAR(Table1938[[#This Row],[Date]])&gt;=2010, YEAR(Table1938[[#This Row],[Date]])&lt;=2020),FALSE)</f>
        <v>0</v>
      </c>
      <c r="X487" s="2" t="b">
        <f>IF(AND(Table1938[[#This Row],[Accesible]]=TRUE,Table1938[[#This Row],[DOI]]&lt;&gt;""),TRUE,FALSE)</f>
        <v>1</v>
      </c>
      <c r="Y487" s="2" t="b">
        <f>OR(Table1938[[#This Row],[Document Type]]="journalArticle",Table1938[[#This Row],[Document Type]]="conferencePaper",Table1938[[#This Row],[Document Type]]="review")</f>
        <v>1</v>
      </c>
      <c r="Z487" s="2" t="b" cm="1">
        <f t="array" ref="Z487">SUMPRODUCT(--ISNUMBER(SEARCH({"dimensional analysis","dimensionless coefficients","Π","Pi","theorem","software","design","tools","development","architecture","similar"}, LOWER(Table1938[[#This Row],[Title]]))))&gt;0</f>
        <v>0</v>
      </c>
      <c r="AA487" s="2" t="b" cm="1">
        <f t="array" ref="AA487">SUMPRODUCT(--ISNUMBER(SEARCH({"dimensional analysis","dimensionless coefficients","Π","Pi","theorem","software","design","tools","development","architecture","similar"}, LOWER(Table1938[[#This Row],[Abstract]]))))&gt;0</f>
        <v>1</v>
      </c>
      <c r="AB487" s="2" t="b">
        <f>AND(OR(Table1938[[#This Row],[IC-01 @2024]:[IC-01 @2020]])=TRUE,Table1938[[#This Row],[IC-02]]=TRUE,Table1938[[#This Row],[IC-03]]=TRUE,Table1938[[#This Row],[IC-04]]=TRUE,Table1938[[#This Row],[IC-05]]=TRUE)</f>
        <v>0</v>
      </c>
      <c r="AC487" s="2" t="b">
        <f>AND(Table1938[[#This Row],[Pass-IC]]=TRUE,Table1938[[#This Row],[Pass-EC]]=TRUE)</f>
        <v>0</v>
      </c>
      <c r="AD487" s="2" t="b">
        <f>COUNTIF($D$25:D487, Table1938[[#This Row],[Title]]) = 1</f>
        <v>1</v>
      </c>
      <c r="AE487" s="2" t="b">
        <f>AND(Table1938[[#This Row],[IC + EC]:[Unique]])</f>
        <v>0</v>
      </c>
      <c r="AF487" s="2" t="b">
        <v>0</v>
      </c>
      <c r="AG487" s="2" t="b">
        <v>0</v>
      </c>
      <c r="AH487" s="2" t="b">
        <v>0</v>
      </c>
      <c r="AI487" s="2" t="b">
        <f>IF(AND(Table1938[[#This Row],[Double Check]]=TRUE,Table1938[[#This Row],[Inspected]]=TRUE,Table1938[[#This Row],[Relevant]]=TRUE),TRUE,FALSE)</f>
        <v>0</v>
      </c>
    </row>
    <row r="488" spans="1:35" ht="43" x14ac:dyDescent="0.5">
      <c r="A488" s="2">
        <v>487</v>
      </c>
      <c r="B488" s="20" t="s">
        <v>3</v>
      </c>
      <c r="C488" s="20" t="s">
        <v>3708</v>
      </c>
      <c r="D488" s="20" t="s">
        <v>1161</v>
      </c>
      <c r="E488" s="20" t="s">
        <v>1160</v>
      </c>
      <c r="F488" s="2" t="s">
        <v>1163</v>
      </c>
      <c r="G488" s="20" t="s">
        <v>916</v>
      </c>
      <c r="H488" s="36">
        <v>40634</v>
      </c>
      <c r="I488" s="20">
        <v>2011</v>
      </c>
      <c r="J488" s="20" t="s">
        <v>61</v>
      </c>
      <c r="K488" s="20" t="s">
        <v>3709</v>
      </c>
      <c r="L488" s="20" t="s">
        <v>2515</v>
      </c>
      <c r="M488" s="20" t="s">
        <v>1162</v>
      </c>
      <c r="N488" s="20" t="b">
        <v>1</v>
      </c>
      <c r="O488" s="2" t="b">
        <f>IF(Table1938[[#This Row],[Title]]="",TRUE,FALSE)</f>
        <v>0</v>
      </c>
      <c r="P488" s="2" t="b">
        <f>IF(Table1938[[#This Row],[Author]]="",TRUE,FALSE)</f>
        <v>0</v>
      </c>
      <c r="Q488" s="2" t="b">
        <f>IF(Table1938[[#This Row],[DOI]]&lt;&gt;"", FALSE,TRUE)</f>
        <v>0</v>
      </c>
      <c r="R488" s="2" t="b">
        <f>IF(Table1938[[#This Row],[Abstract]]="",TRUE,FALSE)</f>
        <v>0</v>
      </c>
      <c r="S488" s="2" t="b">
        <f>IF(OR(Table1938[[#This Row],[Document Type]]="book",Table1938[[#This Row],[Document Type]]="bookSection"),TRUE,FALSE)</f>
        <v>0</v>
      </c>
      <c r="T488" s="2" t="b">
        <f>NOT(IF(OR(Table1938[[#This Row],[Language]]&lt;&gt;"en",Table1938[[#This Row],[Language]]&lt;&gt;"EN",Table1938[[#This Row],[Language]]&lt;&gt;"spa",Table1938[[#This Row],[Language]]&lt;&gt;"SPA"),TRUE,FALSE))</f>
        <v>0</v>
      </c>
      <c r="U488" s="2" t="b">
        <f>IF(AND(Table1938[[#This Row],[EC-01]]=FALSE,Table1938[[#This Row],[EC-02]]=FALSE,Table1938[[#This Row],[EC-03]]=FALSE,Table1938[[#This Row],[EC-04]]=FALSE,Table1938[[#This Row],[EC-05]]=FALSE,Table1938[[#This Row],[EC-06]]=FALSE),TRUE,FALSE)</f>
        <v>1</v>
      </c>
      <c r="V488" s="2" t="b">
        <f>IF(Table1938[[#This Row],[Date]]&lt;&gt;"",AND(YEAR(Table1938[[#This Row],[Date]])&gt;=2010, YEAR(Table1938[[#This Row],[Date]])&lt;=2024),FALSE)</f>
        <v>1</v>
      </c>
      <c r="W488" s="2" t="b">
        <f>IF(Table1938[[#This Row],[Date]]&lt;&gt;"",AND(YEAR(Table1938[[#This Row],[Date]])&gt;=2010, YEAR(Table1938[[#This Row],[Date]])&lt;=2020),FALSE)</f>
        <v>1</v>
      </c>
      <c r="X488" s="2" t="b">
        <f>IF(AND(Table1938[[#This Row],[Accesible]]=TRUE,Table1938[[#This Row],[DOI]]&lt;&gt;""),TRUE,FALSE)</f>
        <v>1</v>
      </c>
      <c r="Y488" s="2" t="b">
        <f>OR(Table1938[[#This Row],[Document Type]]="journalArticle",Table1938[[#This Row],[Document Type]]="conferencePaper",Table1938[[#This Row],[Document Type]]="review")</f>
        <v>1</v>
      </c>
      <c r="Z488" s="2" t="b" cm="1">
        <f t="array" ref="Z488">SUMPRODUCT(--ISNUMBER(SEARCH({"dimensional analysis","dimensionless coefficients","Π","Pi","theorem","software","design","tools","development","architecture","similar"}, LOWER(Table1938[[#This Row],[Title]]))))&gt;0</f>
        <v>1</v>
      </c>
      <c r="AA488" s="2" t="b" cm="1">
        <f t="array" ref="AA488">SUMPRODUCT(--ISNUMBER(SEARCH({"dimensional analysis","dimensionless coefficients","Π","Pi","theorem","software","design","tools","development","architecture","similar"}, LOWER(Table1938[[#This Row],[Abstract]]))))&gt;0</f>
        <v>1</v>
      </c>
      <c r="AB488" s="2" t="b">
        <f>AND(OR(Table1938[[#This Row],[IC-01 @2024]:[IC-01 @2020]])=TRUE,Table1938[[#This Row],[IC-02]]=TRUE,Table1938[[#This Row],[IC-03]]=TRUE,Table1938[[#This Row],[IC-04]]=TRUE,Table1938[[#This Row],[IC-05]]=TRUE)</f>
        <v>1</v>
      </c>
      <c r="AC488" s="2" t="b">
        <f>AND(Table1938[[#This Row],[Pass-IC]]=TRUE,Table1938[[#This Row],[Pass-EC]]=TRUE)</f>
        <v>1</v>
      </c>
      <c r="AD488" s="2" t="b">
        <f>COUNTIF($D$25:D488, Table1938[[#This Row],[Title]]) = 1</f>
        <v>1</v>
      </c>
      <c r="AE488" s="2" t="b">
        <f>AND(Table1938[[#This Row],[IC + EC]:[Unique]])</f>
        <v>1</v>
      </c>
      <c r="AF488" s="2" t="b">
        <v>1</v>
      </c>
      <c r="AG488" s="2" t="b">
        <v>0</v>
      </c>
      <c r="AH488" s="2" t="b">
        <v>0</v>
      </c>
      <c r="AI488" s="2" t="b">
        <f>IF(AND(Table1938[[#This Row],[Double Check]]=TRUE,Table1938[[#This Row],[Inspected]]=TRUE,Table1938[[#This Row],[Relevant]]=TRUE),TRUE,FALSE)</f>
        <v>0</v>
      </c>
    </row>
    <row r="489" spans="1:35" ht="57.35" x14ac:dyDescent="0.5">
      <c r="A489" s="2">
        <v>488</v>
      </c>
      <c r="B489" s="20" t="s">
        <v>3</v>
      </c>
      <c r="C489" s="20" t="s">
        <v>3710</v>
      </c>
      <c r="D489" s="20" t="s">
        <v>1013</v>
      </c>
      <c r="E489" s="20" t="s">
        <v>340</v>
      </c>
      <c r="F489" s="2" t="s">
        <v>1011</v>
      </c>
      <c r="G489" s="20" t="s">
        <v>1010</v>
      </c>
      <c r="H489" s="36">
        <v>41730</v>
      </c>
      <c r="I489" s="20">
        <v>2014</v>
      </c>
      <c r="J489" s="20" t="s">
        <v>61</v>
      </c>
      <c r="K489" s="20" t="s">
        <v>3711</v>
      </c>
      <c r="L489" s="20" t="s">
        <v>2515</v>
      </c>
      <c r="M489" s="20" t="s">
        <v>1012</v>
      </c>
      <c r="N489" s="20" t="b">
        <v>1</v>
      </c>
      <c r="O489" s="2" t="b">
        <f>IF(Table1938[[#This Row],[Title]]="",TRUE,FALSE)</f>
        <v>0</v>
      </c>
      <c r="P489" s="2" t="b">
        <f>IF(Table1938[[#This Row],[Author]]="",TRUE,FALSE)</f>
        <v>0</v>
      </c>
      <c r="Q489" s="2" t="b">
        <f>IF(Table1938[[#This Row],[DOI]]&lt;&gt;"", FALSE,TRUE)</f>
        <v>0</v>
      </c>
      <c r="R489" s="2" t="b">
        <f>IF(Table1938[[#This Row],[Abstract]]="",TRUE,FALSE)</f>
        <v>0</v>
      </c>
      <c r="S489" s="2" t="b">
        <f>IF(OR(Table1938[[#This Row],[Document Type]]="book",Table1938[[#This Row],[Document Type]]="bookSection"),TRUE,FALSE)</f>
        <v>0</v>
      </c>
      <c r="T489" s="2" t="b">
        <f>NOT(IF(OR(Table1938[[#This Row],[Language]]&lt;&gt;"en",Table1938[[#This Row],[Language]]&lt;&gt;"EN",Table1938[[#This Row],[Language]]&lt;&gt;"spa",Table1938[[#This Row],[Language]]&lt;&gt;"SPA"),TRUE,FALSE))</f>
        <v>0</v>
      </c>
      <c r="U489" s="2" t="b">
        <f>IF(AND(Table1938[[#This Row],[EC-01]]=FALSE,Table1938[[#This Row],[EC-02]]=FALSE,Table1938[[#This Row],[EC-03]]=FALSE,Table1938[[#This Row],[EC-04]]=FALSE,Table1938[[#This Row],[EC-05]]=FALSE,Table1938[[#This Row],[EC-06]]=FALSE),TRUE,FALSE)</f>
        <v>1</v>
      </c>
      <c r="V489" s="2" t="b">
        <f>IF(Table1938[[#This Row],[Date]]&lt;&gt;"",AND(YEAR(Table1938[[#This Row],[Date]])&gt;=2010, YEAR(Table1938[[#This Row],[Date]])&lt;=2024),FALSE)</f>
        <v>1</v>
      </c>
      <c r="W489" s="2" t="b">
        <f>IF(Table1938[[#This Row],[Date]]&lt;&gt;"",AND(YEAR(Table1938[[#This Row],[Date]])&gt;=2010, YEAR(Table1938[[#This Row],[Date]])&lt;=2020),FALSE)</f>
        <v>1</v>
      </c>
      <c r="X489" s="2" t="b">
        <f>IF(AND(Table1938[[#This Row],[Accesible]]=TRUE,Table1938[[#This Row],[DOI]]&lt;&gt;""),TRUE,FALSE)</f>
        <v>1</v>
      </c>
      <c r="Y489" s="2" t="b">
        <f>OR(Table1938[[#This Row],[Document Type]]="journalArticle",Table1938[[#This Row],[Document Type]]="conferencePaper",Table1938[[#This Row],[Document Type]]="review")</f>
        <v>1</v>
      </c>
      <c r="Z489" s="2" t="b" cm="1">
        <f t="array" ref="Z489">SUMPRODUCT(--ISNUMBER(SEARCH({"dimensional analysis","dimensionless coefficients","Π","Pi","theorem","software","design","tools","development","architecture","similar"}, LOWER(Table1938[[#This Row],[Title]]))))&gt;0</f>
        <v>1</v>
      </c>
      <c r="AA489" s="2" t="b" cm="1">
        <f t="array" ref="AA489">SUMPRODUCT(--ISNUMBER(SEARCH({"dimensional analysis","dimensionless coefficients","Π","Pi","theorem","software","design","tools","development","architecture","similar"}, LOWER(Table1938[[#This Row],[Abstract]]))))&gt;0</f>
        <v>1</v>
      </c>
      <c r="AB489" s="2" t="b">
        <f>AND(OR(Table1938[[#This Row],[IC-01 @2024]:[IC-01 @2020]])=TRUE,Table1938[[#This Row],[IC-02]]=TRUE,Table1938[[#This Row],[IC-03]]=TRUE,Table1938[[#This Row],[IC-04]]=TRUE,Table1938[[#This Row],[IC-05]]=TRUE)</f>
        <v>1</v>
      </c>
      <c r="AC489" s="2" t="b">
        <f>AND(Table1938[[#This Row],[Pass-IC]]=TRUE,Table1938[[#This Row],[Pass-EC]]=TRUE)</f>
        <v>1</v>
      </c>
      <c r="AD489" s="2" t="b">
        <f>COUNTIF($D$25:D489, Table1938[[#This Row],[Title]]) = 1</f>
        <v>1</v>
      </c>
      <c r="AE489" s="2" t="b">
        <f>AND(Table1938[[#This Row],[IC + EC]:[Unique]])</f>
        <v>1</v>
      </c>
      <c r="AF489" s="2" t="b">
        <v>1</v>
      </c>
      <c r="AG489" s="2" t="b">
        <v>0</v>
      </c>
      <c r="AH489" s="2" t="b">
        <v>0</v>
      </c>
      <c r="AI489" s="2" t="b">
        <f>IF(AND(Table1938[[#This Row],[Double Check]]=TRUE,Table1938[[#This Row],[Inspected]]=TRUE,Table1938[[#This Row],[Relevant]]=TRUE),TRUE,FALSE)</f>
        <v>0</v>
      </c>
    </row>
    <row r="490" spans="1:35" ht="71.7" x14ac:dyDescent="0.5">
      <c r="A490" s="2">
        <v>489</v>
      </c>
      <c r="B490" s="20" t="s">
        <v>3</v>
      </c>
      <c r="C490" s="20" t="s">
        <v>3712</v>
      </c>
      <c r="D490" s="20" t="s">
        <v>1599</v>
      </c>
      <c r="E490" s="20" t="s">
        <v>1598</v>
      </c>
      <c r="F490" s="2" t="s">
        <v>1601</v>
      </c>
      <c r="G490" s="20" t="s">
        <v>982</v>
      </c>
      <c r="H490" s="36">
        <v>43831</v>
      </c>
      <c r="I490" s="20">
        <v>2020</v>
      </c>
      <c r="J490" s="20" t="s">
        <v>61</v>
      </c>
      <c r="K490" s="20" t="s">
        <v>3713</v>
      </c>
      <c r="L490" s="20" t="s">
        <v>2515</v>
      </c>
      <c r="M490" s="20" t="s">
        <v>1600</v>
      </c>
      <c r="N490" s="20" t="b">
        <v>1</v>
      </c>
      <c r="O490" s="2" t="b">
        <f>IF(Table1938[[#This Row],[Title]]="",TRUE,FALSE)</f>
        <v>0</v>
      </c>
      <c r="P490" s="2" t="b">
        <f>IF(Table1938[[#This Row],[Author]]="",TRUE,FALSE)</f>
        <v>0</v>
      </c>
      <c r="Q490" s="2" t="b">
        <f>IF(Table1938[[#This Row],[DOI]]&lt;&gt;"", FALSE,TRUE)</f>
        <v>0</v>
      </c>
      <c r="R490" s="2" t="b">
        <f>IF(Table1938[[#This Row],[Abstract]]="",TRUE,FALSE)</f>
        <v>0</v>
      </c>
      <c r="S490" s="2" t="b">
        <f>IF(OR(Table1938[[#This Row],[Document Type]]="book",Table1938[[#This Row],[Document Type]]="bookSection"),TRUE,FALSE)</f>
        <v>0</v>
      </c>
      <c r="T490" s="2" t="b">
        <f>NOT(IF(OR(Table1938[[#This Row],[Language]]&lt;&gt;"en",Table1938[[#This Row],[Language]]&lt;&gt;"EN",Table1938[[#This Row],[Language]]&lt;&gt;"spa",Table1938[[#This Row],[Language]]&lt;&gt;"SPA"),TRUE,FALSE))</f>
        <v>0</v>
      </c>
      <c r="U490" s="2" t="b">
        <f>IF(AND(Table1938[[#This Row],[EC-01]]=FALSE,Table1938[[#This Row],[EC-02]]=FALSE,Table1938[[#This Row],[EC-03]]=FALSE,Table1938[[#This Row],[EC-04]]=FALSE,Table1938[[#This Row],[EC-05]]=FALSE,Table1938[[#This Row],[EC-06]]=FALSE),TRUE,FALSE)</f>
        <v>1</v>
      </c>
      <c r="V490" s="2" t="b">
        <f>IF(Table1938[[#This Row],[Date]]&lt;&gt;"",AND(YEAR(Table1938[[#This Row],[Date]])&gt;=2010, YEAR(Table1938[[#This Row],[Date]])&lt;=2024),FALSE)</f>
        <v>1</v>
      </c>
      <c r="W490" s="2" t="b">
        <f>IF(Table1938[[#This Row],[Date]]&lt;&gt;"",AND(YEAR(Table1938[[#This Row],[Date]])&gt;=2010, YEAR(Table1938[[#This Row],[Date]])&lt;=2020),FALSE)</f>
        <v>1</v>
      </c>
      <c r="X490" s="2" t="b">
        <f>IF(AND(Table1938[[#This Row],[Accesible]]=TRUE,Table1938[[#This Row],[DOI]]&lt;&gt;""),TRUE,FALSE)</f>
        <v>1</v>
      </c>
      <c r="Y490" s="2" t="b">
        <f>OR(Table1938[[#This Row],[Document Type]]="journalArticle",Table1938[[#This Row],[Document Type]]="conferencePaper",Table1938[[#This Row],[Document Type]]="review")</f>
        <v>1</v>
      </c>
      <c r="Z490" s="2" t="b" cm="1">
        <f t="array" ref="Z490">SUMPRODUCT(--ISNUMBER(SEARCH({"dimensional analysis","dimensionless coefficients","Π","Pi","theorem","software","design","tools","development","architecture","similar"}, LOWER(Table1938[[#This Row],[Title]]))))&gt;0</f>
        <v>0</v>
      </c>
      <c r="AA490" s="2" t="b" cm="1">
        <f t="array" ref="AA490">SUMPRODUCT(--ISNUMBER(SEARCH({"dimensional analysis","dimensionless coefficients","Π","Pi","theorem","software","design","tools","development","architecture","similar"}, LOWER(Table1938[[#This Row],[Abstract]]))))&gt;0</f>
        <v>1</v>
      </c>
      <c r="AB490" s="2" t="b">
        <f>AND(OR(Table1938[[#This Row],[IC-01 @2024]:[IC-01 @2020]])=TRUE,Table1938[[#This Row],[IC-02]]=TRUE,Table1938[[#This Row],[IC-03]]=TRUE,Table1938[[#This Row],[IC-04]]=TRUE,Table1938[[#This Row],[IC-05]]=TRUE)</f>
        <v>0</v>
      </c>
      <c r="AC490" s="2" t="b">
        <f>AND(Table1938[[#This Row],[Pass-IC]]=TRUE,Table1938[[#This Row],[Pass-EC]]=TRUE)</f>
        <v>0</v>
      </c>
      <c r="AD490" s="2" t="b">
        <f>COUNTIF($D$25:D490, Table1938[[#This Row],[Title]]) = 1</f>
        <v>1</v>
      </c>
      <c r="AE490" s="2" t="b">
        <f>AND(Table1938[[#This Row],[IC + EC]:[Unique]])</f>
        <v>0</v>
      </c>
      <c r="AF490" s="2" t="b">
        <v>0</v>
      </c>
      <c r="AG490" s="2" t="b">
        <v>0</v>
      </c>
      <c r="AH490" s="2" t="b">
        <v>0</v>
      </c>
      <c r="AI490" s="2" t="b">
        <f>IF(AND(Table1938[[#This Row],[Double Check]]=TRUE,Table1938[[#This Row],[Inspected]]=TRUE,Table1938[[#This Row],[Relevant]]=TRUE),TRUE,FALSE)</f>
        <v>0</v>
      </c>
    </row>
    <row r="491" spans="1:35" ht="28.7" x14ac:dyDescent="0.5">
      <c r="A491" s="2">
        <v>490</v>
      </c>
      <c r="B491" s="20" t="s">
        <v>3</v>
      </c>
      <c r="C491" s="20" t="s">
        <v>3714</v>
      </c>
      <c r="D491" s="20" t="s">
        <v>2072</v>
      </c>
      <c r="E491" s="20" t="s">
        <v>2071</v>
      </c>
      <c r="F491" s="2" t="s">
        <v>2074</v>
      </c>
      <c r="G491" s="20" t="s">
        <v>929</v>
      </c>
      <c r="H491" s="36">
        <v>44166</v>
      </c>
      <c r="I491" s="20">
        <v>2020</v>
      </c>
      <c r="J491" s="20" t="s">
        <v>61</v>
      </c>
      <c r="K491" s="20" t="s">
        <v>3715</v>
      </c>
      <c r="L491" s="20" t="s">
        <v>2515</v>
      </c>
      <c r="M491" s="20" t="s">
        <v>2073</v>
      </c>
      <c r="N491" s="20" t="b">
        <v>1</v>
      </c>
      <c r="O491" s="2" t="b">
        <f>IF(Table1938[[#This Row],[Title]]="",TRUE,FALSE)</f>
        <v>0</v>
      </c>
      <c r="P491" s="2" t="b">
        <f>IF(Table1938[[#This Row],[Author]]="",TRUE,FALSE)</f>
        <v>0</v>
      </c>
      <c r="Q491" s="2" t="b">
        <f>IF(Table1938[[#This Row],[DOI]]&lt;&gt;"", FALSE,TRUE)</f>
        <v>0</v>
      </c>
      <c r="R491" s="2" t="b">
        <f>IF(Table1938[[#This Row],[Abstract]]="",TRUE,FALSE)</f>
        <v>0</v>
      </c>
      <c r="S491" s="2" t="b">
        <f>IF(OR(Table1938[[#This Row],[Document Type]]="book",Table1938[[#This Row],[Document Type]]="bookSection"),TRUE,FALSE)</f>
        <v>0</v>
      </c>
      <c r="T491" s="2" t="b">
        <f>NOT(IF(OR(Table1938[[#This Row],[Language]]&lt;&gt;"en",Table1938[[#This Row],[Language]]&lt;&gt;"EN",Table1938[[#This Row],[Language]]&lt;&gt;"spa",Table1938[[#This Row],[Language]]&lt;&gt;"SPA"),TRUE,FALSE))</f>
        <v>0</v>
      </c>
      <c r="U491" s="2" t="b">
        <f>IF(AND(Table1938[[#This Row],[EC-01]]=FALSE,Table1938[[#This Row],[EC-02]]=FALSE,Table1938[[#This Row],[EC-03]]=FALSE,Table1938[[#This Row],[EC-04]]=FALSE,Table1938[[#This Row],[EC-05]]=FALSE,Table1938[[#This Row],[EC-06]]=FALSE),TRUE,FALSE)</f>
        <v>1</v>
      </c>
      <c r="V491" s="2" t="b">
        <f>IF(Table1938[[#This Row],[Date]]&lt;&gt;"",AND(YEAR(Table1938[[#This Row],[Date]])&gt;=2010, YEAR(Table1938[[#This Row],[Date]])&lt;=2024),FALSE)</f>
        <v>1</v>
      </c>
      <c r="W491" s="2" t="b">
        <f>IF(Table1938[[#This Row],[Date]]&lt;&gt;"",AND(YEAR(Table1938[[#This Row],[Date]])&gt;=2010, YEAR(Table1938[[#This Row],[Date]])&lt;=2020),FALSE)</f>
        <v>1</v>
      </c>
      <c r="X491" s="2" t="b">
        <f>IF(AND(Table1938[[#This Row],[Accesible]]=TRUE,Table1938[[#This Row],[DOI]]&lt;&gt;""),TRUE,FALSE)</f>
        <v>1</v>
      </c>
      <c r="Y491" s="2" t="b">
        <f>OR(Table1938[[#This Row],[Document Type]]="journalArticle",Table1938[[#This Row],[Document Type]]="conferencePaper",Table1938[[#This Row],[Document Type]]="review")</f>
        <v>1</v>
      </c>
      <c r="Z491" s="2" t="b" cm="1">
        <f t="array" ref="Z491">SUMPRODUCT(--ISNUMBER(SEARCH({"dimensional analysis","dimensionless coefficients","Π","Pi","theorem","software","design","tools","development","architecture","similar"}, LOWER(Table1938[[#This Row],[Title]]))))&gt;0</f>
        <v>1</v>
      </c>
      <c r="AA491" s="2" t="b" cm="1">
        <f t="array" ref="AA491">SUMPRODUCT(--ISNUMBER(SEARCH({"dimensional analysis","dimensionless coefficients","Π","Pi","theorem","software","design","tools","development","architecture","similar"}, LOWER(Table1938[[#This Row],[Abstract]]))))&gt;0</f>
        <v>1</v>
      </c>
      <c r="AB491" s="2" t="b">
        <f>AND(OR(Table1938[[#This Row],[IC-01 @2024]:[IC-01 @2020]])=TRUE,Table1938[[#This Row],[IC-02]]=TRUE,Table1938[[#This Row],[IC-03]]=TRUE,Table1938[[#This Row],[IC-04]]=TRUE,Table1938[[#This Row],[IC-05]]=TRUE)</f>
        <v>1</v>
      </c>
      <c r="AC491" s="2" t="b">
        <f>AND(Table1938[[#This Row],[Pass-IC]]=TRUE,Table1938[[#This Row],[Pass-EC]]=TRUE)</f>
        <v>1</v>
      </c>
      <c r="AD491" s="2" t="b">
        <f>COUNTIF($D$25:D491, Table1938[[#This Row],[Title]]) = 1</f>
        <v>1</v>
      </c>
      <c r="AE491" s="2" t="b">
        <f>AND(Table1938[[#This Row],[IC + EC]:[Unique]])</f>
        <v>1</v>
      </c>
      <c r="AF491" s="2" t="b">
        <v>1</v>
      </c>
      <c r="AG491" s="2" t="b">
        <v>0</v>
      </c>
      <c r="AH491" s="2" t="b">
        <v>0</v>
      </c>
      <c r="AI491" s="2" t="b">
        <f>IF(AND(Table1938[[#This Row],[Double Check]]=TRUE,Table1938[[#This Row],[Inspected]]=TRUE,Table1938[[#This Row],[Relevant]]=TRUE),TRUE,FALSE)</f>
        <v>0</v>
      </c>
    </row>
    <row r="492" spans="1:35" ht="43" x14ac:dyDescent="0.5">
      <c r="A492" s="2">
        <v>491</v>
      </c>
      <c r="B492" s="20" t="s">
        <v>3</v>
      </c>
      <c r="C492" s="20" t="s">
        <v>3716</v>
      </c>
      <c r="D492" s="20" t="s">
        <v>2244</v>
      </c>
      <c r="E492" s="20" t="s">
        <v>2243</v>
      </c>
      <c r="F492" s="2" t="s">
        <v>2246</v>
      </c>
      <c r="G492" s="20" t="s">
        <v>1002</v>
      </c>
      <c r="H492" s="36">
        <v>44166</v>
      </c>
      <c r="I492" s="20">
        <v>2020</v>
      </c>
      <c r="J492" s="20" t="s">
        <v>61</v>
      </c>
      <c r="K492" s="20" t="s">
        <v>123</v>
      </c>
      <c r="L492" s="20" t="s">
        <v>2515</v>
      </c>
      <c r="M492" s="20" t="s">
        <v>2245</v>
      </c>
      <c r="N492" s="20" t="b">
        <v>1</v>
      </c>
      <c r="O492" s="2" t="b">
        <f>IF(Table1938[[#This Row],[Title]]="",TRUE,FALSE)</f>
        <v>0</v>
      </c>
      <c r="P492" s="2" t="b">
        <f>IF(Table1938[[#This Row],[Author]]="",TRUE,FALSE)</f>
        <v>0</v>
      </c>
      <c r="Q492" s="2" t="b">
        <f>IF(Table1938[[#This Row],[DOI]]&lt;&gt;"", FALSE,TRUE)</f>
        <v>0</v>
      </c>
      <c r="R492" s="2" t="b">
        <f>IF(Table1938[[#This Row],[Abstract]]="",TRUE,FALSE)</f>
        <v>0</v>
      </c>
      <c r="S492" s="2" t="b">
        <f>IF(OR(Table1938[[#This Row],[Document Type]]="book",Table1938[[#This Row],[Document Type]]="bookSection"),TRUE,FALSE)</f>
        <v>0</v>
      </c>
      <c r="T492" s="2" t="b">
        <f>NOT(IF(OR(Table1938[[#This Row],[Language]]&lt;&gt;"en",Table1938[[#This Row],[Language]]&lt;&gt;"EN",Table1938[[#This Row],[Language]]&lt;&gt;"spa",Table1938[[#This Row],[Language]]&lt;&gt;"SPA"),TRUE,FALSE))</f>
        <v>0</v>
      </c>
      <c r="U492" s="2" t="b">
        <f>IF(AND(Table1938[[#This Row],[EC-01]]=FALSE,Table1938[[#This Row],[EC-02]]=FALSE,Table1938[[#This Row],[EC-03]]=FALSE,Table1938[[#This Row],[EC-04]]=FALSE,Table1938[[#This Row],[EC-05]]=FALSE,Table1938[[#This Row],[EC-06]]=FALSE),TRUE,FALSE)</f>
        <v>1</v>
      </c>
      <c r="V492" s="2" t="b">
        <f>IF(Table1938[[#This Row],[Date]]&lt;&gt;"",AND(YEAR(Table1938[[#This Row],[Date]])&gt;=2010, YEAR(Table1938[[#This Row],[Date]])&lt;=2024),FALSE)</f>
        <v>1</v>
      </c>
      <c r="W492" s="2" t="b">
        <f>IF(Table1938[[#This Row],[Date]]&lt;&gt;"",AND(YEAR(Table1938[[#This Row],[Date]])&gt;=2010, YEAR(Table1938[[#This Row],[Date]])&lt;=2020),FALSE)</f>
        <v>1</v>
      </c>
      <c r="X492" s="2" t="b">
        <f>IF(AND(Table1938[[#This Row],[Accesible]]=TRUE,Table1938[[#This Row],[DOI]]&lt;&gt;""),TRUE,FALSE)</f>
        <v>1</v>
      </c>
      <c r="Y492" s="2" t="b">
        <f>OR(Table1938[[#This Row],[Document Type]]="journalArticle",Table1938[[#This Row],[Document Type]]="conferencePaper",Table1938[[#This Row],[Document Type]]="review")</f>
        <v>1</v>
      </c>
      <c r="Z492" s="2" t="b" cm="1">
        <f t="array" ref="Z492">SUMPRODUCT(--ISNUMBER(SEARCH({"dimensional analysis","dimensionless coefficients","Π","Pi","theorem","software","design","tools","development","architecture","similar"}, LOWER(Table1938[[#This Row],[Title]]))))&gt;0</f>
        <v>1</v>
      </c>
      <c r="AA492" s="2" t="b" cm="1">
        <f t="array" ref="AA492">SUMPRODUCT(--ISNUMBER(SEARCH({"dimensional analysis","dimensionless coefficients","Π","Pi","theorem","software","design","tools","development","architecture","similar"}, LOWER(Table1938[[#This Row],[Abstract]]))))&gt;0</f>
        <v>1</v>
      </c>
      <c r="AB492" s="2" t="b">
        <f>AND(OR(Table1938[[#This Row],[IC-01 @2024]:[IC-01 @2020]])=TRUE,Table1938[[#This Row],[IC-02]]=TRUE,Table1938[[#This Row],[IC-03]]=TRUE,Table1938[[#This Row],[IC-04]]=TRUE,Table1938[[#This Row],[IC-05]]=TRUE)</f>
        <v>1</v>
      </c>
      <c r="AC492" s="2" t="b">
        <f>AND(Table1938[[#This Row],[Pass-IC]]=TRUE,Table1938[[#This Row],[Pass-EC]]=TRUE)</f>
        <v>1</v>
      </c>
      <c r="AD492" s="2" t="b">
        <f>COUNTIF($D$25:D492, Table1938[[#This Row],[Title]]) = 1</f>
        <v>1</v>
      </c>
      <c r="AE492" s="2" t="b">
        <f>AND(Table1938[[#This Row],[IC + EC]:[Unique]])</f>
        <v>1</v>
      </c>
      <c r="AF492" s="2" t="b">
        <v>1</v>
      </c>
      <c r="AG492" s="2" t="b">
        <v>0</v>
      </c>
      <c r="AH492" s="2" t="b">
        <v>0</v>
      </c>
      <c r="AI492" s="2" t="b">
        <f>IF(AND(Table1938[[#This Row],[Double Check]]=TRUE,Table1938[[#This Row],[Inspected]]=TRUE,Table1938[[#This Row],[Relevant]]=TRUE),TRUE,FALSE)</f>
        <v>0</v>
      </c>
    </row>
    <row r="493" spans="1:35" ht="57.35" x14ac:dyDescent="0.5">
      <c r="A493" s="2">
        <v>492</v>
      </c>
      <c r="B493" s="20" t="s">
        <v>3</v>
      </c>
      <c r="C493" s="20" t="s">
        <v>3717</v>
      </c>
      <c r="D493" s="20" t="s">
        <v>2266</v>
      </c>
      <c r="E493" s="20" t="s">
        <v>2265</v>
      </c>
      <c r="F493" s="2" t="s">
        <v>2268</v>
      </c>
      <c r="G493" s="20" t="s">
        <v>1122</v>
      </c>
      <c r="H493" s="36">
        <v>43525</v>
      </c>
      <c r="I493" s="20">
        <v>2019</v>
      </c>
      <c r="J493" s="20" t="s">
        <v>61</v>
      </c>
      <c r="K493" s="20" t="s">
        <v>3718</v>
      </c>
      <c r="L493" s="20" t="s">
        <v>2515</v>
      </c>
      <c r="M493" s="20" t="s">
        <v>2267</v>
      </c>
      <c r="N493" s="20" t="b">
        <v>1</v>
      </c>
      <c r="O493" s="2" t="b">
        <f>IF(Table1938[[#This Row],[Title]]="",TRUE,FALSE)</f>
        <v>0</v>
      </c>
      <c r="P493" s="2" t="b">
        <f>IF(Table1938[[#This Row],[Author]]="",TRUE,FALSE)</f>
        <v>0</v>
      </c>
      <c r="Q493" s="2" t="b">
        <f>IF(Table1938[[#This Row],[DOI]]&lt;&gt;"", FALSE,TRUE)</f>
        <v>0</v>
      </c>
      <c r="R493" s="2" t="b">
        <f>IF(Table1938[[#This Row],[Abstract]]="",TRUE,FALSE)</f>
        <v>0</v>
      </c>
      <c r="S493" s="2" t="b">
        <f>IF(OR(Table1938[[#This Row],[Document Type]]="book",Table1938[[#This Row],[Document Type]]="bookSection"),TRUE,FALSE)</f>
        <v>0</v>
      </c>
      <c r="T493" s="2" t="b">
        <f>NOT(IF(OR(Table1938[[#This Row],[Language]]&lt;&gt;"en",Table1938[[#This Row],[Language]]&lt;&gt;"EN",Table1938[[#This Row],[Language]]&lt;&gt;"spa",Table1938[[#This Row],[Language]]&lt;&gt;"SPA"),TRUE,FALSE))</f>
        <v>0</v>
      </c>
      <c r="U493" s="2" t="b">
        <f>IF(AND(Table1938[[#This Row],[EC-01]]=FALSE,Table1938[[#This Row],[EC-02]]=FALSE,Table1938[[#This Row],[EC-03]]=FALSE,Table1938[[#This Row],[EC-04]]=FALSE,Table1938[[#This Row],[EC-05]]=FALSE,Table1938[[#This Row],[EC-06]]=FALSE),TRUE,FALSE)</f>
        <v>1</v>
      </c>
      <c r="V493" s="2" t="b">
        <f>IF(Table1938[[#This Row],[Date]]&lt;&gt;"",AND(YEAR(Table1938[[#This Row],[Date]])&gt;=2010, YEAR(Table1938[[#This Row],[Date]])&lt;=2024),FALSE)</f>
        <v>1</v>
      </c>
      <c r="W493" s="2" t="b">
        <f>IF(Table1938[[#This Row],[Date]]&lt;&gt;"",AND(YEAR(Table1938[[#This Row],[Date]])&gt;=2010, YEAR(Table1938[[#This Row],[Date]])&lt;=2020),FALSE)</f>
        <v>1</v>
      </c>
      <c r="X493" s="2" t="b">
        <f>IF(AND(Table1938[[#This Row],[Accesible]]=TRUE,Table1938[[#This Row],[DOI]]&lt;&gt;""),TRUE,FALSE)</f>
        <v>1</v>
      </c>
      <c r="Y493" s="2" t="b">
        <f>OR(Table1938[[#This Row],[Document Type]]="journalArticle",Table1938[[#This Row],[Document Type]]="conferencePaper",Table1938[[#This Row],[Document Type]]="review")</f>
        <v>1</v>
      </c>
      <c r="Z493" s="2" t="b" cm="1">
        <f t="array" ref="Z493">SUMPRODUCT(--ISNUMBER(SEARCH({"dimensional analysis","dimensionless coefficients","Π","Pi","theorem","software","design","tools","development","architecture","similar"}, LOWER(Table1938[[#This Row],[Title]]))))&gt;0</f>
        <v>1</v>
      </c>
      <c r="AA493" s="2" t="b" cm="1">
        <f t="array" ref="AA493">SUMPRODUCT(--ISNUMBER(SEARCH({"dimensional analysis","dimensionless coefficients","Π","Pi","theorem","software","design","tools","development","architecture","similar"}, LOWER(Table1938[[#This Row],[Abstract]]))))&gt;0</f>
        <v>1</v>
      </c>
      <c r="AB493" s="2" t="b">
        <f>AND(OR(Table1938[[#This Row],[IC-01 @2024]:[IC-01 @2020]])=TRUE,Table1938[[#This Row],[IC-02]]=TRUE,Table1938[[#This Row],[IC-03]]=TRUE,Table1938[[#This Row],[IC-04]]=TRUE,Table1938[[#This Row],[IC-05]]=TRUE)</f>
        <v>1</v>
      </c>
      <c r="AC493" s="2" t="b">
        <f>AND(Table1938[[#This Row],[Pass-IC]]=TRUE,Table1938[[#This Row],[Pass-EC]]=TRUE)</f>
        <v>1</v>
      </c>
      <c r="AD493" s="2" t="b">
        <f>COUNTIF($D$25:D493, Table1938[[#This Row],[Title]]) = 1</f>
        <v>1</v>
      </c>
      <c r="AE493" s="2" t="b">
        <f>AND(Table1938[[#This Row],[IC + EC]:[Unique]])</f>
        <v>1</v>
      </c>
      <c r="AF493" s="2" t="b">
        <v>1</v>
      </c>
      <c r="AG493" s="2" t="b">
        <v>0</v>
      </c>
      <c r="AH493" s="2" t="b">
        <v>0</v>
      </c>
      <c r="AI493" s="2" t="b">
        <f>IF(AND(Table1938[[#This Row],[Double Check]]=TRUE,Table1938[[#This Row],[Inspected]]=TRUE,Table1938[[#This Row],[Relevant]]=TRUE),TRUE,FALSE)</f>
        <v>0</v>
      </c>
    </row>
    <row r="494" spans="1:35" ht="43" x14ac:dyDescent="0.5">
      <c r="A494" s="2">
        <v>493</v>
      </c>
      <c r="B494" s="20" t="s">
        <v>3</v>
      </c>
      <c r="C494" s="20" t="s">
        <v>3719</v>
      </c>
      <c r="D494" s="20" t="s">
        <v>2315</v>
      </c>
      <c r="E494" s="20" t="s">
        <v>2314</v>
      </c>
      <c r="F494" s="2" t="s">
        <v>2317</v>
      </c>
      <c r="G494" s="20" t="s">
        <v>2017</v>
      </c>
      <c r="H494" s="36">
        <v>42470</v>
      </c>
      <c r="I494" s="20">
        <v>2016</v>
      </c>
      <c r="J494" s="20" t="s">
        <v>61</v>
      </c>
      <c r="K494" s="20" t="s">
        <v>3720</v>
      </c>
      <c r="L494" s="20" t="s">
        <v>2515</v>
      </c>
      <c r="M494" s="20" t="s">
        <v>2316</v>
      </c>
      <c r="N494" s="20" t="b">
        <v>1</v>
      </c>
      <c r="O494" s="2" t="b">
        <f>IF(Table1938[[#This Row],[Title]]="",TRUE,FALSE)</f>
        <v>0</v>
      </c>
      <c r="P494" s="2" t="b">
        <f>IF(Table1938[[#This Row],[Author]]="",TRUE,FALSE)</f>
        <v>0</v>
      </c>
      <c r="Q494" s="2" t="b">
        <f>IF(Table1938[[#This Row],[DOI]]&lt;&gt;"", FALSE,TRUE)</f>
        <v>0</v>
      </c>
      <c r="R494" s="2" t="b">
        <f>IF(Table1938[[#This Row],[Abstract]]="",TRUE,FALSE)</f>
        <v>0</v>
      </c>
      <c r="S494" s="2" t="b">
        <f>IF(OR(Table1938[[#This Row],[Document Type]]="book",Table1938[[#This Row],[Document Type]]="bookSection"),TRUE,FALSE)</f>
        <v>0</v>
      </c>
      <c r="T494" s="2" t="b">
        <f>NOT(IF(OR(Table1938[[#This Row],[Language]]&lt;&gt;"en",Table1938[[#This Row],[Language]]&lt;&gt;"EN",Table1938[[#This Row],[Language]]&lt;&gt;"spa",Table1938[[#This Row],[Language]]&lt;&gt;"SPA"),TRUE,FALSE))</f>
        <v>0</v>
      </c>
      <c r="U494" s="2" t="b">
        <f>IF(AND(Table1938[[#This Row],[EC-01]]=FALSE,Table1938[[#This Row],[EC-02]]=FALSE,Table1938[[#This Row],[EC-03]]=FALSE,Table1938[[#This Row],[EC-04]]=FALSE,Table1938[[#This Row],[EC-05]]=FALSE,Table1938[[#This Row],[EC-06]]=FALSE),TRUE,FALSE)</f>
        <v>1</v>
      </c>
      <c r="V494" s="2" t="b">
        <f>IF(Table1938[[#This Row],[Date]]&lt;&gt;"",AND(YEAR(Table1938[[#This Row],[Date]])&gt;=2010, YEAR(Table1938[[#This Row],[Date]])&lt;=2024),FALSE)</f>
        <v>1</v>
      </c>
      <c r="W494" s="2" t="b">
        <f>IF(Table1938[[#This Row],[Date]]&lt;&gt;"",AND(YEAR(Table1938[[#This Row],[Date]])&gt;=2010, YEAR(Table1938[[#This Row],[Date]])&lt;=2020),FALSE)</f>
        <v>1</v>
      </c>
      <c r="X494" s="2" t="b">
        <f>IF(AND(Table1938[[#This Row],[Accesible]]=TRUE,Table1938[[#This Row],[DOI]]&lt;&gt;""),TRUE,FALSE)</f>
        <v>1</v>
      </c>
      <c r="Y494" s="2" t="b">
        <f>OR(Table1938[[#This Row],[Document Type]]="journalArticle",Table1938[[#This Row],[Document Type]]="conferencePaper",Table1938[[#This Row],[Document Type]]="review")</f>
        <v>1</v>
      </c>
      <c r="Z494" s="2" t="b" cm="1">
        <f t="array" ref="Z494">SUMPRODUCT(--ISNUMBER(SEARCH({"dimensional analysis","dimensionless coefficients","Π","Pi","theorem","software","design","tools","development","architecture","similar"}, LOWER(Table1938[[#This Row],[Title]]))))&gt;0</f>
        <v>0</v>
      </c>
      <c r="AA494" s="2" t="b" cm="1">
        <f t="array" ref="AA494">SUMPRODUCT(--ISNUMBER(SEARCH({"dimensional analysis","dimensionless coefficients","Π","Pi","theorem","software","design","tools","development","architecture","similar"}, LOWER(Table1938[[#This Row],[Abstract]]))))&gt;0</f>
        <v>0</v>
      </c>
      <c r="AB494" s="2" t="b">
        <f>AND(OR(Table1938[[#This Row],[IC-01 @2024]:[IC-01 @2020]])=TRUE,Table1938[[#This Row],[IC-02]]=TRUE,Table1938[[#This Row],[IC-03]]=TRUE,Table1938[[#This Row],[IC-04]]=TRUE,Table1938[[#This Row],[IC-05]]=TRUE)</f>
        <v>0</v>
      </c>
      <c r="AC494" s="2" t="b">
        <f>AND(Table1938[[#This Row],[Pass-IC]]=TRUE,Table1938[[#This Row],[Pass-EC]]=TRUE)</f>
        <v>0</v>
      </c>
      <c r="AD494" s="2" t="b">
        <f>COUNTIF($D$25:D494, Table1938[[#This Row],[Title]]) = 1</f>
        <v>1</v>
      </c>
      <c r="AE494" s="2" t="b">
        <f>AND(Table1938[[#This Row],[IC + EC]:[Unique]])</f>
        <v>0</v>
      </c>
      <c r="AF494" s="2" t="b">
        <v>0</v>
      </c>
      <c r="AG494" s="2" t="b">
        <v>0</v>
      </c>
      <c r="AH494" s="2" t="b">
        <v>0</v>
      </c>
      <c r="AI494" s="2" t="b">
        <f>IF(AND(Table1938[[#This Row],[Double Check]]=TRUE,Table1938[[#This Row],[Inspected]]=TRUE,Table1938[[#This Row],[Relevant]]=TRUE),TRUE,FALSE)</f>
        <v>0</v>
      </c>
    </row>
    <row r="495" spans="1:35" ht="57.35" x14ac:dyDescent="0.5">
      <c r="A495" s="2">
        <v>494</v>
      </c>
      <c r="B495" s="20" t="s">
        <v>3</v>
      </c>
      <c r="C495" s="20" t="s">
        <v>3721</v>
      </c>
      <c r="D495" s="20" t="s">
        <v>1515</v>
      </c>
      <c r="E495" s="20" t="s">
        <v>1514</v>
      </c>
      <c r="F495" s="2" t="s">
        <v>1518</v>
      </c>
      <c r="G495" s="20" t="s">
        <v>1516</v>
      </c>
      <c r="H495" s="36">
        <v>42767</v>
      </c>
      <c r="I495" s="20">
        <v>2017</v>
      </c>
      <c r="J495" s="20" t="s">
        <v>61</v>
      </c>
      <c r="K495" s="20" t="s">
        <v>3722</v>
      </c>
      <c r="L495" s="20" t="s">
        <v>2515</v>
      </c>
      <c r="M495" s="20" t="s">
        <v>1517</v>
      </c>
      <c r="N495" s="20" t="b">
        <v>1</v>
      </c>
      <c r="O495" s="2" t="b">
        <f>IF(Table1938[[#This Row],[Title]]="",TRUE,FALSE)</f>
        <v>0</v>
      </c>
      <c r="P495" s="2" t="b">
        <f>IF(Table1938[[#This Row],[Author]]="",TRUE,FALSE)</f>
        <v>0</v>
      </c>
      <c r="Q495" s="2" t="b">
        <f>IF(Table1938[[#This Row],[DOI]]&lt;&gt;"", FALSE,TRUE)</f>
        <v>0</v>
      </c>
      <c r="R495" s="2" t="b">
        <f>IF(Table1938[[#This Row],[Abstract]]="",TRUE,FALSE)</f>
        <v>0</v>
      </c>
      <c r="S495" s="2" t="b">
        <f>IF(OR(Table1938[[#This Row],[Document Type]]="book",Table1938[[#This Row],[Document Type]]="bookSection"),TRUE,FALSE)</f>
        <v>0</v>
      </c>
      <c r="T495" s="2" t="b">
        <f>NOT(IF(OR(Table1938[[#This Row],[Language]]&lt;&gt;"en",Table1938[[#This Row],[Language]]&lt;&gt;"EN",Table1938[[#This Row],[Language]]&lt;&gt;"spa",Table1938[[#This Row],[Language]]&lt;&gt;"SPA"),TRUE,FALSE))</f>
        <v>0</v>
      </c>
      <c r="U495" s="2" t="b">
        <f>IF(AND(Table1938[[#This Row],[EC-01]]=FALSE,Table1938[[#This Row],[EC-02]]=FALSE,Table1938[[#This Row],[EC-03]]=FALSE,Table1938[[#This Row],[EC-04]]=FALSE,Table1938[[#This Row],[EC-05]]=FALSE,Table1938[[#This Row],[EC-06]]=FALSE),TRUE,FALSE)</f>
        <v>1</v>
      </c>
      <c r="V495" s="2" t="b">
        <f>IF(Table1938[[#This Row],[Date]]&lt;&gt;"",AND(YEAR(Table1938[[#This Row],[Date]])&gt;=2010, YEAR(Table1938[[#This Row],[Date]])&lt;=2024),FALSE)</f>
        <v>1</v>
      </c>
      <c r="W495" s="2" t="b">
        <f>IF(Table1938[[#This Row],[Date]]&lt;&gt;"",AND(YEAR(Table1938[[#This Row],[Date]])&gt;=2010, YEAR(Table1938[[#This Row],[Date]])&lt;=2020),FALSE)</f>
        <v>1</v>
      </c>
      <c r="X495" s="2" t="b">
        <f>IF(AND(Table1938[[#This Row],[Accesible]]=TRUE,Table1938[[#This Row],[DOI]]&lt;&gt;""),TRUE,FALSE)</f>
        <v>1</v>
      </c>
      <c r="Y495" s="2" t="b">
        <f>OR(Table1938[[#This Row],[Document Type]]="journalArticle",Table1938[[#This Row],[Document Type]]="conferencePaper",Table1938[[#This Row],[Document Type]]="review")</f>
        <v>1</v>
      </c>
      <c r="Z495" s="2" t="b" cm="1">
        <f t="array" ref="Z495">SUMPRODUCT(--ISNUMBER(SEARCH({"dimensional analysis","dimensionless coefficients","Π","Pi","theorem","software","design","tools","development","architecture","similar"}, LOWER(Table1938[[#This Row],[Title]]))))&gt;0</f>
        <v>0</v>
      </c>
      <c r="AA495" s="2" t="b" cm="1">
        <f t="array" ref="AA495">SUMPRODUCT(--ISNUMBER(SEARCH({"dimensional analysis","dimensionless coefficients","Π","Pi","theorem","software","design","tools","development","architecture","similar"}, LOWER(Table1938[[#This Row],[Abstract]]))))&gt;0</f>
        <v>1</v>
      </c>
      <c r="AB495" s="2" t="b">
        <f>AND(OR(Table1938[[#This Row],[IC-01 @2024]:[IC-01 @2020]])=TRUE,Table1938[[#This Row],[IC-02]]=TRUE,Table1938[[#This Row],[IC-03]]=TRUE,Table1938[[#This Row],[IC-04]]=TRUE,Table1938[[#This Row],[IC-05]]=TRUE)</f>
        <v>0</v>
      </c>
      <c r="AC495" s="2" t="b">
        <f>AND(Table1938[[#This Row],[Pass-IC]]=TRUE,Table1938[[#This Row],[Pass-EC]]=TRUE)</f>
        <v>0</v>
      </c>
      <c r="AD495" s="2" t="b">
        <f>COUNTIF($D$25:D495, Table1938[[#This Row],[Title]]) = 1</f>
        <v>1</v>
      </c>
      <c r="AE495" s="2" t="b">
        <f>AND(Table1938[[#This Row],[IC + EC]:[Unique]])</f>
        <v>0</v>
      </c>
      <c r="AF495" s="2" t="b">
        <v>0</v>
      </c>
      <c r="AG495" s="2" t="b">
        <v>0</v>
      </c>
      <c r="AH495" s="2" t="b">
        <v>0</v>
      </c>
      <c r="AI495" s="2" t="b">
        <f>IF(AND(Table1938[[#This Row],[Double Check]]=TRUE,Table1938[[#This Row],[Inspected]]=TRUE,Table1938[[#This Row],[Relevant]]=TRUE),TRUE,FALSE)</f>
        <v>0</v>
      </c>
    </row>
    <row r="496" spans="1:35" ht="71.7" x14ac:dyDescent="0.5">
      <c r="A496" s="2">
        <v>495</v>
      </c>
      <c r="B496" s="20" t="s">
        <v>3</v>
      </c>
      <c r="C496" s="20" t="s">
        <v>3723</v>
      </c>
      <c r="D496" s="20" t="s">
        <v>314</v>
      </c>
      <c r="E496" s="20" t="s">
        <v>339</v>
      </c>
      <c r="F496" s="2" t="s">
        <v>364</v>
      </c>
      <c r="G496" s="20" t="s">
        <v>932</v>
      </c>
      <c r="H496" s="36">
        <v>44317</v>
      </c>
      <c r="I496" s="20">
        <v>2021</v>
      </c>
      <c r="J496" s="20" t="s">
        <v>61</v>
      </c>
      <c r="K496" s="20" t="s">
        <v>3724</v>
      </c>
      <c r="L496" s="20" t="s">
        <v>2515</v>
      </c>
      <c r="M496" s="20" t="s">
        <v>389</v>
      </c>
      <c r="N496" s="20" t="b">
        <v>1</v>
      </c>
      <c r="O496" s="2" t="b">
        <f>IF(Table1938[[#This Row],[Title]]="",TRUE,FALSE)</f>
        <v>0</v>
      </c>
      <c r="P496" s="2" t="b">
        <f>IF(Table1938[[#This Row],[Author]]="",TRUE,FALSE)</f>
        <v>0</v>
      </c>
      <c r="Q496" s="2" t="b">
        <f>IF(Table1938[[#This Row],[DOI]]&lt;&gt;"", FALSE,TRUE)</f>
        <v>0</v>
      </c>
      <c r="R496" s="2" t="b">
        <f>IF(Table1938[[#This Row],[Abstract]]="",TRUE,FALSE)</f>
        <v>0</v>
      </c>
      <c r="S496" s="2" t="b">
        <f>IF(OR(Table1938[[#This Row],[Document Type]]="book",Table1938[[#This Row],[Document Type]]="bookSection"),TRUE,FALSE)</f>
        <v>0</v>
      </c>
      <c r="T496" s="2" t="b">
        <f>NOT(IF(OR(Table1938[[#This Row],[Language]]&lt;&gt;"en",Table1938[[#This Row],[Language]]&lt;&gt;"EN",Table1938[[#This Row],[Language]]&lt;&gt;"spa",Table1938[[#This Row],[Language]]&lt;&gt;"SPA"),TRUE,FALSE))</f>
        <v>0</v>
      </c>
      <c r="U496" s="2" t="b">
        <f>IF(AND(Table1938[[#This Row],[EC-01]]=FALSE,Table1938[[#This Row],[EC-02]]=FALSE,Table1938[[#This Row],[EC-03]]=FALSE,Table1938[[#This Row],[EC-04]]=FALSE,Table1938[[#This Row],[EC-05]]=FALSE,Table1938[[#This Row],[EC-06]]=FALSE),TRUE,FALSE)</f>
        <v>1</v>
      </c>
      <c r="V496" s="2" t="b">
        <f>IF(Table1938[[#This Row],[Date]]&lt;&gt;"",AND(YEAR(Table1938[[#This Row],[Date]])&gt;=2010, YEAR(Table1938[[#This Row],[Date]])&lt;=2024),FALSE)</f>
        <v>1</v>
      </c>
      <c r="W496" s="2" t="b">
        <f>IF(Table1938[[#This Row],[Date]]&lt;&gt;"",AND(YEAR(Table1938[[#This Row],[Date]])&gt;=2010, YEAR(Table1938[[#This Row],[Date]])&lt;=2020),FALSE)</f>
        <v>0</v>
      </c>
      <c r="X496" s="2" t="b">
        <f>IF(AND(Table1938[[#This Row],[Accesible]]=TRUE,Table1938[[#This Row],[DOI]]&lt;&gt;""),TRUE,FALSE)</f>
        <v>1</v>
      </c>
      <c r="Y496" s="2" t="b">
        <f>OR(Table1938[[#This Row],[Document Type]]="journalArticle",Table1938[[#This Row],[Document Type]]="conferencePaper",Table1938[[#This Row],[Document Type]]="review")</f>
        <v>1</v>
      </c>
      <c r="Z496" s="2" t="b" cm="1">
        <f t="array" ref="Z496">SUMPRODUCT(--ISNUMBER(SEARCH({"dimensional analysis","dimensionless coefficients","Π","Pi","theorem","software","design","tools","development","architecture","similar"}, LOWER(Table1938[[#This Row],[Title]]))))&gt;0</f>
        <v>1</v>
      </c>
      <c r="AA496" s="2" t="b" cm="1">
        <f t="array" ref="AA496">SUMPRODUCT(--ISNUMBER(SEARCH({"dimensional analysis","dimensionless coefficients","Π","Pi","theorem","software","design","tools","development","architecture","similar"}, LOWER(Table1938[[#This Row],[Abstract]]))))&gt;0</f>
        <v>1</v>
      </c>
      <c r="AB496" s="2" t="b">
        <f>AND(OR(Table1938[[#This Row],[IC-01 @2024]:[IC-01 @2020]])=TRUE,Table1938[[#This Row],[IC-02]]=TRUE,Table1938[[#This Row],[IC-03]]=TRUE,Table1938[[#This Row],[IC-04]]=TRUE,Table1938[[#This Row],[IC-05]]=TRUE)</f>
        <v>1</v>
      </c>
      <c r="AC496" s="2" t="b">
        <f>AND(Table1938[[#This Row],[Pass-IC]]=TRUE,Table1938[[#This Row],[Pass-EC]]=TRUE)</f>
        <v>1</v>
      </c>
      <c r="AD496" s="2" t="b">
        <f>COUNTIF($D$25:D496, Table1938[[#This Row],[Title]]) = 1</f>
        <v>1</v>
      </c>
      <c r="AE496" s="2" t="b">
        <f>AND(Table1938[[#This Row],[IC + EC]:[Unique]])</f>
        <v>1</v>
      </c>
      <c r="AF496" s="2" t="b">
        <v>1</v>
      </c>
      <c r="AG496" s="2" t="b">
        <v>0</v>
      </c>
      <c r="AH496" s="2" t="b">
        <v>0</v>
      </c>
      <c r="AI496" s="2" t="b">
        <f>IF(AND(Table1938[[#This Row],[Double Check]]=TRUE,Table1938[[#This Row],[Inspected]]=TRUE,Table1938[[#This Row],[Relevant]]=TRUE),TRUE,FALSE)</f>
        <v>0</v>
      </c>
    </row>
    <row r="497" spans="1:35" ht="71.7" x14ac:dyDescent="0.5">
      <c r="A497" s="2">
        <v>496</v>
      </c>
      <c r="B497" s="20" t="s">
        <v>3</v>
      </c>
      <c r="C497" s="20" t="s">
        <v>3725</v>
      </c>
      <c r="D497" s="20" t="s">
        <v>1731</v>
      </c>
      <c r="E497" s="20" t="s">
        <v>1730</v>
      </c>
      <c r="F497" s="2" t="s">
        <v>1733</v>
      </c>
      <c r="G497" s="20" t="s">
        <v>1002</v>
      </c>
      <c r="H497" s="36">
        <v>45200</v>
      </c>
      <c r="I497" s="20">
        <v>2023</v>
      </c>
      <c r="J497" s="20" t="s">
        <v>61</v>
      </c>
      <c r="K497" s="20" t="s">
        <v>3726</v>
      </c>
      <c r="L497" s="20" t="s">
        <v>2515</v>
      </c>
      <c r="M497" s="20" t="s">
        <v>1732</v>
      </c>
      <c r="N497" s="20" t="b">
        <v>1</v>
      </c>
      <c r="O497" s="2" t="b">
        <f>IF(Table1938[[#This Row],[Title]]="",TRUE,FALSE)</f>
        <v>0</v>
      </c>
      <c r="P497" s="2" t="b">
        <f>IF(Table1938[[#This Row],[Author]]="",TRUE,FALSE)</f>
        <v>0</v>
      </c>
      <c r="Q497" s="2" t="b">
        <f>IF(Table1938[[#This Row],[DOI]]&lt;&gt;"", FALSE,TRUE)</f>
        <v>0</v>
      </c>
      <c r="R497" s="2" t="b">
        <f>IF(Table1938[[#This Row],[Abstract]]="",TRUE,FALSE)</f>
        <v>0</v>
      </c>
      <c r="S497" s="2" t="b">
        <f>IF(OR(Table1938[[#This Row],[Document Type]]="book",Table1938[[#This Row],[Document Type]]="bookSection"),TRUE,FALSE)</f>
        <v>0</v>
      </c>
      <c r="T497" s="2" t="b">
        <f>NOT(IF(OR(Table1938[[#This Row],[Language]]&lt;&gt;"en",Table1938[[#This Row],[Language]]&lt;&gt;"EN",Table1938[[#This Row],[Language]]&lt;&gt;"spa",Table1938[[#This Row],[Language]]&lt;&gt;"SPA"),TRUE,FALSE))</f>
        <v>0</v>
      </c>
      <c r="U497" s="2" t="b">
        <f>IF(AND(Table1938[[#This Row],[EC-01]]=FALSE,Table1938[[#This Row],[EC-02]]=FALSE,Table1938[[#This Row],[EC-03]]=FALSE,Table1938[[#This Row],[EC-04]]=FALSE,Table1938[[#This Row],[EC-05]]=FALSE,Table1938[[#This Row],[EC-06]]=FALSE),TRUE,FALSE)</f>
        <v>1</v>
      </c>
      <c r="V497" s="2" t="b">
        <f>IF(Table1938[[#This Row],[Date]]&lt;&gt;"",AND(YEAR(Table1938[[#This Row],[Date]])&gt;=2010, YEAR(Table1938[[#This Row],[Date]])&lt;=2024),FALSE)</f>
        <v>1</v>
      </c>
      <c r="W497" s="2" t="b">
        <f>IF(Table1938[[#This Row],[Date]]&lt;&gt;"",AND(YEAR(Table1938[[#This Row],[Date]])&gt;=2010, YEAR(Table1938[[#This Row],[Date]])&lt;=2020),FALSE)</f>
        <v>0</v>
      </c>
      <c r="X497" s="2" t="b">
        <f>IF(AND(Table1938[[#This Row],[Accesible]]=TRUE,Table1938[[#This Row],[DOI]]&lt;&gt;""),TRUE,FALSE)</f>
        <v>1</v>
      </c>
      <c r="Y497" s="2" t="b">
        <f>OR(Table1938[[#This Row],[Document Type]]="journalArticle",Table1938[[#This Row],[Document Type]]="conferencePaper",Table1938[[#This Row],[Document Type]]="review")</f>
        <v>1</v>
      </c>
      <c r="Z497" s="2" t="b" cm="1">
        <f t="array" ref="Z497">SUMPRODUCT(--ISNUMBER(SEARCH({"dimensional analysis","dimensionless coefficients","Π","Pi","theorem","software","design","tools","development","architecture","similar"}, LOWER(Table1938[[#This Row],[Title]]))))&gt;0</f>
        <v>0</v>
      </c>
      <c r="AA497" s="2" t="b" cm="1">
        <f t="array" ref="AA497">SUMPRODUCT(--ISNUMBER(SEARCH({"dimensional analysis","dimensionless coefficients","Π","Pi","theorem","software","design","tools","development","architecture","similar"}, LOWER(Table1938[[#This Row],[Abstract]]))))&gt;0</f>
        <v>1</v>
      </c>
      <c r="AB497" s="2" t="b">
        <f>AND(OR(Table1938[[#This Row],[IC-01 @2024]:[IC-01 @2020]])=TRUE,Table1938[[#This Row],[IC-02]]=TRUE,Table1938[[#This Row],[IC-03]]=TRUE,Table1938[[#This Row],[IC-04]]=TRUE,Table1938[[#This Row],[IC-05]]=TRUE)</f>
        <v>0</v>
      </c>
      <c r="AC497" s="2" t="b">
        <f>AND(Table1938[[#This Row],[Pass-IC]]=TRUE,Table1938[[#This Row],[Pass-EC]]=TRUE)</f>
        <v>0</v>
      </c>
      <c r="AD497" s="2" t="b">
        <f>COUNTIF($D$25:D497, Table1938[[#This Row],[Title]]) = 1</f>
        <v>1</v>
      </c>
      <c r="AE497" s="2" t="b">
        <f>AND(Table1938[[#This Row],[IC + EC]:[Unique]])</f>
        <v>0</v>
      </c>
      <c r="AF497" s="2" t="b">
        <v>0</v>
      </c>
      <c r="AG497" s="2" t="b">
        <v>0</v>
      </c>
      <c r="AH497" s="2" t="b">
        <v>0</v>
      </c>
      <c r="AI497" s="2" t="b">
        <f>IF(AND(Table1938[[#This Row],[Double Check]]=TRUE,Table1938[[#This Row],[Inspected]]=TRUE,Table1938[[#This Row],[Relevant]]=TRUE),TRUE,FALSE)</f>
        <v>0</v>
      </c>
    </row>
    <row r="498" spans="1:35" ht="43" x14ac:dyDescent="0.5">
      <c r="A498" s="2">
        <v>497</v>
      </c>
      <c r="B498" s="20" t="s">
        <v>3</v>
      </c>
      <c r="C498" s="20" t="s">
        <v>3727</v>
      </c>
      <c r="D498" s="20" t="s">
        <v>2208</v>
      </c>
      <c r="E498" s="20" t="s">
        <v>2207</v>
      </c>
      <c r="F498" s="2" t="s">
        <v>2211</v>
      </c>
      <c r="G498" s="20" t="s">
        <v>2209</v>
      </c>
      <c r="H498" s="36">
        <v>44440</v>
      </c>
      <c r="I498" s="20">
        <v>2021</v>
      </c>
      <c r="J498" s="20" t="s">
        <v>61</v>
      </c>
      <c r="K498" s="20" t="s">
        <v>3728</v>
      </c>
      <c r="L498" s="20" t="s">
        <v>2515</v>
      </c>
      <c r="M498" s="20" t="s">
        <v>2210</v>
      </c>
      <c r="N498" s="20" t="b">
        <v>1</v>
      </c>
      <c r="O498" s="2" t="b">
        <f>IF(Table1938[[#This Row],[Title]]="",TRUE,FALSE)</f>
        <v>0</v>
      </c>
      <c r="P498" s="2" t="b">
        <f>IF(Table1938[[#This Row],[Author]]="",TRUE,FALSE)</f>
        <v>0</v>
      </c>
      <c r="Q498" s="2" t="b">
        <f>IF(Table1938[[#This Row],[DOI]]&lt;&gt;"", FALSE,TRUE)</f>
        <v>0</v>
      </c>
      <c r="R498" s="2" t="b">
        <f>IF(Table1938[[#This Row],[Abstract]]="",TRUE,FALSE)</f>
        <v>0</v>
      </c>
      <c r="S498" s="2" t="b">
        <f>IF(OR(Table1938[[#This Row],[Document Type]]="book",Table1938[[#This Row],[Document Type]]="bookSection"),TRUE,FALSE)</f>
        <v>0</v>
      </c>
      <c r="T498" s="2" t="b">
        <f>NOT(IF(OR(Table1938[[#This Row],[Language]]&lt;&gt;"en",Table1938[[#This Row],[Language]]&lt;&gt;"EN",Table1938[[#This Row],[Language]]&lt;&gt;"spa",Table1938[[#This Row],[Language]]&lt;&gt;"SPA"),TRUE,FALSE))</f>
        <v>0</v>
      </c>
      <c r="U498" s="2" t="b">
        <f>IF(AND(Table1938[[#This Row],[EC-01]]=FALSE,Table1938[[#This Row],[EC-02]]=FALSE,Table1938[[#This Row],[EC-03]]=FALSE,Table1938[[#This Row],[EC-04]]=FALSE,Table1938[[#This Row],[EC-05]]=FALSE,Table1938[[#This Row],[EC-06]]=FALSE),TRUE,FALSE)</f>
        <v>1</v>
      </c>
      <c r="V498" s="2" t="b">
        <f>IF(Table1938[[#This Row],[Date]]&lt;&gt;"",AND(YEAR(Table1938[[#This Row],[Date]])&gt;=2010, YEAR(Table1938[[#This Row],[Date]])&lt;=2024),FALSE)</f>
        <v>1</v>
      </c>
      <c r="W498" s="2" t="b">
        <f>IF(Table1938[[#This Row],[Date]]&lt;&gt;"",AND(YEAR(Table1938[[#This Row],[Date]])&gt;=2010, YEAR(Table1938[[#This Row],[Date]])&lt;=2020),FALSE)</f>
        <v>0</v>
      </c>
      <c r="X498" s="2" t="b">
        <f>IF(AND(Table1938[[#This Row],[Accesible]]=TRUE,Table1938[[#This Row],[DOI]]&lt;&gt;""),TRUE,FALSE)</f>
        <v>1</v>
      </c>
      <c r="Y498" s="2" t="b">
        <f>OR(Table1938[[#This Row],[Document Type]]="journalArticle",Table1938[[#This Row],[Document Type]]="conferencePaper",Table1938[[#This Row],[Document Type]]="review")</f>
        <v>1</v>
      </c>
      <c r="Z498" s="2" t="b" cm="1">
        <f t="array" ref="Z498">SUMPRODUCT(--ISNUMBER(SEARCH({"dimensional analysis","dimensionless coefficients","Π","Pi","theorem","software","design","tools","development","architecture","similar"}, LOWER(Table1938[[#This Row],[Title]]))))&gt;0</f>
        <v>0</v>
      </c>
      <c r="AA498" s="2" t="b" cm="1">
        <f t="array" ref="AA498">SUMPRODUCT(--ISNUMBER(SEARCH({"dimensional analysis","dimensionless coefficients","Π","Pi","theorem","software","design","tools","development","architecture","similar"}, LOWER(Table1938[[#This Row],[Abstract]]))))&gt;0</f>
        <v>1</v>
      </c>
      <c r="AB498" s="2" t="b">
        <f>AND(OR(Table1938[[#This Row],[IC-01 @2024]:[IC-01 @2020]])=TRUE,Table1938[[#This Row],[IC-02]]=TRUE,Table1938[[#This Row],[IC-03]]=TRUE,Table1938[[#This Row],[IC-04]]=TRUE,Table1938[[#This Row],[IC-05]]=TRUE)</f>
        <v>0</v>
      </c>
      <c r="AC498" s="2" t="b">
        <f>AND(Table1938[[#This Row],[Pass-IC]]=TRUE,Table1938[[#This Row],[Pass-EC]]=TRUE)</f>
        <v>0</v>
      </c>
      <c r="AD498" s="2" t="b">
        <f>COUNTIF($D$25:D498, Table1938[[#This Row],[Title]]) = 1</f>
        <v>1</v>
      </c>
      <c r="AE498" s="2" t="b">
        <f>AND(Table1938[[#This Row],[IC + EC]:[Unique]])</f>
        <v>0</v>
      </c>
      <c r="AF498" s="2" t="b">
        <v>0</v>
      </c>
      <c r="AG498" s="2" t="b">
        <v>0</v>
      </c>
      <c r="AH498" s="2" t="b">
        <v>0</v>
      </c>
      <c r="AI498" s="2" t="b">
        <f>IF(AND(Table1938[[#This Row],[Double Check]]=TRUE,Table1938[[#This Row],[Inspected]]=TRUE,Table1938[[#This Row],[Relevant]]=TRUE),TRUE,FALSE)</f>
        <v>0</v>
      </c>
    </row>
    <row r="499" spans="1:35" ht="71.7" x14ac:dyDescent="0.5">
      <c r="A499" s="2">
        <v>498</v>
      </c>
      <c r="B499" s="20" t="s">
        <v>3</v>
      </c>
      <c r="C499" s="20" t="s">
        <v>3729</v>
      </c>
      <c r="D499" s="20" t="s">
        <v>1240</v>
      </c>
      <c r="E499" s="20" t="s">
        <v>1239</v>
      </c>
      <c r="F499" s="2" t="s">
        <v>1242</v>
      </c>
      <c r="G499" s="20" t="s">
        <v>956</v>
      </c>
      <c r="H499" s="36">
        <v>45627</v>
      </c>
      <c r="I499" s="20">
        <v>2024</v>
      </c>
      <c r="J499" s="20" t="s">
        <v>61</v>
      </c>
      <c r="K499" s="20" t="s">
        <v>3730</v>
      </c>
      <c r="L499" s="20" t="s">
        <v>2515</v>
      </c>
      <c r="M499" s="20" t="s">
        <v>1241</v>
      </c>
      <c r="N499" s="20" t="b">
        <v>1</v>
      </c>
      <c r="O499" s="2" t="b">
        <f>IF(Table1938[[#This Row],[Title]]="",TRUE,FALSE)</f>
        <v>0</v>
      </c>
      <c r="P499" s="2" t="b">
        <f>IF(Table1938[[#This Row],[Author]]="",TRUE,FALSE)</f>
        <v>0</v>
      </c>
      <c r="Q499" s="2" t="b">
        <f>IF(Table1938[[#This Row],[DOI]]&lt;&gt;"", FALSE,TRUE)</f>
        <v>0</v>
      </c>
      <c r="R499" s="2" t="b">
        <f>IF(Table1938[[#This Row],[Abstract]]="",TRUE,FALSE)</f>
        <v>0</v>
      </c>
      <c r="S499" s="2" t="b">
        <f>IF(OR(Table1938[[#This Row],[Document Type]]="book",Table1938[[#This Row],[Document Type]]="bookSection"),TRUE,FALSE)</f>
        <v>0</v>
      </c>
      <c r="T499" s="2" t="b">
        <f>NOT(IF(OR(Table1938[[#This Row],[Language]]&lt;&gt;"en",Table1938[[#This Row],[Language]]&lt;&gt;"EN",Table1938[[#This Row],[Language]]&lt;&gt;"spa",Table1938[[#This Row],[Language]]&lt;&gt;"SPA"),TRUE,FALSE))</f>
        <v>0</v>
      </c>
      <c r="U499" s="2" t="b">
        <f>IF(AND(Table1938[[#This Row],[EC-01]]=FALSE,Table1938[[#This Row],[EC-02]]=FALSE,Table1938[[#This Row],[EC-03]]=FALSE,Table1938[[#This Row],[EC-04]]=FALSE,Table1938[[#This Row],[EC-05]]=FALSE,Table1938[[#This Row],[EC-06]]=FALSE),TRUE,FALSE)</f>
        <v>1</v>
      </c>
      <c r="V499" s="2" t="b">
        <f>IF(Table1938[[#This Row],[Date]]&lt;&gt;"",AND(YEAR(Table1938[[#This Row],[Date]])&gt;=2010, YEAR(Table1938[[#This Row],[Date]])&lt;=2024),FALSE)</f>
        <v>1</v>
      </c>
      <c r="W499" s="2" t="b">
        <f>IF(Table1938[[#This Row],[Date]]&lt;&gt;"",AND(YEAR(Table1938[[#This Row],[Date]])&gt;=2010, YEAR(Table1938[[#This Row],[Date]])&lt;=2020),FALSE)</f>
        <v>0</v>
      </c>
      <c r="X499" s="2" t="b">
        <f>IF(AND(Table1938[[#This Row],[Accesible]]=TRUE,Table1938[[#This Row],[DOI]]&lt;&gt;""),TRUE,FALSE)</f>
        <v>1</v>
      </c>
      <c r="Y499" s="2" t="b">
        <f>OR(Table1938[[#This Row],[Document Type]]="journalArticle",Table1938[[#This Row],[Document Type]]="conferencePaper",Table1938[[#This Row],[Document Type]]="review")</f>
        <v>1</v>
      </c>
      <c r="Z499" s="2" t="b" cm="1">
        <f t="array" ref="Z499">SUMPRODUCT(--ISNUMBER(SEARCH({"dimensional analysis","dimensionless coefficients","Π","Pi","theorem","software","design","tools","development","architecture","similar"}, LOWER(Table1938[[#This Row],[Title]]))))&gt;0</f>
        <v>0</v>
      </c>
      <c r="AA499" s="2" t="b" cm="1">
        <f t="array" ref="AA499">SUMPRODUCT(--ISNUMBER(SEARCH({"dimensional analysis","dimensionless coefficients","Π","Pi","theorem","software","design","tools","development","architecture","similar"}, LOWER(Table1938[[#This Row],[Abstract]]))))&gt;0</f>
        <v>1</v>
      </c>
      <c r="AB499" s="2" t="b">
        <f>AND(OR(Table1938[[#This Row],[IC-01 @2024]:[IC-01 @2020]])=TRUE,Table1938[[#This Row],[IC-02]]=TRUE,Table1938[[#This Row],[IC-03]]=TRUE,Table1938[[#This Row],[IC-04]]=TRUE,Table1938[[#This Row],[IC-05]]=TRUE)</f>
        <v>0</v>
      </c>
      <c r="AC499" s="2" t="b">
        <f>AND(Table1938[[#This Row],[Pass-IC]]=TRUE,Table1938[[#This Row],[Pass-EC]]=TRUE)</f>
        <v>0</v>
      </c>
      <c r="AD499" s="2" t="b">
        <f>COUNTIF($D$25:D499, Table1938[[#This Row],[Title]]) = 1</f>
        <v>1</v>
      </c>
      <c r="AE499" s="2" t="b">
        <f>AND(Table1938[[#This Row],[IC + EC]:[Unique]])</f>
        <v>0</v>
      </c>
      <c r="AF499" s="2" t="b">
        <v>0</v>
      </c>
      <c r="AG499" s="2" t="b">
        <v>0</v>
      </c>
      <c r="AH499" s="2" t="b">
        <v>0</v>
      </c>
      <c r="AI499" s="2" t="b">
        <f>IF(AND(Table1938[[#This Row],[Double Check]]=TRUE,Table1938[[#This Row],[Inspected]]=TRUE,Table1938[[#This Row],[Relevant]]=TRUE),TRUE,FALSE)</f>
        <v>0</v>
      </c>
    </row>
    <row r="500" spans="1:35" ht="57.35" x14ac:dyDescent="0.5">
      <c r="A500" s="2">
        <v>499</v>
      </c>
      <c r="B500" s="20" t="s">
        <v>3</v>
      </c>
      <c r="C500" s="20" t="s">
        <v>3731</v>
      </c>
      <c r="D500" s="20" t="s">
        <v>2331</v>
      </c>
      <c r="E500" s="20" t="s">
        <v>2330</v>
      </c>
      <c r="F500" s="2" t="s">
        <v>2333</v>
      </c>
      <c r="G500" s="20" t="s">
        <v>923</v>
      </c>
      <c r="H500" s="36">
        <v>44495</v>
      </c>
      <c r="I500" s="20">
        <v>2021</v>
      </c>
      <c r="J500" s="20" t="s">
        <v>61</v>
      </c>
      <c r="K500" s="20" t="s">
        <v>3732</v>
      </c>
      <c r="L500" s="20" t="s">
        <v>2515</v>
      </c>
      <c r="M500" s="20" t="s">
        <v>2332</v>
      </c>
      <c r="N500" s="20" t="b">
        <v>1</v>
      </c>
      <c r="O500" s="2" t="b">
        <f>IF(Table1938[[#This Row],[Title]]="",TRUE,FALSE)</f>
        <v>0</v>
      </c>
      <c r="P500" s="2" t="b">
        <f>IF(Table1938[[#This Row],[Author]]="",TRUE,FALSE)</f>
        <v>0</v>
      </c>
      <c r="Q500" s="2" t="b">
        <f>IF(Table1938[[#This Row],[DOI]]&lt;&gt;"", FALSE,TRUE)</f>
        <v>0</v>
      </c>
      <c r="R500" s="2" t="b">
        <f>IF(Table1938[[#This Row],[Abstract]]="",TRUE,FALSE)</f>
        <v>0</v>
      </c>
      <c r="S500" s="2" t="b">
        <f>IF(OR(Table1938[[#This Row],[Document Type]]="book",Table1938[[#This Row],[Document Type]]="bookSection"),TRUE,FALSE)</f>
        <v>0</v>
      </c>
      <c r="T500" s="2" t="b">
        <f>NOT(IF(OR(Table1938[[#This Row],[Language]]&lt;&gt;"en",Table1938[[#This Row],[Language]]&lt;&gt;"EN",Table1938[[#This Row],[Language]]&lt;&gt;"spa",Table1938[[#This Row],[Language]]&lt;&gt;"SPA"),TRUE,FALSE))</f>
        <v>0</v>
      </c>
      <c r="U500" s="2" t="b">
        <f>IF(AND(Table1938[[#This Row],[EC-01]]=FALSE,Table1938[[#This Row],[EC-02]]=FALSE,Table1938[[#This Row],[EC-03]]=FALSE,Table1938[[#This Row],[EC-04]]=FALSE,Table1938[[#This Row],[EC-05]]=FALSE,Table1938[[#This Row],[EC-06]]=FALSE),TRUE,FALSE)</f>
        <v>1</v>
      </c>
      <c r="V500" s="2" t="b">
        <f>IF(Table1938[[#This Row],[Date]]&lt;&gt;"",AND(YEAR(Table1938[[#This Row],[Date]])&gt;=2010, YEAR(Table1938[[#This Row],[Date]])&lt;=2024),FALSE)</f>
        <v>1</v>
      </c>
      <c r="W500" s="2" t="b">
        <f>IF(Table1938[[#This Row],[Date]]&lt;&gt;"",AND(YEAR(Table1938[[#This Row],[Date]])&gt;=2010, YEAR(Table1938[[#This Row],[Date]])&lt;=2020),FALSE)</f>
        <v>0</v>
      </c>
      <c r="X500" s="2" t="b">
        <f>IF(AND(Table1938[[#This Row],[Accesible]]=TRUE,Table1938[[#This Row],[DOI]]&lt;&gt;""),TRUE,FALSE)</f>
        <v>1</v>
      </c>
      <c r="Y500" s="2" t="b">
        <f>OR(Table1938[[#This Row],[Document Type]]="journalArticle",Table1938[[#This Row],[Document Type]]="conferencePaper",Table1938[[#This Row],[Document Type]]="review")</f>
        <v>1</v>
      </c>
      <c r="Z500" s="2" t="b" cm="1">
        <f t="array" ref="Z500">SUMPRODUCT(--ISNUMBER(SEARCH({"dimensional analysis","dimensionless coefficients","Π","Pi","theorem","software","design","tools","development","architecture","similar"}, LOWER(Table1938[[#This Row],[Title]]))))&gt;0</f>
        <v>1</v>
      </c>
      <c r="AA500" s="2" t="b" cm="1">
        <f t="array" ref="AA500">SUMPRODUCT(--ISNUMBER(SEARCH({"dimensional analysis","dimensionless coefficients","Π","Pi","theorem","software","design","tools","development","architecture","similar"}, LOWER(Table1938[[#This Row],[Abstract]]))))&gt;0</f>
        <v>1</v>
      </c>
      <c r="AB500" s="2" t="b">
        <f>AND(OR(Table1938[[#This Row],[IC-01 @2024]:[IC-01 @2020]])=TRUE,Table1938[[#This Row],[IC-02]]=TRUE,Table1938[[#This Row],[IC-03]]=TRUE,Table1938[[#This Row],[IC-04]]=TRUE,Table1938[[#This Row],[IC-05]]=TRUE)</f>
        <v>1</v>
      </c>
      <c r="AC500" s="2" t="b">
        <f>AND(Table1938[[#This Row],[Pass-IC]]=TRUE,Table1938[[#This Row],[Pass-EC]]=TRUE)</f>
        <v>1</v>
      </c>
      <c r="AD500" s="2" t="b">
        <f>COUNTIF($D$25:D500, Table1938[[#This Row],[Title]]) = 1</f>
        <v>1</v>
      </c>
      <c r="AE500" s="2" t="b">
        <f>AND(Table1938[[#This Row],[IC + EC]:[Unique]])</f>
        <v>1</v>
      </c>
      <c r="AF500" s="2" t="b">
        <v>1</v>
      </c>
      <c r="AG500" s="2" t="b">
        <v>0</v>
      </c>
      <c r="AH500" s="2" t="b">
        <v>0</v>
      </c>
      <c r="AI500" s="2" t="b">
        <f>IF(AND(Table1938[[#This Row],[Double Check]]=TRUE,Table1938[[#This Row],[Inspected]]=TRUE,Table1938[[#This Row],[Relevant]]=TRUE),TRUE,FALSE)</f>
        <v>0</v>
      </c>
    </row>
    <row r="501" spans="1:35" ht="57.35" x14ac:dyDescent="0.5">
      <c r="A501" s="2">
        <v>500</v>
      </c>
      <c r="B501" s="20" t="s">
        <v>3</v>
      </c>
      <c r="C501" s="20" t="s">
        <v>3733</v>
      </c>
      <c r="D501" s="20" t="s">
        <v>1845</v>
      </c>
      <c r="E501" s="20" t="s">
        <v>1844</v>
      </c>
      <c r="F501" s="2" t="s">
        <v>1847</v>
      </c>
      <c r="G501" s="20" t="s">
        <v>961</v>
      </c>
      <c r="H501" s="36">
        <v>44593</v>
      </c>
      <c r="I501" s="20">
        <v>2022</v>
      </c>
      <c r="J501" s="20" t="s">
        <v>61</v>
      </c>
      <c r="K501" s="20" t="s">
        <v>3734</v>
      </c>
      <c r="L501" s="20" t="s">
        <v>2515</v>
      </c>
      <c r="M501" s="20" t="s">
        <v>1846</v>
      </c>
      <c r="N501" s="20" t="b">
        <v>1</v>
      </c>
      <c r="O501" s="2" t="b">
        <f>IF(Table1938[[#This Row],[Title]]="",TRUE,FALSE)</f>
        <v>0</v>
      </c>
      <c r="P501" s="2" t="b">
        <f>IF(Table1938[[#This Row],[Author]]="",TRUE,FALSE)</f>
        <v>0</v>
      </c>
      <c r="Q501" s="2" t="b">
        <f>IF(Table1938[[#This Row],[DOI]]&lt;&gt;"", FALSE,TRUE)</f>
        <v>0</v>
      </c>
      <c r="R501" s="2" t="b">
        <f>IF(Table1938[[#This Row],[Abstract]]="",TRUE,FALSE)</f>
        <v>0</v>
      </c>
      <c r="S501" s="2" t="b">
        <f>IF(OR(Table1938[[#This Row],[Document Type]]="book",Table1938[[#This Row],[Document Type]]="bookSection"),TRUE,FALSE)</f>
        <v>0</v>
      </c>
      <c r="T501" s="2" t="b">
        <f>NOT(IF(OR(Table1938[[#This Row],[Language]]&lt;&gt;"en",Table1938[[#This Row],[Language]]&lt;&gt;"EN",Table1938[[#This Row],[Language]]&lt;&gt;"spa",Table1938[[#This Row],[Language]]&lt;&gt;"SPA"),TRUE,FALSE))</f>
        <v>0</v>
      </c>
      <c r="U501" s="2" t="b">
        <f>IF(AND(Table1938[[#This Row],[EC-01]]=FALSE,Table1938[[#This Row],[EC-02]]=FALSE,Table1938[[#This Row],[EC-03]]=FALSE,Table1938[[#This Row],[EC-04]]=FALSE,Table1938[[#This Row],[EC-05]]=FALSE,Table1938[[#This Row],[EC-06]]=FALSE),TRUE,FALSE)</f>
        <v>1</v>
      </c>
      <c r="V501" s="2" t="b">
        <f>IF(Table1938[[#This Row],[Date]]&lt;&gt;"",AND(YEAR(Table1938[[#This Row],[Date]])&gt;=2010, YEAR(Table1938[[#This Row],[Date]])&lt;=2024),FALSE)</f>
        <v>1</v>
      </c>
      <c r="W501" s="2" t="b">
        <f>IF(Table1938[[#This Row],[Date]]&lt;&gt;"",AND(YEAR(Table1938[[#This Row],[Date]])&gt;=2010, YEAR(Table1938[[#This Row],[Date]])&lt;=2020),FALSE)</f>
        <v>0</v>
      </c>
      <c r="X501" s="2" t="b">
        <f>IF(AND(Table1938[[#This Row],[Accesible]]=TRUE,Table1938[[#This Row],[DOI]]&lt;&gt;""),TRUE,FALSE)</f>
        <v>1</v>
      </c>
      <c r="Y501" s="2" t="b">
        <f>OR(Table1938[[#This Row],[Document Type]]="journalArticle",Table1938[[#This Row],[Document Type]]="conferencePaper",Table1938[[#This Row],[Document Type]]="review")</f>
        <v>1</v>
      </c>
      <c r="Z501" s="2" t="b" cm="1">
        <f t="array" ref="Z501">SUMPRODUCT(--ISNUMBER(SEARCH({"dimensional analysis","dimensionless coefficients","Π","Pi","theorem","software","design","tools","development","architecture","similar"}, LOWER(Table1938[[#This Row],[Title]]))))&gt;0</f>
        <v>1</v>
      </c>
      <c r="AA501" s="2" t="b" cm="1">
        <f t="array" ref="AA501">SUMPRODUCT(--ISNUMBER(SEARCH({"dimensional analysis","dimensionless coefficients","Π","Pi","theorem","software","design","tools","development","architecture","similar"}, LOWER(Table1938[[#This Row],[Abstract]]))))&gt;0</f>
        <v>1</v>
      </c>
      <c r="AB501" s="2" t="b">
        <f>AND(OR(Table1938[[#This Row],[IC-01 @2024]:[IC-01 @2020]])=TRUE,Table1938[[#This Row],[IC-02]]=TRUE,Table1938[[#This Row],[IC-03]]=TRUE,Table1938[[#This Row],[IC-04]]=TRUE,Table1938[[#This Row],[IC-05]]=TRUE)</f>
        <v>1</v>
      </c>
      <c r="AC501" s="2" t="b">
        <f>AND(Table1938[[#This Row],[Pass-IC]]=TRUE,Table1938[[#This Row],[Pass-EC]]=TRUE)</f>
        <v>1</v>
      </c>
      <c r="AD501" s="2" t="b">
        <f>COUNTIF($D$25:D501, Table1938[[#This Row],[Title]]) = 1</f>
        <v>1</v>
      </c>
      <c r="AE501" s="2" t="b">
        <f>AND(Table1938[[#This Row],[IC + EC]:[Unique]])</f>
        <v>1</v>
      </c>
      <c r="AF501" s="2" t="b">
        <v>1</v>
      </c>
      <c r="AG501" s="2" t="b">
        <v>0</v>
      </c>
      <c r="AH501" s="2" t="b">
        <v>0</v>
      </c>
      <c r="AI501" s="2" t="b">
        <f>IF(AND(Table1938[[#This Row],[Double Check]]=TRUE,Table1938[[#This Row],[Inspected]]=TRUE,Table1938[[#This Row],[Relevant]]=TRUE),TRUE,FALSE)</f>
        <v>0</v>
      </c>
    </row>
    <row r="502" spans="1:35" ht="43" x14ac:dyDescent="0.5">
      <c r="A502" s="2">
        <v>501</v>
      </c>
      <c r="B502" s="20" t="s">
        <v>3</v>
      </c>
      <c r="C502" s="20" t="s">
        <v>3735</v>
      </c>
      <c r="D502" s="20" t="s">
        <v>1407</v>
      </c>
      <c r="E502" s="20" t="s">
        <v>1406</v>
      </c>
      <c r="F502" s="2" t="s">
        <v>1409</v>
      </c>
      <c r="G502" s="20" t="s">
        <v>955</v>
      </c>
      <c r="H502" s="36">
        <v>42614</v>
      </c>
      <c r="I502" s="20">
        <v>2016</v>
      </c>
      <c r="J502" s="20" t="s">
        <v>61</v>
      </c>
      <c r="K502" s="20" t="s">
        <v>3736</v>
      </c>
      <c r="L502" s="20" t="s">
        <v>2515</v>
      </c>
      <c r="M502" s="20" t="s">
        <v>1408</v>
      </c>
      <c r="N502" s="20" t="b">
        <v>1</v>
      </c>
      <c r="O502" s="2" t="b">
        <f>IF(Table1938[[#This Row],[Title]]="",TRUE,FALSE)</f>
        <v>0</v>
      </c>
      <c r="P502" s="2" t="b">
        <f>IF(Table1938[[#This Row],[Author]]="",TRUE,FALSE)</f>
        <v>0</v>
      </c>
      <c r="Q502" s="2" t="b">
        <f>IF(Table1938[[#This Row],[DOI]]&lt;&gt;"", FALSE,TRUE)</f>
        <v>0</v>
      </c>
      <c r="R502" s="2" t="b">
        <f>IF(Table1938[[#This Row],[Abstract]]="",TRUE,FALSE)</f>
        <v>0</v>
      </c>
      <c r="S502" s="2" t="b">
        <f>IF(OR(Table1938[[#This Row],[Document Type]]="book",Table1938[[#This Row],[Document Type]]="bookSection"),TRUE,FALSE)</f>
        <v>0</v>
      </c>
      <c r="T502" s="2" t="b">
        <f>NOT(IF(OR(Table1938[[#This Row],[Language]]&lt;&gt;"en",Table1938[[#This Row],[Language]]&lt;&gt;"EN",Table1938[[#This Row],[Language]]&lt;&gt;"spa",Table1938[[#This Row],[Language]]&lt;&gt;"SPA"),TRUE,FALSE))</f>
        <v>0</v>
      </c>
      <c r="U502" s="2" t="b">
        <f>IF(AND(Table1938[[#This Row],[EC-01]]=FALSE,Table1938[[#This Row],[EC-02]]=FALSE,Table1938[[#This Row],[EC-03]]=FALSE,Table1938[[#This Row],[EC-04]]=FALSE,Table1938[[#This Row],[EC-05]]=FALSE,Table1938[[#This Row],[EC-06]]=FALSE),TRUE,FALSE)</f>
        <v>1</v>
      </c>
      <c r="V502" s="2" t="b">
        <f>IF(Table1938[[#This Row],[Date]]&lt;&gt;"",AND(YEAR(Table1938[[#This Row],[Date]])&gt;=2010, YEAR(Table1938[[#This Row],[Date]])&lt;=2024),FALSE)</f>
        <v>1</v>
      </c>
      <c r="W502" s="2" t="b">
        <f>IF(Table1938[[#This Row],[Date]]&lt;&gt;"",AND(YEAR(Table1938[[#This Row],[Date]])&gt;=2010, YEAR(Table1938[[#This Row],[Date]])&lt;=2020),FALSE)</f>
        <v>1</v>
      </c>
      <c r="X502" s="2" t="b">
        <f>IF(AND(Table1938[[#This Row],[Accesible]]=TRUE,Table1938[[#This Row],[DOI]]&lt;&gt;""),TRUE,FALSE)</f>
        <v>1</v>
      </c>
      <c r="Y502" s="2" t="b">
        <f>OR(Table1938[[#This Row],[Document Type]]="journalArticle",Table1938[[#This Row],[Document Type]]="conferencePaper",Table1938[[#This Row],[Document Type]]="review")</f>
        <v>1</v>
      </c>
      <c r="Z502" s="2" t="b" cm="1">
        <f t="array" ref="Z502">SUMPRODUCT(--ISNUMBER(SEARCH({"dimensional analysis","dimensionless coefficients","Π","Pi","theorem","software","design","tools","development","architecture","similar"}, LOWER(Table1938[[#This Row],[Title]]))))&gt;0</f>
        <v>0</v>
      </c>
      <c r="AA502" s="2" t="b" cm="1">
        <f t="array" ref="AA502">SUMPRODUCT(--ISNUMBER(SEARCH({"dimensional analysis","dimensionless coefficients","Π","Pi","theorem","software","design","tools","development","architecture","similar"}, LOWER(Table1938[[#This Row],[Abstract]]))))&gt;0</f>
        <v>1</v>
      </c>
      <c r="AB502" s="2" t="b">
        <f>AND(OR(Table1938[[#This Row],[IC-01 @2024]:[IC-01 @2020]])=TRUE,Table1938[[#This Row],[IC-02]]=TRUE,Table1938[[#This Row],[IC-03]]=TRUE,Table1938[[#This Row],[IC-04]]=TRUE,Table1938[[#This Row],[IC-05]]=TRUE)</f>
        <v>0</v>
      </c>
      <c r="AC502" s="2" t="b">
        <f>AND(Table1938[[#This Row],[Pass-IC]]=TRUE,Table1938[[#This Row],[Pass-EC]]=TRUE)</f>
        <v>0</v>
      </c>
      <c r="AD502" s="2" t="b">
        <f>COUNTIF($D$25:D502, Table1938[[#This Row],[Title]]) = 1</f>
        <v>1</v>
      </c>
      <c r="AE502" s="2" t="b">
        <f>AND(Table1938[[#This Row],[IC + EC]:[Unique]])</f>
        <v>0</v>
      </c>
      <c r="AF502" s="2" t="b">
        <v>0</v>
      </c>
      <c r="AG502" s="2" t="b">
        <v>0</v>
      </c>
      <c r="AH502" s="2" t="b">
        <v>0</v>
      </c>
      <c r="AI502" s="2" t="b">
        <f>IF(AND(Table1938[[#This Row],[Double Check]]=TRUE,Table1938[[#This Row],[Inspected]]=TRUE,Table1938[[#This Row],[Relevant]]=TRUE),TRUE,FALSE)</f>
        <v>0</v>
      </c>
    </row>
    <row r="503" spans="1:35" ht="100.35" x14ac:dyDescent="0.5">
      <c r="A503" s="2">
        <v>502</v>
      </c>
      <c r="B503" s="20" t="s">
        <v>3</v>
      </c>
      <c r="C503" s="20" t="s">
        <v>3737</v>
      </c>
      <c r="D503" s="20" t="s">
        <v>1942</v>
      </c>
      <c r="E503" s="20" t="s">
        <v>1941</v>
      </c>
      <c r="F503" s="2" t="s">
        <v>1944</v>
      </c>
      <c r="G503" s="20" t="s">
        <v>1139</v>
      </c>
      <c r="H503" s="36">
        <v>42736</v>
      </c>
      <c r="I503" s="20">
        <v>2017</v>
      </c>
      <c r="J503" s="20" t="s">
        <v>61</v>
      </c>
      <c r="K503" s="20" t="s">
        <v>3738</v>
      </c>
      <c r="L503" s="20" t="s">
        <v>2515</v>
      </c>
      <c r="M503" s="20" t="s">
        <v>1943</v>
      </c>
      <c r="N503" s="20" t="b">
        <v>1</v>
      </c>
      <c r="O503" s="2" t="b">
        <f>IF(Table1938[[#This Row],[Title]]="",TRUE,FALSE)</f>
        <v>0</v>
      </c>
      <c r="P503" s="2" t="b">
        <f>IF(Table1938[[#This Row],[Author]]="",TRUE,FALSE)</f>
        <v>0</v>
      </c>
      <c r="Q503" s="2" t="b">
        <f>IF(Table1938[[#This Row],[DOI]]&lt;&gt;"", FALSE,TRUE)</f>
        <v>0</v>
      </c>
      <c r="R503" s="2" t="b">
        <f>IF(Table1938[[#This Row],[Abstract]]="",TRUE,FALSE)</f>
        <v>0</v>
      </c>
      <c r="S503" s="2" t="b">
        <f>IF(OR(Table1938[[#This Row],[Document Type]]="book",Table1938[[#This Row],[Document Type]]="bookSection"),TRUE,FALSE)</f>
        <v>0</v>
      </c>
      <c r="T503" s="2" t="b">
        <f>NOT(IF(OR(Table1938[[#This Row],[Language]]&lt;&gt;"en",Table1938[[#This Row],[Language]]&lt;&gt;"EN",Table1938[[#This Row],[Language]]&lt;&gt;"spa",Table1938[[#This Row],[Language]]&lt;&gt;"SPA"),TRUE,FALSE))</f>
        <v>0</v>
      </c>
      <c r="U503" s="2" t="b">
        <f>IF(AND(Table1938[[#This Row],[EC-01]]=FALSE,Table1938[[#This Row],[EC-02]]=FALSE,Table1938[[#This Row],[EC-03]]=FALSE,Table1938[[#This Row],[EC-04]]=FALSE,Table1938[[#This Row],[EC-05]]=FALSE,Table1938[[#This Row],[EC-06]]=FALSE),TRUE,FALSE)</f>
        <v>1</v>
      </c>
      <c r="V503" s="2" t="b">
        <f>IF(Table1938[[#This Row],[Date]]&lt;&gt;"",AND(YEAR(Table1938[[#This Row],[Date]])&gt;=2010, YEAR(Table1938[[#This Row],[Date]])&lt;=2024),FALSE)</f>
        <v>1</v>
      </c>
      <c r="W503" s="2" t="b">
        <f>IF(Table1938[[#This Row],[Date]]&lt;&gt;"",AND(YEAR(Table1938[[#This Row],[Date]])&gt;=2010, YEAR(Table1938[[#This Row],[Date]])&lt;=2020),FALSE)</f>
        <v>1</v>
      </c>
      <c r="X503" s="2" t="b">
        <f>IF(AND(Table1938[[#This Row],[Accesible]]=TRUE,Table1938[[#This Row],[DOI]]&lt;&gt;""),TRUE,FALSE)</f>
        <v>1</v>
      </c>
      <c r="Y503" s="2" t="b">
        <f>OR(Table1938[[#This Row],[Document Type]]="journalArticle",Table1938[[#This Row],[Document Type]]="conferencePaper",Table1938[[#This Row],[Document Type]]="review")</f>
        <v>1</v>
      </c>
      <c r="Z503" s="2" t="b" cm="1">
        <f t="array" ref="Z503">SUMPRODUCT(--ISNUMBER(SEARCH({"dimensional analysis","dimensionless coefficients","Π","Pi","theorem","software","design","tools","development","architecture","similar"}, LOWER(Table1938[[#This Row],[Title]]))))&gt;0</f>
        <v>0</v>
      </c>
      <c r="AA503" s="2" t="b" cm="1">
        <f t="array" ref="AA503">SUMPRODUCT(--ISNUMBER(SEARCH({"dimensional analysis","dimensionless coefficients","Π","Pi","theorem","software","design","tools","development","architecture","similar"}, LOWER(Table1938[[#This Row],[Abstract]]))))&gt;0</f>
        <v>1</v>
      </c>
      <c r="AB503" s="2" t="b">
        <f>AND(OR(Table1938[[#This Row],[IC-01 @2024]:[IC-01 @2020]])=TRUE,Table1938[[#This Row],[IC-02]]=TRUE,Table1938[[#This Row],[IC-03]]=TRUE,Table1938[[#This Row],[IC-04]]=TRUE,Table1938[[#This Row],[IC-05]]=TRUE)</f>
        <v>0</v>
      </c>
      <c r="AC503" s="2" t="b">
        <f>AND(Table1938[[#This Row],[Pass-IC]]=TRUE,Table1938[[#This Row],[Pass-EC]]=TRUE)</f>
        <v>0</v>
      </c>
      <c r="AD503" s="2" t="b">
        <f>COUNTIF($D$25:D503, Table1938[[#This Row],[Title]]) = 1</f>
        <v>1</v>
      </c>
      <c r="AE503" s="2" t="b">
        <f>AND(Table1938[[#This Row],[IC + EC]:[Unique]])</f>
        <v>0</v>
      </c>
      <c r="AF503" s="2" t="b">
        <v>0</v>
      </c>
      <c r="AG503" s="2" t="b">
        <v>0</v>
      </c>
      <c r="AH503" s="2" t="b">
        <v>0</v>
      </c>
      <c r="AI503" s="2" t="b">
        <f>IF(AND(Table1938[[#This Row],[Double Check]]=TRUE,Table1938[[#This Row],[Inspected]]=TRUE,Table1938[[#This Row],[Relevant]]=TRUE),TRUE,FALSE)</f>
        <v>0</v>
      </c>
    </row>
    <row r="504" spans="1:35" ht="43" x14ac:dyDescent="0.5">
      <c r="A504" s="2">
        <v>503</v>
      </c>
      <c r="B504" s="20" t="s">
        <v>3</v>
      </c>
      <c r="C504" s="20" t="s">
        <v>3739</v>
      </c>
      <c r="D504" s="20" t="s">
        <v>2252</v>
      </c>
      <c r="E504" s="20" t="s">
        <v>2251</v>
      </c>
      <c r="F504" s="2" t="s">
        <v>2254</v>
      </c>
      <c r="G504" s="20" t="s">
        <v>920</v>
      </c>
      <c r="H504" s="36">
        <v>43922</v>
      </c>
      <c r="I504" s="20">
        <v>2020</v>
      </c>
      <c r="J504" s="20" t="s">
        <v>61</v>
      </c>
      <c r="K504" s="20" t="s">
        <v>3740</v>
      </c>
      <c r="L504" s="20" t="s">
        <v>2515</v>
      </c>
      <c r="M504" s="20" t="s">
        <v>2253</v>
      </c>
      <c r="N504" s="20" t="b">
        <v>1</v>
      </c>
      <c r="O504" s="2" t="b">
        <f>IF(Table1938[[#This Row],[Title]]="",TRUE,FALSE)</f>
        <v>0</v>
      </c>
      <c r="P504" s="2" t="b">
        <f>IF(Table1938[[#This Row],[Author]]="",TRUE,FALSE)</f>
        <v>0</v>
      </c>
      <c r="Q504" s="2" t="b">
        <f>IF(Table1938[[#This Row],[DOI]]&lt;&gt;"", FALSE,TRUE)</f>
        <v>0</v>
      </c>
      <c r="R504" s="2" t="b">
        <f>IF(Table1938[[#This Row],[Abstract]]="",TRUE,FALSE)</f>
        <v>0</v>
      </c>
      <c r="S504" s="2" t="b">
        <f>IF(OR(Table1938[[#This Row],[Document Type]]="book",Table1938[[#This Row],[Document Type]]="bookSection"),TRUE,FALSE)</f>
        <v>0</v>
      </c>
      <c r="T504" s="2" t="b">
        <f>NOT(IF(OR(Table1938[[#This Row],[Language]]&lt;&gt;"en",Table1938[[#This Row],[Language]]&lt;&gt;"EN",Table1938[[#This Row],[Language]]&lt;&gt;"spa",Table1938[[#This Row],[Language]]&lt;&gt;"SPA"),TRUE,FALSE))</f>
        <v>0</v>
      </c>
      <c r="U504" s="2" t="b">
        <f>IF(AND(Table1938[[#This Row],[EC-01]]=FALSE,Table1938[[#This Row],[EC-02]]=FALSE,Table1938[[#This Row],[EC-03]]=FALSE,Table1938[[#This Row],[EC-04]]=FALSE,Table1938[[#This Row],[EC-05]]=FALSE,Table1938[[#This Row],[EC-06]]=FALSE),TRUE,FALSE)</f>
        <v>1</v>
      </c>
      <c r="V504" s="2" t="b">
        <f>IF(Table1938[[#This Row],[Date]]&lt;&gt;"",AND(YEAR(Table1938[[#This Row],[Date]])&gt;=2010, YEAR(Table1938[[#This Row],[Date]])&lt;=2024),FALSE)</f>
        <v>1</v>
      </c>
      <c r="W504" s="2" t="b">
        <f>IF(Table1938[[#This Row],[Date]]&lt;&gt;"",AND(YEAR(Table1938[[#This Row],[Date]])&gt;=2010, YEAR(Table1938[[#This Row],[Date]])&lt;=2020),FALSE)</f>
        <v>1</v>
      </c>
      <c r="X504" s="2" t="b">
        <f>IF(AND(Table1938[[#This Row],[Accesible]]=TRUE,Table1938[[#This Row],[DOI]]&lt;&gt;""),TRUE,FALSE)</f>
        <v>1</v>
      </c>
      <c r="Y504" s="2" t="b">
        <f>OR(Table1938[[#This Row],[Document Type]]="journalArticle",Table1938[[#This Row],[Document Type]]="conferencePaper",Table1938[[#This Row],[Document Type]]="review")</f>
        <v>1</v>
      </c>
      <c r="Z504" s="2" t="b" cm="1">
        <f t="array" ref="Z504">SUMPRODUCT(--ISNUMBER(SEARCH({"dimensional analysis","dimensionless coefficients","Π","Pi","theorem","software","design","tools","development","architecture","similar"}, LOWER(Table1938[[#This Row],[Title]]))))&gt;0</f>
        <v>0</v>
      </c>
      <c r="AA504" s="2" t="b" cm="1">
        <f t="array" ref="AA504">SUMPRODUCT(--ISNUMBER(SEARCH({"dimensional analysis","dimensionless coefficients","Π","Pi","theorem","software","design","tools","development","architecture","similar"}, LOWER(Table1938[[#This Row],[Abstract]]))))&gt;0</f>
        <v>0</v>
      </c>
      <c r="AB504" s="2" t="b">
        <f>AND(OR(Table1938[[#This Row],[IC-01 @2024]:[IC-01 @2020]])=TRUE,Table1938[[#This Row],[IC-02]]=TRUE,Table1938[[#This Row],[IC-03]]=TRUE,Table1938[[#This Row],[IC-04]]=TRUE,Table1938[[#This Row],[IC-05]]=TRUE)</f>
        <v>0</v>
      </c>
      <c r="AC504" s="2" t="b">
        <f>AND(Table1938[[#This Row],[Pass-IC]]=TRUE,Table1938[[#This Row],[Pass-EC]]=TRUE)</f>
        <v>0</v>
      </c>
      <c r="AD504" s="2" t="b">
        <f>COUNTIF($D$25:D504, Table1938[[#This Row],[Title]]) = 1</f>
        <v>1</v>
      </c>
      <c r="AE504" s="2" t="b">
        <f>AND(Table1938[[#This Row],[IC + EC]:[Unique]])</f>
        <v>0</v>
      </c>
      <c r="AF504" s="2" t="b">
        <v>0</v>
      </c>
      <c r="AG504" s="2" t="b">
        <v>0</v>
      </c>
      <c r="AH504" s="2" t="b">
        <v>0</v>
      </c>
      <c r="AI504" s="2" t="b">
        <f>IF(AND(Table1938[[#This Row],[Double Check]]=TRUE,Table1938[[#This Row],[Inspected]]=TRUE,Table1938[[#This Row],[Relevant]]=TRUE),TRUE,FALSE)</f>
        <v>0</v>
      </c>
    </row>
    <row r="505" spans="1:35" ht="86" x14ac:dyDescent="0.5">
      <c r="A505" s="2">
        <v>504</v>
      </c>
      <c r="B505" s="20" t="s">
        <v>3</v>
      </c>
      <c r="C505" s="20" t="s">
        <v>3741</v>
      </c>
      <c r="D505" s="20" t="s">
        <v>1752</v>
      </c>
      <c r="E505" s="20" t="s">
        <v>1751</v>
      </c>
      <c r="F505" s="2" t="s">
        <v>1754</v>
      </c>
      <c r="G505" s="20" t="s">
        <v>960</v>
      </c>
      <c r="H505" s="36">
        <v>45513</v>
      </c>
      <c r="I505" s="20">
        <v>2024</v>
      </c>
      <c r="J505" s="20" t="s">
        <v>61</v>
      </c>
      <c r="K505" s="20" t="s">
        <v>3742</v>
      </c>
      <c r="L505" s="20" t="s">
        <v>2515</v>
      </c>
      <c r="M505" s="20" t="s">
        <v>1753</v>
      </c>
      <c r="N505" s="20" t="b">
        <v>1</v>
      </c>
      <c r="O505" s="2" t="b">
        <f>IF(Table1938[[#This Row],[Title]]="",TRUE,FALSE)</f>
        <v>0</v>
      </c>
      <c r="P505" s="2" t="b">
        <f>IF(Table1938[[#This Row],[Author]]="",TRUE,FALSE)</f>
        <v>0</v>
      </c>
      <c r="Q505" s="2" t="b">
        <f>IF(Table1938[[#This Row],[DOI]]&lt;&gt;"", FALSE,TRUE)</f>
        <v>0</v>
      </c>
      <c r="R505" s="2" t="b">
        <f>IF(Table1938[[#This Row],[Abstract]]="",TRUE,FALSE)</f>
        <v>0</v>
      </c>
      <c r="S505" s="2" t="b">
        <f>IF(OR(Table1938[[#This Row],[Document Type]]="book",Table1938[[#This Row],[Document Type]]="bookSection"),TRUE,FALSE)</f>
        <v>0</v>
      </c>
      <c r="T505" s="2" t="b">
        <f>NOT(IF(OR(Table1938[[#This Row],[Language]]&lt;&gt;"en",Table1938[[#This Row],[Language]]&lt;&gt;"EN",Table1938[[#This Row],[Language]]&lt;&gt;"spa",Table1938[[#This Row],[Language]]&lt;&gt;"SPA"),TRUE,FALSE))</f>
        <v>0</v>
      </c>
      <c r="U505" s="2" t="b">
        <f>IF(AND(Table1938[[#This Row],[EC-01]]=FALSE,Table1938[[#This Row],[EC-02]]=FALSE,Table1938[[#This Row],[EC-03]]=FALSE,Table1938[[#This Row],[EC-04]]=FALSE,Table1938[[#This Row],[EC-05]]=FALSE,Table1938[[#This Row],[EC-06]]=FALSE),TRUE,FALSE)</f>
        <v>1</v>
      </c>
      <c r="V505" s="2" t="b">
        <f>IF(Table1938[[#This Row],[Date]]&lt;&gt;"",AND(YEAR(Table1938[[#This Row],[Date]])&gt;=2010, YEAR(Table1938[[#This Row],[Date]])&lt;=2024),FALSE)</f>
        <v>1</v>
      </c>
      <c r="W505" s="2" t="b">
        <f>IF(Table1938[[#This Row],[Date]]&lt;&gt;"",AND(YEAR(Table1938[[#This Row],[Date]])&gt;=2010, YEAR(Table1938[[#This Row],[Date]])&lt;=2020),FALSE)</f>
        <v>0</v>
      </c>
      <c r="X505" s="2" t="b">
        <f>IF(AND(Table1938[[#This Row],[Accesible]]=TRUE,Table1938[[#This Row],[DOI]]&lt;&gt;""),TRUE,FALSE)</f>
        <v>1</v>
      </c>
      <c r="Y505" s="2" t="b">
        <f>OR(Table1938[[#This Row],[Document Type]]="journalArticle",Table1938[[#This Row],[Document Type]]="conferencePaper",Table1938[[#This Row],[Document Type]]="review")</f>
        <v>1</v>
      </c>
      <c r="Z505" s="2" t="b" cm="1">
        <f t="array" ref="Z505">SUMPRODUCT(--ISNUMBER(SEARCH({"dimensional analysis","dimensionless coefficients","Π","Pi","theorem","software","design","tools","development","architecture","similar"}, LOWER(Table1938[[#This Row],[Title]]))))&gt;0</f>
        <v>0</v>
      </c>
      <c r="AA505" s="2" t="b" cm="1">
        <f t="array" ref="AA505">SUMPRODUCT(--ISNUMBER(SEARCH({"dimensional analysis","dimensionless coefficients","Π","Pi","theorem","software","design","tools","development","architecture","similar"}, LOWER(Table1938[[#This Row],[Abstract]]))))&gt;0</f>
        <v>1</v>
      </c>
      <c r="AB505" s="2" t="b">
        <f>AND(OR(Table1938[[#This Row],[IC-01 @2024]:[IC-01 @2020]])=TRUE,Table1938[[#This Row],[IC-02]]=TRUE,Table1938[[#This Row],[IC-03]]=TRUE,Table1938[[#This Row],[IC-04]]=TRUE,Table1938[[#This Row],[IC-05]]=TRUE)</f>
        <v>0</v>
      </c>
      <c r="AC505" s="2" t="b">
        <f>AND(Table1938[[#This Row],[Pass-IC]]=TRUE,Table1938[[#This Row],[Pass-EC]]=TRUE)</f>
        <v>0</v>
      </c>
      <c r="AD505" s="2" t="b">
        <f>COUNTIF($D$25:D505, Table1938[[#This Row],[Title]]) = 1</f>
        <v>1</v>
      </c>
      <c r="AE505" s="2" t="b">
        <f>AND(Table1938[[#This Row],[IC + EC]:[Unique]])</f>
        <v>0</v>
      </c>
      <c r="AF505" s="2" t="b">
        <v>0</v>
      </c>
      <c r="AG505" s="2" t="b">
        <v>0</v>
      </c>
      <c r="AH505" s="2" t="b">
        <v>0</v>
      </c>
      <c r="AI505" s="2" t="b">
        <f>IF(AND(Table1938[[#This Row],[Double Check]]=TRUE,Table1938[[#This Row],[Inspected]]=TRUE,Table1938[[#This Row],[Relevant]]=TRUE),TRUE,FALSE)</f>
        <v>0</v>
      </c>
    </row>
    <row r="506" spans="1:35" ht="57.35" x14ac:dyDescent="0.5">
      <c r="A506" s="2">
        <v>505</v>
      </c>
      <c r="B506" s="20" t="s">
        <v>3</v>
      </c>
      <c r="C506" s="20" t="s">
        <v>3743</v>
      </c>
      <c r="D506" s="20" t="s">
        <v>1884</v>
      </c>
      <c r="E506" s="20" t="s">
        <v>1883</v>
      </c>
      <c r="F506" s="2" t="s">
        <v>1886</v>
      </c>
      <c r="G506" s="20" t="s">
        <v>937</v>
      </c>
      <c r="H506" s="36">
        <v>45275</v>
      </c>
      <c r="I506" s="20">
        <v>2023</v>
      </c>
      <c r="J506" s="20" t="s">
        <v>61</v>
      </c>
      <c r="K506" s="20" t="s">
        <v>3744</v>
      </c>
      <c r="L506" s="20" t="s">
        <v>2515</v>
      </c>
      <c r="M506" s="20" t="s">
        <v>1885</v>
      </c>
      <c r="N506" s="20" t="b">
        <v>1</v>
      </c>
      <c r="O506" s="2" t="b">
        <f>IF(Table1938[[#This Row],[Title]]="",TRUE,FALSE)</f>
        <v>0</v>
      </c>
      <c r="P506" s="2" t="b">
        <f>IF(Table1938[[#This Row],[Author]]="",TRUE,FALSE)</f>
        <v>0</v>
      </c>
      <c r="Q506" s="2" t="b">
        <f>IF(Table1938[[#This Row],[DOI]]&lt;&gt;"", FALSE,TRUE)</f>
        <v>0</v>
      </c>
      <c r="R506" s="2" t="b">
        <f>IF(Table1938[[#This Row],[Abstract]]="",TRUE,FALSE)</f>
        <v>0</v>
      </c>
      <c r="S506" s="2" t="b">
        <f>IF(OR(Table1938[[#This Row],[Document Type]]="book",Table1938[[#This Row],[Document Type]]="bookSection"),TRUE,FALSE)</f>
        <v>0</v>
      </c>
      <c r="T506" s="2" t="b">
        <f>NOT(IF(OR(Table1938[[#This Row],[Language]]&lt;&gt;"en",Table1938[[#This Row],[Language]]&lt;&gt;"EN",Table1938[[#This Row],[Language]]&lt;&gt;"spa",Table1938[[#This Row],[Language]]&lt;&gt;"SPA"),TRUE,FALSE))</f>
        <v>0</v>
      </c>
      <c r="U506" s="2" t="b">
        <f>IF(AND(Table1938[[#This Row],[EC-01]]=FALSE,Table1938[[#This Row],[EC-02]]=FALSE,Table1938[[#This Row],[EC-03]]=FALSE,Table1938[[#This Row],[EC-04]]=FALSE,Table1938[[#This Row],[EC-05]]=FALSE,Table1938[[#This Row],[EC-06]]=FALSE),TRUE,FALSE)</f>
        <v>1</v>
      </c>
      <c r="V506" s="2" t="b">
        <f>IF(Table1938[[#This Row],[Date]]&lt;&gt;"",AND(YEAR(Table1938[[#This Row],[Date]])&gt;=2010, YEAR(Table1938[[#This Row],[Date]])&lt;=2024),FALSE)</f>
        <v>1</v>
      </c>
      <c r="W506" s="2" t="b">
        <f>IF(Table1938[[#This Row],[Date]]&lt;&gt;"",AND(YEAR(Table1938[[#This Row],[Date]])&gt;=2010, YEAR(Table1938[[#This Row],[Date]])&lt;=2020),FALSE)</f>
        <v>0</v>
      </c>
      <c r="X506" s="2" t="b">
        <f>IF(AND(Table1938[[#This Row],[Accesible]]=TRUE,Table1938[[#This Row],[DOI]]&lt;&gt;""),TRUE,FALSE)</f>
        <v>1</v>
      </c>
      <c r="Y506" s="2" t="b">
        <f>OR(Table1938[[#This Row],[Document Type]]="journalArticle",Table1938[[#This Row],[Document Type]]="conferencePaper",Table1938[[#This Row],[Document Type]]="review")</f>
        <v>1</v>
      </c>
      <c r="Z506" s="2" t="b" cm="1">
        <f t="array" ref="Z506">SUMPRODUCT(--ISNUMBER(SEARCH({"dimensional analysis","dimensionless coefficients","Π","Pi","theorem","software","design","tools","development","architecture","similar"}, LOWER(Table1938[[#This Row],[Title]]))))&gt;0</f>
        <v>1</v>
      </c>
      <c r="AA506" s="2" t="b" cm="1">
        <f t="array" ref="AA506">SUMPRODUCT(--ISNUMBER(SEARCH({"dimensional analysis","dimensionless coefficients","Π","Pi","theorem","software","design","tools","development","architecture","similar"}, LOWER(Table1938[[#This Row],[Abstract]]))))&gt;0</f>
        <v>1</v>
      </c>
      <c r="AB506" s="2" t="b">
        <f>AND(OR(Table1938[[#This Row],[IC-01 @2024]:[IC-01 @2020]])=TRUE,Table1938[[#This Row],[IC-02]]=TRUE,Table1938[[#This Row],[IC-03]]=TRUE,Table1938[[#This Row],[IC-04]]=TRUE,Table1938[[#This Row],[IC-05]]=TRUE)</f>
        <v>1</v>
      </c>
      <c r="AC506" s="2" t="b">
        <f>AND(Table1938[[#This Row],[Pass-IC]]=TRUE,Table1938[[#This Row],[Pass-EC]]=TRUE)</f>
        <v>1</v>
      </c>
      <c r="AD506" s="2" t="b">
        <f>COUNTIF($D$25:D506, Table1938[[#This Row],[Title]]) = 1</f>
        <v>1</v>
      </c>
      <c r="AE506" s="2" t="b">
        <f>AND(Table1938[[#This Row],[IC + EC]:[Unique]])</f>
        <v>1</v>
      </c>
      <c r="AF506" s="2" t="b">
        <v>1</v>
      </c>
      <c r="AG506" s="2" t="b">
        <v>0</v>
      </c>
      <c r="AH506" s="2" t="b">
        <v>0</v>
      </c>
      <c r="AI506" s="2" t="b">
        <f>IF(AND(Table1938[[#This Row],[Double Check]]=TRUE,Table1938[[#This Row],[Inspected]]=TRUE,Table1938[[#This Row],[Relevant]]=TRUE),TRUE,FALSE)</f>
        <v>0</v>
      </c>
    </row>
    <row r="507" spans="1:35" ht="57.35" x14ac:dyDescent="0.5">
      <c r="A507" s="2">
        <v>506</v>
      </c>
      <c r="B507" s="20" t="s">
        <v>3</v>
      </c>
      <c r="C507" s="20" t="s">
        <v>3745</v>
      </c>
      <c r="D507" s="20" t="s">
        <v>1565</v>
      </c>
      <c r="E507" s="20" t="s">
        <v>1564</v>
      </c>
      <c r="F507" s="2" t="s">
        <v>1567</v>
      </c>
      <c r="G507" s="20" t="s">
        <v>996</v>
      </c>
      <c r="H507" s="36">
        <v>44409</v>
      </c>
      <c r="I507" s="20">
        <v>2021</v>
      </c>
      <c r="J507" s="20" t="s">
        <v>61</v>
      </c>
      <c r="K507" s="20" t="s">
        <v>3746</v>
      </c>
      <c r="L507" s="20" t="s">
        <v>2515</v>
      </c>
      <c r="M507" s="20" t="s">
        <v>1566</v>
      </c>
      <c r="N507" s="20" t="b">
        <v>1</v>
      </c>
      <c r="O507" s="2" t="b">
        <f>IF(Table1938[[#This Row],[Title]]="",TRUE,FALSE)</f>
        <v>0</v>
      </c>
      <c r="P507" s="2" t="b">
        <f>IF(Table1938[[#This Row],[Author]]="",TRUE,FALSE)</f>
        <v>0</v>
      </c>
      <c r="Q507" s="2" t="b">
        <f>IF(Table1938[[#This Row],[DOI]]&lt;&gt;"", FALSE,TRUE)</f>
        <v>0</v>
      </c>
      <c r="R507" s="2" t="b">
        <f>IF(Table1938[[#This Row],[Abstract]]="",TRUE,FALSE)</f>
        <v>0</v>
      </c>
      <c r="S507" s="2" t="b">
        <f>IF(OR(Table1938[[#This Row],[Document Type]]="book",Table1938[[#This Row],[Document Type]]="bookSection"),TRUE,FALSE)</f>
        <v>0</v>
      </c>
      <c r="T507" s="2" t="b">
        <f>NOT(IF(OR(Table1938[[#This Row],[Language]]&lt;&gt;"en",Table1938[[#This Row],[Language]]&lt;&gt;"EN",Table1938[[#This Row],[Language]]&lt;&gt;"spa",Table1938[[#This Row],[Language]]&lt;&gt;"SPA"),TRUE,FALSE))</f>
        <v>0</v>
      </c>
      <c r="U507" s="2" t="b">
        <f>IF(AND(Table1938[[#This Row],[EC-01]]=FALSE,Table1938[[#This Row],[EC-02]]=FALSE,Table1938[[#This Row],[EC-03]]=FALSE,Table1938[[#This Row],[EC-04]]=FALSE,Table1938[[#This Row],[EC-05]]=FALSE,Table1938[[#This Row],[EC-06]]=FALSE),TRUE,FALSE)</f>
        <v>1</v>
      </c>
      <c r="V507" s="2" t="b">
        <f>IF(Table1938[[#This Row],[Date]]&lt;&gt;"",AND(YEAR(Table1938[[#This Row],[Date]])&gt;=2010, YEAR(Table1938[[#This Row],[Date]])&lt;=2024),FALSE)</f>
        <v>1</v>
      </c>
      <c r="W507" s="2" t="b">
        <f>IF(Table1938[[#This Row],[Date]]&lt;&gt;"",AND(YEAR(Table1938[[#This Row],[Date]])&gt;=2010, YEAR(Table1938[[#This Row],[Date]])&lt;=2020),FALSE)</f>
        <v>0</v>
      </c>
      <c r="X507" s="2" t="b">
        <f>IF(AND(Table1938[[#This Row],[Accesible]]=TRUE,Table1938[[#This Row],[DOI]]&lt;&gt;""),TRUE,FALSE)</f>
        <v>1</v>
      </c>
      <c r="Y507" s="2" t="b">
        <f>OR(Table1938[[#This Row],[Document Type]]="journalArticle",Table1938[[#This Row],[Document Type]]="conferencePaper",Table1938[[#This Row],[Document Type]]="review")</f>
        <v>1</v>
      </c>
      <c r="Z507" s="2" t="b" cm="1">
        <f t="array" ref="Z507">SUMPRODUCT(--ISNUMBER(SEARCH({"dimensional analysis","dimensionless coefficients","Π","Pi","theorem","software","design","tools","development","architecture","similar"}, LOWER(Table1938[[#This Row],[Title]]))))&gt;0</f>
        <v>0</v>
      </c>
      <c r="AA507" s="2" t="b" cm="1">
        <f t="array" ref="AA507">SUMPRODUCT(--ISNUMBER(SEARCH({"dimensional analysis","dimensionless coefficients","Π","Pi","theorem","software","design","tools","development","architecture","similar"}, LOWER(Table1938[[#This Row],[Abstract]]))))&gt;0</f>
        <v>1</v>
      </c>
      <c r="AB507" s="2" t="b">
        <f>AND(OR(Table1938[[#This Row],[IC-01 @2024]:[IC-01 @2020]])=TRUE,Table1938[[#This Row],[IC-02]]=TRUE,Table1938[[#This Row],[IC-03]]=TRUE,Table1938[[#This Row],[IC-04]]=TRUE,Table1938[[#This Row],[IC-05]]=TRUE)</f>
        <v>0</v>
      </c>
      <c r="AC507" s="2" t="b">
        <f>AND(Table1938[[#This Row],[Pass-IC]]=TRUE,Table1938[[#This Row],[Pass-EC]]=TRUE)</f>
        <v>0</v>
      </c>
      <c r="AD507" s="2" t="b">
        <f>COUNTIF($D$25:D507, Table1938[[#This Row],[Title]]) = 1</f>
        <v>1</v>
      </c>
      <c r="AE507" s="2" t="b">
        <f>AND(Table1938[[#This Row],[IC + EC]:[Unique]])</f>
        <v>0</v>
      </c>
      <c r="AF507" s="2" t="b">
        <v>0</v>
      </c>
      <c r="AG507" s="2" t="b">
        <v>0</v>
      </c>
      <c r="AH507" s="2" t="b">
        <v>0</v>
      </c>
      <c r="AI507" s="2" t="b">
        <f>IF(AND(Table1938[[#This Row],[Double Check]]=TRUE,Table1938[[#This Row],[Inspected]]=TRUE,Table1938[[#This Row],[Relevant]]=TRUE),TRUE,FALSE)</f>
        <v>0</v>
      </c>
    </row>
    <row r="508" spans="1:35" ht="43" x14ac:dyDescent="0.5">
      <c r="A508" s="2">
        <v>507</v>
      </c>
      <c r="B508" s="20" t="s">
        <v>3</v>
      </c>
      <c r="C508" s="20" t="s">
        <v>3747</v>
      </c>
      <c r="D508" s="20" t="s">
        <v>1788</v>
      </c>
      <c r="E508" s="20" t="s">
        <v>1787</v>
      </c>
      <c r="F508" s="2" t="s">
        <v>1790</v>
      </c>
      <c r="G508" s="20" t="s">
        <v>996</v>
      </c>
      <c r="H508" s="36">
        <v>45200</v>
      </c>
      <c r="I508" s="20">
        <v>2023</v>
      </c>
      <c r="J508" s="20" t="s">
        <v>61</v>
      </c>
      <c r="K508" s="20" t="s">
        <v>3748</v>
      </c>
      <c r="L508" s="20" t="s">
        <v>2515</v>
      </c>
      <c r="M508" s="20" t="s">
        <v>1789</v>
      </c>
      <c r="N508" s="20" t="b">
        <v>1</v>
      </c>
      <c r="O508" s="2" t="b">
        <f>IF(Table1938[[#This Row],[Title]]="",TRUE,FALSE)</f>
        <v>0</v>
      </c>
      <c r="P508" s="2" t="b">
        <f>IF(Table1938[[#This Row],[Author]]="",TRUE,FALSE)</f>
        <v>0</v>
      </c>
      <c r="Q508" s="2" t="b">
        <f>IF(Table1938[[#This Row],[DOI]]&lt;&gt;"", FALSE,TRUE)</f>
        <v>0</v>
      </c>
      <c r="R508" s="2" t="b">
        <f>IF(Table1938[[#This Row],[Abstract]]="",TRUE,FALSE)</f>
        <v>0</v>
      </c>
      <c r="S508" s="2" t="b">
        <f>IF(OR(Table1938[[#This Row],[Document Type]]="book",Table1938[[#This Row],[Document Type]]="bookSection"),TRUE,FALSE)</f>
        <v>0</v>
      </c>
      <c r="T508" s="2" t="b">
        <f>NOT(IF(OR(Table1938[[#This Row],[Language]]&lt;&gt;"en",Table1938[[#This Row],[Language]]&lt;&gt;"EN",Table1938[[#This Row],[Language]]&lt;&gt;"spa",Table1938[[#This Row],[Language]]&lt;&gt;"SPA"),TRUE,FALSE))</f>
        <v>0</v>
      </c>
      <c r="U508" s="2" t="b">
        <f>IF(AND(Table1938[[#This Row],[EC-01]]=FALSE,Table1938[[#This Row],[EC-02]]=FALSE,Table1938[[#This Row],[EC-03]]=FALSE,Table1938[[#This Row],[EC-04]]=FALSE,Table1938[[#This Row],[EC-05]]=FALSE,Table1938[[#This Row],[EC-06]]=FALSE),TRUE,FALSE)</f>
        <v>1</v>
      </c>
      <c r="V508" s="2" t="b">
        <f>IF(Table1938[[#This Row],[Date]]&lt;&gt;"",AND(YEAR(Table1938[[#This Row],[Date]])&gt;=2010, YEAR(Table1938[[#This Row],[Date]])&lt;=2024),FALSE)</f>
        <v>1</v>
      </c>
      <c r="W508" s="2" t="b">
        <f>IF(Table1938[[#This Row],[Date]]&lt;&gt;"",AND(YEAR(Table1938[[#This Row],[Date]])&gt;=2010, YEAR(Table1938[[#This Row],[Date]])&lt;=2020),FALSE)</f>
        <v>0</v>
      </c>
      <c r="X508" s="2" t="b">
        <f>IF(AND(Table1938[[#This Row],[Accesible]]=TRUE,Table1938[[#This Row],[DOI]]&lt;&gt;""),TRUE,FALSE)</f>
        <v>1</v>
      </c>
      <c r="Y508" s="2" t="b">
        <f>OR(Table1938[[#This Row],[Document Type]]="journalArticle",Table1938[[#This Row],[Document Type]]="conferencePaper",Table1938[[#This Row],[Document Type]]="review")</f>
        <v>1</v>
      </c>
      <c r="Z508" s="2" t="b" cm="1">
        <f t="array" ref="Z508">SUMPRODUCT(--ISNUMBER(SEARCH({"dimensional analysis","dimensionless coefficients","Π","Pi","theorem","software","design","tools","development","architecture","similar"}, LOWER(Table1938[[#This Row],[Title]]))))&gt;0</f>
        <v>0</v>
      </c>
      <c r="AA508" s="2" t="b" cm="1">
        <f t="array" ref="AA508">SUMPRODUCT(--ISNUMBER(SEARCH({"dimensional analysis","dimensionless coefficients","Π","Pi","theorem","software","design","tools","development","architecture","similar"}, LOWER(Table1938[[#This Row],[Abstract]]))))&gt;0</f>
        <v>1</v>
      </c>
      <c r="AB508" s="2" t="b">
        <f>AND(OR(Table1938[[#This Row],[IC-01 @2024]:[IC-01 @2020]])=TRUE,Table1938[[#This Row],[IC-02]]=TRUE,Table1938[[#This Row],[IC-03]]=TRUE,Table1938[[#This Row],[IC-04]]=TRUE,Table1938[[#This Row],[IC-05]]=TRUE)</f>
        <v>0</v>
      </c>
      <c r="AC508" s="2" t="b">
        <f>AND(Table1938[[#This Row],[Pass-IC]]=TRUE,Table1938[[#This Row],[Pass-EC]]=TRUE)</f>
        <v>0</v>
      </c>
      <c r="AD508" s="2" t="b">
        <f>COUNTIF($D$25:D508, Table1938[[#This Row],[Title]]) = 1</f>
        <v>1</v>
      </c>
      <c r="AE508" s="2" t="b">
        <f>AND(Table1938[[#This Row],[IC + EC]:[Unique]])</f>
        <v>0</v>
      </c>
      <c r="AF508" s="2" t="b">
        <v>0</v>
      </c>
      <c r="AG508" s="2" t="b">
        <v>0</v>
      </c>
      <c r="AH508" s="2" t="b">
        <v>0</v>
      </c>
      <c r="AI508" s="2" t="b">
        <f>IF(AND(Table1938[[#This Row],[Double Check]]=TRUE,Table1938[[#This Row],[Inspected]]=TRUE,Table1938[[#This Row],[Relevant]]=TRUE),TRUE,FALSE)</f>
        <v>0</v>
      </c>
    </row>
    <row r="509" spans="1:35" ht="86" x14ac:dyDescent="0.5">
      <c r="A509" s="2">
        <v>508</v>
      </c>
      <c r="B509" s="20" t="s">
        <v>3</v>
      </c>
      <c r="C509" s="20" t="s">
        <v>3749</v>
      </c>
      <c r="D509" s="20" t="s">
        <v>1569</v>
      </c>
      <c r="E509" s="20" t="s">
        <v>1568</v>
      </c>
      <c r="F509" s="2" t="s">
        <v>1571</v>
      </c>
      <c r="G509" s="20" t="s">
        <v>1113</v>
      </c>
      <c r="H509" s="36">
        <v>43831</v>
      </c>
      <c r="I509" s="20">
        <v>2020</v>
      </c>
      <c r="J509" s="20" t="s">
        <v>61</v>
      </c>
      <c r="K509" s="20" t="s">
        <v>3750</v>
      </c>
      <c r="L509" s="20" t="s">
        <v>2515</v>
      </c>
      <c r="M509" s="20" t="s">
        <v>1570</v>
      </c>
      <c r="N509" s="20" t="b">
        <v>1</v>
      </c>
      <c r="O509" s="2" t="b">
        <f>IF(Table1938[[#This Row],[Title]]="",TRUE,FALSE)</f>
        <v>0</v>
      </c>
      <c r="P509" s="2" t="b">
        <f>IF(Table1938[[#This Row],[Author]]="",TRUE,FALSE)</f>
        <v>0</v>
      </c>
      <c r="Q509" s="2" t="b">
        <f>IF(Table1938[[#This Row],[DOI]]&lt;&gt;"", FALSE,TRUE)</f>
        <v>0</v>
      </c>
      <c r="R509" s="2" t="b">
        <f>IF(Table1938[[#This Row],[Abstract]]="",TRUE,FALSE)</f>
        <v>0</v>
      </c>
      <c r="S509" s="2" t="b">
        <f>IF(OR(Table1938[[#This Row],[Document Type]]="book",Table1938[[#This Row],[Document Type]]="bookSection"),TRUE,FALSE)</f>
        <v>0</v>
      </c>
      <c r="T509" s="2" t="b">
        <f>NOT(IF(OR(Table1938[[#This Row],[Language]]&lt;&gt;"en",Table1938[[#This Row],[Language]]&lt;&gt;"EN",Table1938[[#This Row],[Language]]&lt;&gt;"spa",Table1938[[#This Row],[Language]]&lt;&gt;"SPA"),TRUE,FALSE))</f>
        <v>0</v>
      </c>
      <c r="U509" s="2" t="b">
        <f>IF(AND(Table1938[[#This Row],[EC-01]]=FALSE,Table1938[[#This Row],[EC-02]]=FALSE,Table1938[[#This Row],[EC-03]]=FALSE,Table1938[[#This Row],[EC-04]]=FALSE,Table1938[[#This Row],[EC-05]]=FALSE,Table1938[[#This Row],[EC-06]]=FALSE),TRUE,FALSE)</f>
        <v>1</v>
      </c>
      <c r="V509" s="2" t="b">
        <f>IF(Table1938[[#This Row],[Date]]&lt;&gt;"",AND(YEAR(Table1938[[#This Row],[Date]])&gt;=2010, YEAR(Table1938[[#This Row],[Date]])&lt;=2024),FALSE)</f>
        <v>1</v>
      </c>
      <c r="W509" s="2" t="b">
        <f>IF(Table1938[[#This Row],[Date]]&lt;&gt;"",AND(YEAR(Table1938[[#This Row],[Date]])&gt;=2010, YEAR(Table1938[[#This Row],[Date]])&lt;=2020),FALSE)</f>
        <v>1</v>
      </c>
      <c r="X509" s="2" t="b">
        <f>IF(AND(Table1938[[#This Row],[Accesible]]=TRUE,Table1938[[#This Row],[DOI]]&lt;&gt;""),TRUE,FALSE)</f>
        <v>1</v>
      </c>
      <c r="Y509" s="2" t="b">
        <f>OR(Table1938[[#This Row],[Document Type]]="journalArticle",Table1938[[#This Row],[Document Type]]="conferencePaper",Table1938[[#This Row],[Document Type]]="review")</f>
        <v>1</v>
      </c>
      <c r="Z509" s="2" t="b" cm="1">
        <f t="array" ref="Z509">SUMPRODUCT(--ISNUMBER(SEARCH({"dimensional analysis","dimensionless coefficients","Π","Pi","theorem","software","design","tools","development","architecture","similar"}, LOWER(Table1938[[#This Row],[Title]]))))&gt;0</f>
        <v>1</v>
      </c>
      <c r="AA509" s="2" t="b" cm="1">
        <f t="array" ref="AA509">SUMPRODUCT(--ISNUMBER(SEARCH({"dimensional analysis","dimensionless coefficients","Π","Pi","theorem","software","design","tools","development","architecture","similar"}, LOWER(Table1938[[#This Row],[Abstract]]))))&gt;0</f>
        <v>1</v>
      </c>
      <c r="AB509" s="2" t="b">
        <f>AND(OR(Table1938[[#This Row],[IC-01 @2024]:[IC-01 @2020]])=TRUE,Table1938[[#This Row],[IC-02]]=TRUE,Table1938[[#This Row],[IC-03]]=TRUE,Table1938[[#This Row],[IC-04]]=TRUE,Table1938[[#This Row],[IC-05]]=TRUE)</f>
        <v>1</v>
      </c>
      <c r="AC509" s="2" t="b">
        <f>AND(Table1938[[#This Row],[Pass-IC]]=TRUE,Table1938[[#This Row],[Pass-EC]]=TRUE)</f>
        <v>1</v>
      </c>
      <c r="AD509" s="2" t="b">
        <f>COUNTIF($D$25:D509, Table1938[[#This Row],[Title]]) = 1</f>
        <v>1</v>
      </c>
      <c r="AE509" s="2" t="b">
        <f>AND(Table1938[[#This Row],[IC + EC]:[Unique]])</f>
        <v>1</v>
      </c>
      <c r="AF509" s="2" t="b">
        <v>1</v>
      </c>
      <c r="AG509" s="2" t="b">
        <v>0</v>
      </c>
      <c r="AH509" s="2" t="b">
        <v>0</v>
      </c>
      <c r="AI509" s="2" t="b">
        <f>IF(AND(Table1938[[#This Row],[Double Check]]=TRUE,Table1938[[#This Row],[Inspected]]=TRUE,Table1938[[#This Row],[Relevant]]=TRUE),TRUE,FALSE)</f>
        <v>0</v>
      </c>
    </row>
    <row r="510" spans="1:35" ht="86" x14ac:dyDescent="0.5">
      <c r="A510" s="2">
        <v>509</v>
      </c>
      <c r="B510" s="20" t="s">
        <v>3</v>
      </c>
      <c r="C510" s="20" t="s">
        <v>3751</v>
      </c>
      <c r="D510" s="20" t="s">
        <v>1183</v>
      </c>
      <c r="E510" s="20" t="s">
        <v>1182</v>
      </c>
      <c r="F510" s="2" t="s">
        <v>1185</v>
      </c>
      <c r="G510" s="20" t="s">
        <v>918</v>
      </c>
      <c r="H510" s="36">
        <v>45627</v>
      </c>
      <c r="I510" s="20">
        <v>2024</v>
      </c>
      <c r="J510" s="20" t="s">
        <v>61</v>
      </c>
      <c r="K510" s="20" t="s">
        <v>3752</v>
      </c>
      <c r="L510" s="20" t="s">
        <v>2515</v>
      </c>
      <c r="M510" s="20" t="s">
        <v>1184</v>
      </c>
      <c r="N510" s="20" t="b">
        <v>1</v>
      </c>
      <c r="O510" s="2" t="b">
        <f>IF(Table1938[[#This Row],[Title]]="",TRUE,FALSE)</f>
        <v>0</v>
      </c>
      <c r="P510" s="2" t="b">
        <f>IF(Table1938[[#This Row],[Author]]="",TRUE,FALSE)</f>
        <v>0</v>
      </c>
      <c r="Q510" s="2" t="b">
        <f>IF(Table1938[[#This Row],[DOI]]&lt;&gt;"", FALSE,TRUE)</f>
        <v>0</v>
      </c>
      <c r="R510" s="2" t="b">
        <f>IF(Table1938[[#This Row],[Abstract]]="",TRUE,FALSE)</f>
        <v>0</v>
      </c>
      <c r="S510" s="2" t="b">
        <f>IF(OR(Table1938[[#This Row],[Document Type]]="book",Table1938[[#This Row],[Document Type]]="bookSection"),TRUE,FALSE)</f>
        <v>0</v>
      </c>
      <c r="T510" s="2" t="b">
        <f>NOT(IF(OR(Table1938[[#This Row],[Language]]&lt;&gt;"en",Table1938[[#This Row],[Language]]&lt;&gt;"EN",Table1938[[#This Row],[Language]]&lt;&gt;"spa",Table1938[[#This Row],[Language]]&lt;&gt;"SPA"),TRUE,FALSE))</f>
        <v>0</v>
      </c>
      <c r="U510" s="2" t="b">
        <f>IF(AND(Table1938[[#This Row],[EC-01]]=FALSE,Table1938[[#This Row],[EC-02]]=FALSE,Table1938[[#This Row],[EC-03]]=FALSE,Table1938[[#This Row],[EC-04]]=FALSE,Table1938[[#This Row],[EC-05]]=FALSE,Table1938[[#This Row],[EC-06]]=FALSE),TRUE,FALSE)</f>
        <v>1</v>
      </c>
      <c r="V510" s="2" t="b">
        <f>IF(Table1938[[#This Row],[Date]]&lt;&gt;"",AND(YEAR(Table1938[[#This Row],[Date]])&gt;=2010, YEAR(Table1938[[#This Row],[Date]])&lt;=2024),FALSE)</f>
        <v>1</v>
      </c>
      <c r="W510" s="2" t="b">
        <f>IF(Table1938[[#This Row],[Date]]&lt;&gt;"",AND(YEAR(Table1938[[#This Row],[Date]])&gt;=2010, YEAR(Table1938[[#This Row],[Date]])&lt;=2020),FALSE)</f>
        <v>0</v>
      </c>
      <c r="X510" s="2" t="b">
        <f>IF(AND(Table1938[[#This Row],[Accesible]]=TRUE,Table1938[[#This Row],[DOI]]&lt;&gt;""),TRUE,FALSE)</f>
        <v>1</v>
      </c>
      <c r="Y510" s="2" t="b">
        <f>OR(Table1938[[#This Row],[Document Type]]="journalArticle",Table1938[[#This Row],[Document Type]]="conferencePaper",Table1938[[#This Row],[Document Type]]="review")</f>
        <v>1</v>
      </c>
      <c r="Z510" s="2" t="b" cm="1">
        <f t="array" ref="Z510">SUMPRODUCT(--ISNUMBER(SEARCH({"dimensional analysis","dimensionless coefficients","Π","Pi","theorem","software","design","tools","development","architecture","similar"}, LOWER(Table1938[[#This Row],[Title]]))))&gt;0</f>
        <v>1</v>
      </c>
      <c r="AA510" s="2" t="b" cm="1">
        <f t="array" ref="AA510">SUMPRODUCT(--ISNUMBER(SEARCH({"dimensional analysis","dimensionless coefficients","Π","Pi","theorem","software","design","tools","development","architecture","similar"}, LOWER(Table1938[[#This Row],[Abstract]]))))&gt;0</f>
        <v>1</v>
      </c>
      <c r="AB510" s="2" t="b">
        <f>AND(OR(Table1938[[#This Row],[IC-01 @2024]:[IC-01 @2020]])=TRUE,Table1938[[#This Row],[IC-02]]=TRUE,Table1938[[#This Row],[IC-03]]=TRUE,Table1938[[#This Row],[IC-04]]=TRUE,Table1938[[#This Row],[IC-05]]=TRUE)</f>
        <v>1</v>
      </c>
      <c r="AC510" s="2" t="b">
        <f>AND(Table1938[[#This Row],[Pass-IC]]=TRUE,Table1938[[#This Row],[Pass-EC]]=TRUE)</f>
        <v>1</v>
      </c>
      <c r="AD510" s="2" t="b">
        <f>COUNTIF($D$25:D510, Table1938[[#This Row],[Title]]) = 1</f>
        <v>1</v>
      </c>
      <c r="AE510" s="2" t="b">
        <f>AND(Table1938[[#This Row],[IC + EC]:[Unique]])</f>
        <v>1</v>
      </c>
      <c r="AF510" s="2" t="b">
        <v>1</v>
      </c>
      <c r="AG510" s="2" t="b">
        <v>0</v>
      </c>
      <c r="AH510" s="2" t="b">
        <v>0</v>
      </c>
      <c r="AI510" s="2" t="b">
        <f>IF(AND(Table1938[[#This Row],[Double Check]]=TRUE,Table1938[[#This Row],[Inspected]]=TRUE,Table1938[[#This Row],[Relevant]]=TRUE),TRUE,FALSE)</f>
        <v>0</v>
      </c>
    </row>
    <row r="511" spans="1:35" ht="57.35" x14ac:dyDescent="0.5">
      <c r="A511" s="2">
        <v>510</v>
      </c>
      <c r="B511" s="20" t="s">
        <v>3</v>
      </c>
      <c r="C511" s="20" t="s">
        <v>3753</v>
      </c>
      <c r="D511" s="20" t="s">
        <v>1153</v>
      </c>
      <c r="E511" s="20" t="s">
        <v>1152</v>
      </c>
      <c r="F511" s="2" t="s">
        <v>1155</v>
      </c>
      <c r="G511" s="20" t="s">
        <v>996</v>
      </c>
      <c r="H511" s="36">
        <v>45627</v>
      </c>
      <c r="I511" s="20">
        <v>2024</v>
      </c>
      <c r="J511" s="20" t="s">
        <v>61</v>
      </c>
      <c r="K511" s="20" t="s">
        <v>3754</v>
      </c>
      <c r="L511" s="20" t="s">
        <v>2515</v>
      </c>
      <c r="M511" s="20" t="s">
        <v>1154</v>
      </c>
      <c r="N511" s="20" t="b">
        <v>1</v>
      </c>
      <c r="O511" s="2" t="b">
        <f>IF(Table1938[[#This Row],[Title]]="",TRUE,FALSE)</f>
        <v>0</v>
      </c>
      <c r="P511" s="2" t="b">
        <f>IF(Table1938[[#This Row],[Author]]="",TRUE,FALSE)</f>
        <v>0</v>
      </c>
      <c r="Q511" s="2" t="b">
        <f>IF(Table1938[[#This Row],[DOI]]&lt;&gt;"", FALSE,TRUE)</f>
        <v>0</v>
      </c>
      <c r="R511" s="2" t="b">
        <f>IF(Table1938[[#This Row],[Abstract]]="",TRUE,FALSE)</f>
        <v>0</v>
      </c>
      <c r="S511" s="2" t="b">
        <f>IF(OR(Table1938[[#This Row],[Document Type]]="book",Table1938[[#This Row],[Document Type]]="bookSection"),TRUE,FALSE)</f>
        <v>0</v>
      </c>
      <c r="T511" s="2" t="b">
        <f>NOT(IF(OR(Table1938[[#This Row],[Language]]&lt;&gt;"en",Table1938[[#This Row],[Language]]&lt;&gt;"EN",Table1938[[#This Row],[Language]]&lt;&gt;"spa",Table1938[[#This Row],[Language]]&lt;&gt;"SPA"),TRUE,FALSE))</f>
        <v>0</v>
      </c>
      <c r="U511" s="2" t="b">
        <f>IF(AND(Table1938[[#This Row],[EC-01]]=FALSE,Table1938[[#This Row],[EC-02]]=FALSE,Table1938[[#This Row],[EC-03]]=FALSE,Table1938[[#This Row],[EC-04]]=FALSE,Table1938[[#This Row],[EC-05]]=FALSE,Table1938[[#This Row],[EC-06]]=FALSE),TRUE,FALSE)</f>
        <v>1</v>
      </c>
      <c r="V511" s="2" t="b">
        <f>IF(Table1938[[#This Row],[Date]]&lt;&gt;"",AND(YEAR(Table1938[[#This Row],[Date]])&gt;=2010, YEAR(Table1938[[#This Row],[Date]])&lt;=2024),FALSE)</f>
        <v>1</v>
      </c>
      <c r="W511" s="2" t="b">
        <f>IF(Table1938[[#This Row],[Date]]&lt;&gt;"",AND(YEAR(Table1938[[#This Row],[Date]])&gt;=2010, YEAR(Table1938[[#This Row],[Date]])&lt;=2020),FALSE)</f>
        <v>0</v>
      </c>
      <c r="X511" s="2" t="b">
        <f>IF(AND(Table1938[[#This Row],[Accesible]]=TRUE,Table1938[[#This Row],[DOI]]&lt;&gt;""),TRUE,FALSE)</f>
        <v>1</v>
      </c>
      <c r="Y511" s="2" t="b">
        <f>OR(Table1938[[#This Row],[Document Type]]="journalArticle",Table1938[[#This Row],[Document Type]]="conferencePaper",Table1938[[#This Row],[Document Type]]="review")</f>
        <v>1</v>
      </c>
      <c r="Z511" s="2" t="b" cm="1">
        <f t="array" ref="Z511">SUMPRODUCT(--ISNUMBER(SEARCH({"dimensional analysis","dimensionless coefficients","Π","Pi","theorem","software","design","tools","development","architecture","similar"}, LOWER(Table1938[[#This Row],[Title]]))))&gt;0</f>
        <v>0</v>
      </c>
      <c r="AA511" s="2" t="b" cm="1">
        <f t="array" ref="AA511">SUMPRODUCT(--ISNUMBER(SEARCH({"dimensional analysis","dimensionless coefficients","Π","Pi","theorem","software","design","tools","development","architecture","similar"}, LOWER(Table1938[[#This Row],[Abstract]]))))&gt;0</f>
        <v>1</v>
      </c>
      <c r="AB511" s="2" t="b">
        <f>AND(OR(Table1938[[#This Row],[IC-01 @2024]:[IC-01 @2020]])=TRUE,Table1938[[#This Row],[IC-02]]=TRUE,Table1938[[#This Row],[IC-03]]=TRUE,Table1938[[#This Row],[IC-04]]=TRUE,Table1938[[#This Row],[IC-05]]=TRUE)</f>
        <v>0</v>
      </c>
      <c r="AC511" s="2" t="b">
        <f>AND(Table1938[[#This Row],[Pass-IC]]=TRUE,Table1938[[#This Row],[Pass-EC]]=TRUE)</f>
        <v>0</v>
      </c>
      <c r="AD511" s="2" t="b">
        <f>COUNTIF($D$25:D511, Table1938[[#This Row],[Title]]) = 1</f>
        <v>1</v>
      </c>
      <c r="AE511" s="2" t="b">
        <f>AND(Table1938[[#This Row],[IC + EC]:[Unique]])</f>
        <v>0</v>
      </c>
      <c r="AF511" s="2" t="b">
        <v>0</v>
      </c>
      <c r="AG511" s="2" t="b">
        <v>0</v>
      </c>
      <c r="AH511" s="2" t="b">
        <v>0</v>
      </c>
      <c r="AI511" s="2" t="b">
        <f>IF(AND(Table1938[[#This Row],[Double Check]]=TRUE,Table1938[[#This Row],[Inspected]]=TRUE,Table1938[[#This Row],[Relevant]]=TRUE),TRUE,FALSE)</f>
        <v>0</v>
      </c>
    </row>
    <row r="512" spans="1:35" ht="43" x14ac:dyDescent="0.5">
      <c r="A512" s="2">
        <v>511</v>
      </c>
      <c r="B512" s="20" t="s">
        <v>3</v>
      </c>
      <c r="C512" s="20" t="s">
        <v>3755</v>
      </c>
      <c r="D512" s="20" t="s">
        <v>1841</v>
      </c>
      <c r="E512" s="20" t="s">
        <v>1840</v>
      </c>
      <c r="F512" s="2" t="s">
        <v>1843</v>
      </c>
      <c r="G512" s="20" t="s">
        <v>997</v>
      </c>
      <c r="H512" s="36">
        <v>44105</v>
      </c>
      <c r="I512" s="20">
        <v>2020</v>
      </c>
      <c r="J512" s="20" t="s">
        <v>61</v>
      </c>
      <c r="K512" s="20" t="s">
        <v>3756</v>
      </c>
      <c r="L512" s="20" t="s">
        <v>2515</v>
      </c>
      <c r="M512" s="20" t="s">
        <v>1842</v>
      </c>
      <c r="N512" s="20" t="b">
        <v>1</v>
      </c>
      <c r="O512" s="2" t="b">
        <f>IF(Table1938[[#This Row],[Title]]="",TRUE,FALSE)</f>
        <v>0</v>
      </c>
      <c r="P512" s="2" t="b">
        <f>IF(Table1938[[#This Row],[Author]]="",TRUE,FALSE)</f>
        <v>0</v>
      </c>
      <c r="Q512" s="2" t="b">
        <f>IF(Table1938[[#This Row],[DOI]]&lt;&gt;"", FALSE,TRUE)</f>
        <v>0</v>
      </c>
      <c r="R512" s="2" t="b">
        <f>IF(Table1938[[#This Row],[Abstract]]="",TRUE,FALSE)</f>
        <v>0</v>
      </c>
      <c r="S512" s="2" t="b">
        <f>IF(OR(Table1938[[#This Row],[Document Type]]="book",Table1938[[#This Row],[Document Type]]="bookSection"),TRUE,FALSE)</f>
        <v>0</v>
      </c>
      <c r="T512" s="2" t="b">
        <f>NOT(IF(OR(Table1938[[#This Row],[Language]]&lt;&gt;"en",Table1938[[#This Row],[Language]]&lt;&gt;"EN",Table1938[[#This Row],[Language]]&lt;&gt;"spa",Table1938[[#This Row],[Language]]&lt;&gt;"SPA"),TRUE,FALSE))</f>
        <v>0</v>
      </c>
      <c r="U512" s="2" t="b">
        <f>IF(AND(Table1938[[#This Row],[EC-01]]=FALSE,Table1938[[#This Row],[EC-02]]=FALSE,Table1938[[#This Row],[EC-03]]=FALSE,Table1938[[#This Row],[EC-04]]=FALSE,Table1938[[#This Row],[EC-05]]=FALSE,Table1938[[#This Row],[EC-06]]=FALSE),TRUE,FALSE)</f>
        <v>1</v>
      </c>
      <c r="V512" s="2" t="b">
        <f>IF(Table1938[[#This Row],[Date]]&lt;&gt;"",AND(YEAR(Table1938[[#This Row],[Date]])&gt;=2010, YEAR(Table1938[[#This Row],[Date]])&lt;=2024),FALSE)</f>
        <v>1</v>
      </c>
      <c r="W512" s="2" t="b">
        <f>IF(Table1938[[#This Row],[Date]]&lt;&gt;"",AND(YEAR(Table1938[[#This Row],[Date]])&gt;=2010, YEAR(Table1938[[#This Row],[Date]])&lt;=2020),FALSE)</f>
        <v>1</v>
      </c>
      <c r="X512" s="2" t="b">
        <f>IF(AND(Table1938[[#This Row],[Accesible]]=TRUE,Table1938[[#This Row],[DOI]]&lt;&gt;""),TRUE,FALSE)</f>
        <v>1</v>
      </c>
      <c r="Y512" s="2" t="b">
        <f>OR(Table1938[[#This Row],[Document Type]]="journalArticle",Table1938[[#This Row],[Document Type]]="conferencePaper",Table1938[[#This Row],[Document Type]]="review")</f>
        <v>1</v>
      </c>
      <c r="Z512" s="2" t="b" cm="1">
        <f t="array" ref="Z512">SUMPRODUCT(--ISNUMBER(SEARCH({"dimensional analysis","dimensionless coefficients","Π","Pi","theorem","software","design","tools","development","architecture","similar"}, LOWER(Table1938[[#This Row],[Title]]))))&gt;0</f>
        <v>0</v>
      </c>
      <c r="AA512" s="2" t="b" cm="1">
        <f t="array" ref="AA512">SUMPRODUCT(--ISNUMBER(SEARCH({"dimensional analysis","dimensionless coefficients","Π","Pi","theorem","software","design","tools","development","architecture","similar"}, LOWER(Table1938[[#This Row],[Abstract]]))))&gt;0</f>
        <v>1</v>
      </c>
      <c r="AB512" s="2" t="b">
        <f>AND(OR(Table1938[[#This Row],[IC-01 @2024]:[IC-01 @2020]])=TRUE,Table1938[[#This Row],[IC-02]]=TRUE,Table1938[[#This Row],[IC-03]]=TRUE,Table1938[[#This Row],[IC-04]]=TRUE,Table1938[[#This Row],[IC-05]]=TRUE)</f>
        <v>0</v>
      </c>
      <c r="AC512" s="2" t="b">
        <f>AND(Table1938[[#This Row],[Pass-IC]]=TRUE,Table1938[[#This Row],[Pass-EC]]=TRUE)</f>
        <v>0</v>
      </c>
      <c r="AD512" s="2" t="b">
        <f>COUNTIF($D$25:D512, Table1938[[#This Row],[Title]]) = 1</f>
        <v>1</v>
      </c>
      <c r="AE512" s="2" t="b">
        <f>AND(Table1938[[#This Row],[IC + EC]:[Unique]])</f>
        <v>0</v>
      </c>
      <c r="AF512" s="2" t="b">
        <v>0</v>
      </c>
      <c r="AG512" s="2" t="b">
        <v>0</v>
      </c>
      <c r="AH512" s="2" t="b">
        <v>0</v>
      </c>
      <c r="AI512" s="2" t="b">
        <f>IF(AND(Table1938[[#This Row],[Double Check]]=TRUE,Table1938[[#This Row],[Inspected]]=TRUE,Table1938[[#This Row],[Relevant]]=TRUE),TRUE,FALSE)</f>
        <v>0</v>
      </c>
    </row>
    <row r="513" spans="1:35" ht="71.7" x14ac:dyDescent="0.5">
      <c r="A513" s="2">
        <v>512</v>
      </c>
      <c r="B513" s="20" t="s">
        <v>3</v>
      </c>
      <c r="C513" s="20" t="s">
        <v>3757</v>
      </c>
      <c r="D513" s="20" t="s">
        <v>2392</v>
      </c>
      <c r="E513" s="20" t="s">
        <v>2391</v>
      </c>
      <c r="F513" s="2" t="s">
        <v>2394</v>
      </c>
      <c r="G513" s="20" t="s">
        <v>1236</v>
      </c>
      <c r="H513" s="36">
        <v>44593</v>
      </c>
      <c r="I513" s="20">
        <v>2022</v>
      </c>
      <c r="J513" s="20" t="s">
        <v>61</v>
      </c>
      <c r="K513" s="20" t="s">
        <v>3758</v>
      </c>
      <c r="L513" s="20" t="s">
        <v>2515</v>
      </c>
      <c r="M513" s="20" t="s">
        <v>2393</v>
      </c>
      <c r="N513" s="20" t="b">
        <v>1</v>
      </c>
      <c r="O513" s="2" t="b">
        <f>IF(Table1938[[#This Row],[Title]]="",TRUE,FALSE)</f>
        <v>0</v>
      </c>
      <c r="P513" s="2" t="b">
        <f>IF(Table1938[[#This Row],[Author]]="",TRUE,FALSE)</f>
        <v>0</v>
      </c>
      <c r="Q513" s="2" t="b">
        <f>IF(Table1938[[#This Row],[DOI]]&lt;&gt;"", FALSE,TRUE)</f>
        <v>0</v>
      </c>
      <c r="R513" s="2" t="b">
        <f>IF(Table1938[[#This Row],[Abstract]]="",TRUE,FALSE)</f>
        <v>0</v>
      </c>
      <c r="S513" s="2" t="b">
        <f>IF(OR(Table1938[[#This Row],[Document Type]]="book",Table1938[[#This Row],[Document Type]]="bookSection"),TRUE,FALSE)</f>
        <v>0</v>
      </c>
      <c r="T513" s="2" t="b">
        <f>NOT(IF(OR(Table1938[[#This Row],[Language]]&lt;&gt;"en",Table1938[[#This Row],[Language]]&lt;&gt;"EN",Table1938[[#This Row],[Language]]&lt;&gt;"spa",Table1938[[#This Row],[Language]]&lt;&gt;"SPA"),TRUE,FALSE))</f>
        <v>0</v>
      </c>
      <c r="U513" s="2" t="b">
        <f>IF(AND(Table1938[[#This Row],[EC-01]]=FALSE,Table1938[[#This Row],[EC-02]]=FALSE,Table1938[[#This Row],[EC-03]]=FALSE,Table1938[[#This Row],[EC-04]]=FALSE,Table1938[[#This Row],[EC-05]]=FALSE,Table1938[[#This Row],[EC-06]]=FALSE),TRUE,FALSE)</f>
        <v>1</v>
      </c>
      <c r="V513" s="2" t="b">
        <f>IF(Table1938[[#This Row],[Date]]&lt;&gt;"",AND(YEAR(Table1938[[#This Row],[Date]])&gt;=2010, YEAR(Table1938[[#This Row],[Date]])&lt;=2024),FALSE)</f>
        <v>1</v>
      </c>
      <c r="W513" s="2" t="b">
        <f>IF(Table1938[[#This Row],[Date]]&lt;&gt;"",AND(YEAR(Table1938[[#This Row],[Date]])&gt;=2010, YEAR(Table1938[[#This Row],[Date]])&lt;=2020),FALSE)</f>
        <v>0</v>
      </c>
      <c r="X513" s="2" t="b">
        <f>IF(AND(Table1938[[#This Row],[Accesible]]=TRUE,Table1938[[#This Row],[DOI]]&lt;&gt;""),TRUE,FALSE)</f>
        <v>1</v>
      </c>
      <c r="Y513" s="2" t="b">
        <f>OR(Table1938[[#This Row],[Document Type]]="journalArticle",Table1938[[#This Row],[Document Type]]="conferencePaper",Table1938[[#This Row],[Document Type]]="review")</f>
        <v>1</v>
      </c>
      <c r="Z513" s="2" t="b" cm="1">
        <f t="array" ref="Z513">SUMPRODUCT(--ISNUMBER(SEARCH({"dimensional analysis","dimensionless coefficients","Π","Pi","theorem","software","design","tools","development","architecture","similar"}, LOWER(Table1938[[#This Row],[Title]]))))&gt;0</f>
        <v>0</v>
      </c>
      <c r="AA513" s="2" t="b" cm="1">
        <f t="array" ref="AA513">SUMPRODUCT(--ISNUMBER(SEARCH({"dimensional analysis","dimensionless coefficients","Π","Pi","theorem","software","design","tools","development","architecture","similar"}, LOWER(Table1938[[#This Row],[Abstract]]))))&gt;0</f>
        <v>0</v>
      </c>
      <c r="AB513" s="2" t="b">
        <f>AND(OR(Table1938[[#This Row],[IC-01 @2024]:[IC-01 @2020]])=TRUE,Table1938[[#This Row],[IC-02]]=TRUE,Table1938[[#This Row],[IC-03]]=TRUE,Table1938[[#This Row],[IC-04]]=TRUE,Table1938[[#This Row],[IC-05]]=TRUE)</f>
        <v>0</v>
      </c>
      <c r="AC513" s="2" t="b">
        <f>AND(Table1938[[#This Row],[Pass-IC]]=TRUE,Table1938[[#This Row],[Pass-EC]]=TRUE)</f>
        <v>0</v>
      </c>
      <c r="AD513" s="2" t="b">
        <f>COUNTIF($D$25:D513, Table1938[[#This Row],[Title]]) = 1</f>
        <v>1</v>
      </c>
      <c r="AE513" s="2" t="b">
        <f>AND(Table1938[[#This Row],[IC + EC]:[Unique]])</f>
        <v>0</v>
      </c>
      <c r="AF513" s="2" t="b">
        <v>0</v>
      </c>
      <c r="AG513" s="2" t="b">
        <v>0</v>
      </c>
      <c r="AH513" s="2" t="b">
        <v>0</v>
      </c>
      <c r="AI513" s="2" t="b">
        <f>IF(AND(Table1938[[#This Row],[Double Check]]=TRUE,Table1938[[#This Row],[Inspected]]=TRUE,Table1938[[#This Row],[Relevant]]=TRUE),TRUE,FALSE)</f>
        <v>0</v>
      </c>
    </row>
    <row r="514" spans="1:35" ht="71.7" x14ac:dyDescent="0.5">
      <c r="A514" s="2">
        <v>513</v>
      </c>
      <c r="B514" s="20" t="s">
        <v>3</v>
      </c>
      <c r="C514" s="20" t="s">
        <v>3759</v>
      </c>
      <c r="D514" s="20" t="s">
        <v>1335</v>
      </c>
      <c r="E514" s="20" t="s">
        <v>1334</v>
      </c>
      <c r="F514" s="2" t="s">
        <v>1337</v>
      </c>
      <c r="G514" s="20" t="s">
        <v>1006</v>
      </c>
      <c r="H514" s="36">
        <v>45536</v>
      </c>
      <c r="I514" s="20">
        <v>2024</v>
      </c>
      <c r="J514" s="20" t="s">
        <v>61</v>
      </c>
      <c r="K514" s="20" t="s">
        <v>3760</v>
      </c>
      <c r="L514" s="20" t="s">
        <v>2515</v>
      </c>
      <c r="M514" s="20" t="s">
        <v>1336</v>
      </c>
      <c r="N514" s="20" t="b">
        <v>1</v>
      </c>
      <c r="O514" s="2" t="b">
        <f>IF(Table1938[[#This Row],[Title]]="",TRUE,FALSE)</f>
        <v>0</v>
      </c>
      <c r="P514" s="2" t="b">
        <f>IF(Table1938[[#This Row],[Author]]="",TRUE,FALSE)</f>
        <v>0</v>
      </c>
      <c r="Q514" s="2" t="b">
        <f>IF(Table1938[[#This Row],[DOI]]&lt;&gt;"", FALSE,TRUE)</f>
        <v>0</v>
      </c>
      <c r="R514" s="2" t="b">
        <f>IF(Table1938[[#This Row],[Abstract]]="",TRUE,FALSE)</f>
        <v>0</v>
      </c>
      <c r="S514" s="2" t="b">
        <f>IF(OR(Table1938[[#This Row],[Document Type]]="book",Table1938[[#This Row],[Document Type]]="bookSection"),TRUE,FALSE)</f>
        <v>0</v>
      </c>
      <c r="T514" s="2" t="b">
        <f>NOT(IF(OR(Table1938[[#This Row],[Language]]&lt;&gt;"en",Table1938[[#This Row],[Language]]&lt;&gt;"EN",Table1938[[#This Row],[Language]]&lt;&gt;"spa",Table1938[[#This Row],[Language]]&lt;&gt;"SPA"),TRUE,FALSE))</f>
        <v>0</v>
      </c>
      <c r="U514" s="2" t="b">
        <f>IF(AND(Table1938[[#This Row],[EC-01]]=FALSE,Table1938[[#This Row],[EC-02]]=FALSE,Table1938[[#This Row],[EC-03]]=FALSE,Table1938[[#This Row],[EC-04]]=FALSE,Table1938[[#This Row],[EC-05]]=FALSE,Table1938[[#This Row],[EC-06]]=FALSE),TRUE,FALSE)</f>
        <v>1</v>
      </c>
      <c r="V514" s="2" t="b">
        <f>IF(Table1938[[#This Row],[Date]]&lt;&gt;"",AND(YEAR(Table1938[[#This Row],[Date]])&gt;=2010, YEAR(Table1938[[#This Row],[Date]])&lt;=2024),FALSE)</f>
        <v>1</v>
      </c>
      <c r="W514" s="2" t="b">
        <f>IF(Table1938[[#This Row],[Date]]&lt;&gt;"",AND(YEAR(Table1938[[#This Row],[Date]])&gt;=2010, YEAR(Table1938[[#This Row],[Date]])&lt;=2020),FALSE)</f>
        <v>0</v>
      </c>
      <c r="X514" s="2" t="b">
        <f>IF(AND(Table1938[[#This Row],[Accesible]]=TRUE,Table1938[[#This Row],[DOI]]&lt;&gt;""),TRUE,FALSE)</f>
        <v>1</v>
      </c>
      <c r="Y514" s="2" t="b">
        <f>OR(Table1938[[#This Row],[Document Type]]="journalArticle",Table1938[[#This Row],[Document Type]]="conferencePaper",Table1938[[#This Row],[Document Type]]="review")</f>
        <v>1</v>
      </c>
      <c r="Z514" s="2" t="b" cm="1">
        <f t="array" ref="Z514">SUMPRODUCT(--ISNUMBER(SEARCH({"dimensional analysis","dimensionless coefficients","Π","Pi","theorem","software","design","tools","development","architecture","similar"}, LOWER(Table1938[[#This Row],[Title]]))))&gt;0</f>
        <v>1</v>
      </c>
      <c r="AA514" s="2" t="b" cm="1">
        <f t="array" ref="AA514">SUMPRODUCT(--ISNUMBER(SEARCH({"dimensional analysis","dimensionless coefficients","Π","Pi","theorem","software","design","tools","development","architecture","similar"}, LOWER(Table1938[[#This Row],[Abstract]]))))&gt;0</f>
        <v>1</v>
      </c>
      <c r="AB514" s="2" t="b">
        <f>AND(OR(Table1938[[#This Row],[IC-01 @2024]:[IC-01 @2020]])=TRUE,Table1938[[#This Row],[IC-02]]=TRUE,Table1938[[#This Row],[IC-03]]=TRUE,Table1938[[#This Row],[IC-04]]=TRUE,Table1938[[#This Row],[IC-05]]=TRUE)</f>
        <v>1</v>
      </c>
      <c r="AC514" s="2" t="b">
        <f>AND(Table1938[[#This Row],[Pass-IC]]=TRUE,Table1938[[#This Row],[Pass-EC]]=TRUE)</f>
        <v>1</v>
      </c>
      <c r="AD514" s="2" t="b">
        <f>COUNTIF($D$25:D514, Table1938[[#This Row],[Title]]) = 1</f>
        <v>1</v>
      </c>
      <c r="AE514" s="2" t="b">
        <f>AND(Table1938[[#This Row],[IC + EC]:[Unique]])</f>
        <v>1</v>
      </c>
      <c r="AF514" s="2" t="b">
        <v>1</v>
      </c>
      <c r="AG514" s="2" t="b">
        <v>0</v>
      </c>
      <c r="AH514" s="2" t="b">
        <v>0</v>
      </c>
      <c r="AI514" s="2" t="b">
        <f>IF(AND(Table1938[[#This Row],[Double Check]]=TRUE,Table1938[[#This Row],[Inspected]]=TRUE,Table1938[[#This Row],[Relevant]]=TRUE),TRUE,FALSE)</f>
        <v>0</v>
      </c>
    </row>
    <row r="515" spans="1:35" ht="57.35" x14ac:dyDescent="0.5">
      <c r="A515" s="2">
        <v>514</v>
      </c>
      <c r="B515" s="20" t="s">
        <v>3</v>
      </c>
      <c r="C515" s="20" t="s">
        <v>3761</v>
      </c>
      <c r="D515" s="20" t="s">
        <v>2380</v>
      </c>
      <c r="E515" s="20" t="s">
        <v>2379</v>
      </c>
      <c r="F515" s="2" t="s">
        <v>2382</v>
      </c>
      <c r="G515" s="20" t="s">
        <v>996</v>
      </c>
      <c r="H515" s="36">
        <v>41699</v>
      </c>
      <c r="I515" s="20">
        <v>2014</v>
      </c>
      <c r="J515" s="20" t="s">
        <v>61</v>
      </c>
      <c r="K515" s="20" t="s">
        <v>3762</v>
      </c>
      <c r="L515" s="20" t="s">
        <v>2515</v>
      </c>
      <c r="M515" s="20" t="s">
        <v>2381</v>
      </c>
      <c r="N515" s="20" t="b">
        <v>1</v>
      </c>
      <c r="O515" s="2" t="b">
        <f>IF(Table1938[[#This Row],[Title]]="",TRUE,FALSE)</f>
        <v>0</v>
      </c>
      <c r="P515" s="2" t="b">
        <f>IF(Table1938[[#This Row],[Author]]="",TRUE,FALSE)</f>
        <v>0</v>
      </c>
      <c r="Q515" s="2" t="b">
        <f>IF(Table1938[[#This Row],[DOI]]&lt;&gt;"", FALSE,TRUE)</f>
        <v>0</v>
      </c>
      <c r="R515" s="2" t="b">
        <f>IF(Table1938[[#This Row],[Abstract]]="",TRUE,FALSE)</f>
        <v>0</v>
      </c>
      <c r="S515" s="2" t="b">
        <f>IF(OR(Table1938[[#This Row],[Document Type]]="book",Table1938[[#This Row],[Document Type]]="bookSection"),TRUE,FALSE)</f>
        <v>0</v>
      </c>
      <c r="T515" s="2" t="b">
        <f>NOT(IF(OR(Table1938[[#This Row],[Language]]&lt;&gt;"en",Table1938[[#This Row],[Language]]&lt;&gt;"EN",Table1938[[#This Row],[Language]]&lt;&gt;"spa",Table1938[[#This Row],[Language]]&lt;&gt;"SPA"),TRUE,FALSE))</f>
        <v>0</v>
      </c>
      <c r="U515" s="2" t="b">
        <f>IF(AND(Table1938[[#This Row],[EC-01]]=FALSE,Table1938[[#This Row],[EC-02]]=FALSE,Table1938[[#This Row],[EC-03]]=FALSE,Table1938[[#This Row],[EC-04]]=FALSE,Table1938[[#This Row],[EC-05]]=FALSE,Table1938[[#This Row],[EC-06]]=FALSE),TRUE,FALSE)</f>
        <v>1</v>
      </c>
      <c r="V515" s="2" t="b">
        <f>IF(Table1938[[#This Row],[Date]]&lt;&gt;"",AND(YEAR(Table1938[[#This Row],[Date]])&gt;=2010, YEAR(Table1938[[#This Row],[Date]])&lt;=2024),FALSE)</f>
        <v>1</v>
      </c>
      <c r="W515" s="2" t="b">
        <f>IF(Table1938[[#This Row],[Date]]&lt;&gt;"",AND(YEAR(Table1938[[#This Row],[Date]])&gt;=2010, YEAR(Table1938[[#This Row],[Date]])&lt;=2020),FALSE)</f>
        <v>1</v>
      </c>
      <c r="X515" s="2" t="b">
        <f>IF(AND(Table1938[[#This Row],[Accesible]]=TRUE,Table1938[[#This Row],[DOI]]&lt;&gt;""),TRUE,FALSE)</f>
        <v>1</v>
      </c>
      <c r="Y515" s="2" t="b">
        <f>OR(Table1938[[#This Row],[Document Type]]="journalArticle",Table1938[[#This Row],[Document Type]]="conferencePaper",Table1938[[#This Row],[Document Type]]="review")</f>
        <v>1</v>
      </c>
      <c r="Z515" s="2" t="b" cm="1">
        <f t="array" ref="Z515">SUMPRODUCT(--ISNUMBER(SEARCH({"dimensional analysis","dimensionless coefficients","Π","Pi","theorem","software","design","tools","development","architecture","similar"}, LOWER(Table1938[[#This Row],[Title]]))))&gt;0</f>
        <v>0</v>
      </c>
      <c r="AA515" s="2" t="b" cm="1">
        <f t="array" ref="AA515">SUMPRODUCT(--ISNUMBER(SEARCH({"dimensional analysis","dimensionless coefficients","Π","Pi","theorem","software","design","tools","development","architecture","similar"}, LOWER(Table1938[[#This Row],[Abstract]]))))&gt;0</f>
        <v>0</v>
      </c>
      <c r="AB515" s="2" t="b">
        <f>AND(OR(Table1938[[#This Row],[IC-01 @2024]:[IC-01 @2020]])=TRUE,Table1938[[#This Row],[IC-02]]=TRUE,Table1938[[#This Row],[IC-03]]=TRUE,Table1938[[#This Row],[IC-04]]=TRUE,Table1938[[#This Row],[IC-05]]=TRUE)</f>
        <v>0</v>
      </c>
      <c r="AC515" s="2" t="b">
        <f>AND(Table1938[[#This Row],[Pass-IC]]=TRUE,Table1938[[#This Row],[Pass-EC]]=TRUE)</f>
        <v>0</v>
      </c>
      <c r="AD515" s="2" t="b">
        <f>COUNTIF($D$25:D515, Table1938[[#This Row],[Title]]) = 1</f>
        <v>1</v>
      </c>
      <c r="AE515" s="2" t="b">
        <f>AND(Table1938[[#This Row],[IC + EC]:[Unique]])</f>
        <v>0</v>
      </c>
      <c r="AF515" s="2" t="b">
        <v>0</v>
      </c>
      <c r="AG515" s="2" t="b">
        <v>0</v>
      </c>
      <c r="AH515" s="2" t="b">
        <v>0</v>
      </c>
      <c r="AI515" s="2" t="b">
        <f>IF(AND(Table1938[[#This Row],[Double Check]]=TRUE,Table1938[[#This Row],[Inspected]]=TRUE,Table1938[[#This Row],[Relevant]]=TRUE),TRUE,FALSE)</f>
        <v>0</v>
      </c>
    </row>
    <row r="516" spans="1:35" ht="28.7" x14ac:dyDescent="0.5">
      <c r="A516" s="2">
        <v>515</v>
      </c>
      <c r="B516" s="20" t="s">
        <v>3</v>
      </c>
      <c r="C516" s="20" t="s">
        <v>3763</v>
      </c>
      <c r="D516" s="20" t="s">
        <v>1577</v>
      </c>
      <c r="E516" s="20" t="s">
        <v>1576</v>
      </c>
      <c r="F516" s="2" t="s">
        <v>1580</v>
      </c>
      <c r="G516" s="20" t="s">
        <v>1578</v>
      </c>
      <c r="H516" s="36">
        <v>43615</v>
      </c>
      <c r="I516" s="20">
        <v>2019</v>
      </c>
      <c r="J516" s="20" t="s">
        <v>61</v>
      </c>
      <c r="K516" s="20" t="s">
        <v>3764</v>
      </c>
      <c r="L516" s="20" t="s">
        <v>2515</v>
      </c>
      <c r="M516" s="20" t="s">
        <v>1579</v>
      </c>
      <c r="N516" s="20" t="b">
        <v>1</v>
      </c>
      <c r="O516" s="2" t="b">
        <f>IF(Table1938[[#This Row],[Title]]="",TRUE,FALSE)</f>
        <v>0</v>
      </c>
      <c r="P516" s="2" t="b">
        <f>IF(Table1938[[#This Row],[Author]]="",TRUE,FALSE)</f>
        <v>0</v>
      </c>
      <c r="Q516" s="2" t="b">
        <f>IF(Table1938[[#This Row],[DOI]]&lt;&gt;"", FALSE,TRUE)</f>
        <v>0</v>
      </c>
      <c r="R516" s="2" t="b">
        <f>IF(Table1938[[#This Row],[Abstract]]="",TRUE,FALSE)</f>
        <v>0</v>
      </c>
      <c r="S516" s="2" t="b">
        <f>IF(OR(Table1938[[#This Row],[Document Type]]="book",Table1938[[#This Row],[Document Type]]="bookSection"),TRUE,FALSE)</f>
        <v>0</v>
      </c>
      <c r="T516" s="2" t="b">
        <f>NOT(IF(OR(Table1938[[#This Row],[Language]]&lt;&gt;"en",Table1938[[#This Row],[Language]]&lt;&gt;"EN",Table1938[[#This Row],[Language]]&lt;&gt;"spa",Table1938[[#This Row],[Language]]&lt;&gt;"SPA"),TRUE,FALSE))</f>
        <v>0</v>
      </c>
      <c r="U516" s="2" t="b">
        <f>IF(AND(Table1938[[#This Row],[EC-01]]=FALSE,Table1938[[#This Row],[EC-02]]=FALSE,Table1938[[#This Row],[EC-03]]=FALSE,Table1938[[#This Row],[EC-04]]=FALSE,Table1938[[#This Row],[EC-05]]=FALSE,Table1938[[#This Row],[EC-06]]=FALSE),TRUE,FALSE)</f>
        <v>1</v>
      </c>
      <c r="V516" s="2" t="b">
        <f>IF(Table1938[[#This Row],[Date]]&lt;&gt;"",AND(YEAR(Table1938[[#This Row],[Date]])&gt;=2010, YEAR(Table1938[[#This Row],[Date]])&lt;=2024),FALSE)</f>
        <v>1</v>
      </c>
      <c r="W516" s="2" t="b">
        <f>IF(Table1938[[#This Row],[Date]]&lt;&gt;"",AND(YEAR(Table1938[[#This Row],[Date]])&gt;=2010, YEAR(Table1938[[#This Row],[Date]])&lt;=2020),FALSE)</f>
        <v>1</v>
      </c>
      <c r="X516" s="2" t="b">
        <f>IF(AND(Table1938[[#This Row],[Accesible]]=TRUE,Table1938[[#This Row],[DOI]]&lt;&gt;""),TRUE,FALSE)</f>
        <v>1</v>
      </c>
      <c r="Y516" s="2" t="b">
        <f>OR(Table1938[[#This Row],[Document Type]]="journalArticle",Table1938[[#This Row],[Document Type]]="conferencePaper",Table1938[[#This Row],[Document Type]]="review")</f>
        <v>1</v>
      </c>
      <c r="Z516" s="2" t="b" cm="1">
        <f t="array" ref="Z516">SUMPRODUCT(--ISNUMBER(SEARCH({"dimensional analysis","dimensionless coefficients","Π","Pi","theorem","software","design","tools","development","architecture","similar"}, LOWER(Table1938[[#This Row],[Title]]))))&gt;0</f>
        <v>0</v>
      </c>
      <c r="AA516" s="2" t="b" cm="1">
        <f t="array" ref="AA516">SUMPRODUCT(--ISNUMBER(SEARCH({"dimensional analysis","dimensionless coefficients","Π","Pi","theorem","software","design","tools","development","architecture","similar"}, LOWER(Table1938[[#This Row],[Abstract]]))))&gt;0</f>
        <v>1</v>
      </c>
      <c r="AB516" s="2" t="b">
        <f>AND(OR(Table1938[[#This Row],[IC-01 @2024]:[IC-01 @2020]])=TRUE,Table1938[[#This Row],[IC-02]]=TRUE,Table1938[[#This Row],[IC-03]]=TRUE,Table1938[[#This Row],[IC-04]]=TRUE,Table1938[[#This Row],[IC-05]]=TRUE)</f>
        <v>0</v>
      </c>
      <c r="AC516" s="2" t="b">
        <f>AND(Table1938[[#This Row],[Pass-IC]]=TRUE,Table1938[[#This Row],[Pass-EC]]=TRUE)</f>
        <v>0</v>
      </c>
      <c r="AD516" s="2" t="b">
        <f>COUNTIF($D$25:D516, Table1938[[#This Row],[Title]]) = 1</f>
        <v>1</v>
      </c>
      <c r="AE516" s="2" t="b">
        <f>AND(Table1938[[#This Row],[IC + EC]:[Unique]])</f>
        <v>0</v>
      </c>
      <c r="AF516" s="2" t="b">
        <v>0</v>
      </c>
      <c r="AG516" s="2" t="b">
        <v>0</v>
      </c>
      <c r="AH516" s="2" t="b">
        <v>0</v>
      </c>
      <c r="AI516" s="2" t="b">
        <f>IF(AND(Table1938[[#This Row],[Double Check]]=TRUE,Table1938[[#This Row],[Inspected]]=TRUE,Table1938[[#This Row],[Relevant]]=TRUE),TRUE,FALSE)</f>
        <v>0</v>
      </c>
    </row>
    <row r="517" spans="1:35" ht="43" x14ac:dyDescent="0.5">
      <c r="A517" s="2">
        <v>516</v>
      </c>
      <c r="B517" s="20" t="s">
        <v>3</v>
      </c>
      <c r="C517" s="20" t="s">
        <v>3765</v>
      </c>
      <c r="D517" s="20" t="s">
        <v>2404</v>
      </c>
      <c r="E517" s="20" t="s">
        <v>2403</v>
      </c>
      <c r="F517" s="2" t="s">
        <v>2407</v>
      </c>
      <c r="G517" s="20" t="s">
        <v>2405</v>
      </c>
      <c r="H517" s="36">
        <v>41913</v>
      </c>
      <c r="I517" s="20">
        <v>2014</v>
      </c>
      <c r="J517" s="20" t="s">
        <v>61</v>
      </c>
      <c r="K517" s="20" t="s">
        <v>3766</v>
      </c>
      <c r="L517" s="20" t="s">
        <v>2515</v>
      </c>
      <c r="M517" s="20" t="s">
        <v>2406</v>
      </c>
      <c r="N517" s="20" t="b">
        <v>1</v>
      </c>
      <c r="O517" s="2" t="b">
        <f>IF(Table1938[[#This Row],[Title]]="",TRUE,FALSE)</f>
        <v>0</v>
      </c>
      <c r="P517" s="2" t="b">
        <f>IF(Table1938[[#This Row],[Author]]="",TRUE,FALSE)</f>
        <v>0</v>
      </c>
      <c r="Q517" s="2" t="b">
        <f>IF(Table1938[[#This Row],[DOI]]&lt;&gt;"", FALSE,TRUE)</f>
        <v>0</v>
      </c>
      <c r="R517" s="2" t="b">
        <f>IF(Table1938[[#This Row],[Abstract]]="",TRUE,FALSE)</f>
        <v>0</v>
      </c>
      <c r="S517" s="2" t="b">
        <f>IF(OR(Table1938[[#This Row],[Document Type]]="book",Table1938[[#This Row],[Document Type]]="bookSection"),TRUE,FALSE)</f>
        <v>0</v>
      </c>
      <c r="T517" s="2" t="b">
        <f>NOT(IF(OR(Table1938[[#This Row],[Language]]&lt;&gt;"en",Table1938[[#This Row],[Language]]&lt;&gt;"EN",Table1938[[#This Row],[Language]]&lt;&gt;"spa",Table1938[[#This Row],[Language]]&lt;&gt;"SPA"),TRUE,FALSE))</f>
        <v>0</v>
      </c>
      <c r="U517" s="2" t="b">
        <f>IF(AND(Table1938[[#This Row],[EC-01]]=FALSE,Table1938[[#This Row],[EC-02]]=FALSE,Table1938[[#This Row],[EC-03]]=FALSE,Table1938[[#This Row],[EC-04]]=FALSE,Table1938[[#This Row],[EC-05]]=FALSE,Table1938[[#This Row],[EC-06]]=FALSE),TRUE,FALSE)</f>
        <v>1</v>
      </c>
      <c r="V517" s="2" t="b">
        <f>IF(Table1938[[#This Row],[Date]]&lt;&gt;"",AND(YEAR(Table1938[[#This Row],[Date]])&gt;=2010, YEAR(Table1938[[#This Row],[Date]])&lt;=2024),FALSE)</f>
        <v>1</v>
      </c>
      <c r="W517" s="2" t="b">
        <f>IF(Table1938[[#This Row],[Date]]&lt;&gt;"",AND(YEAR(Table1938[[#This Row],[Date]])&gt;=2010, YEAR(Table1938[[#This Row],[Date]])&lt;=2020),FALSE)</f>
        <v>1</v>
      </c>
      <c r="X517" s="2" t="b">
        <f>IF(AND(Table1938[[#This Row],[Accesible]]=TRUE,Table1938[[#This Row],[DOI]]&lt;&gt;""),TRUE,FALSE)</f>
        <v>1</v>
      </c>
      <c r="Y517" s="2" t="b">
        <f>OR(Table1938[[#This Row],[Document Type]]="journalArticle",Table1938[[#This Row],[Document Type]]="conferencePaper",Table1938[[#This Row],[Document Type]]="review")</f>
        <v>1</v>
      </c>
      <c r="Z517" s="2" t="b" cm="1">
        <f t="array" ref="Z517">SUMPRODUCT(--ISNUMBER(SEARCH({"dimensional analysis","dimensionless coefficients","Π","Pi","theorem","software","design","tools","development","architecture","similar"}, LOWER(Table1938[[#This Row],[Title]]))))&gt;0</f>
        <v>0</v>
      </c>
      <c r="AA517" s="2" t="b" cm="1">
        <f t="array" ref="AA517">SUMPRODUCT(--ISNUMBER(SEARCH({"dimensional analysis","dimensionless coefficients","Π","Pi","theorem","software","design","tools","development","architecture","similar"}, LOWER(Table1938[[#This Row],[Abstract]]))))&gt;0</f>
        <v>1</v>
      </c>
      <c r="AB517" s="2" t="b">
        <f>AND(OR(Table1938[[#This Row],[IC-01 @2024]:[IC-01 @2020]])=TRUE,Table1938[[#This Row],[IC-02]]=TRUE,Table1938[[#This Row],[IC-03]]=TRUE,Table1938[[#This Row],[IC-04]]=TRUE,Table1938[[#This Row],[IC-05]]=TRUE)</f>
        <v>0</v>
      </c>
      <c r="AC517" s="2" t="b">
        <f>AND(Table1938[[#This Row],[Pass-IC]]=TRUE,Table1938[[#This Row],[Pass-EC]]=TRUE)</f>
        <v>0</v>
      </c>
      <c r="AD517" s="2" t="b">
        <f>COUNTIF($D$25:D517, Table1938[[#This Row],[Title]]) = 1</f>
        <v>1</v>
      </c>
      <c r="AE517" s="2" t="b">
        <f>AND(Table1938[[#This Row],[IC + EC]:[Unique]])</f>
        <v>0</v>
      </c>
      <c r="AF517" s="2" t="b">
        <v>0</v>
      </c>
      <c r="AG517" s="2" t="b">
        <v>0</v>
      </c>
      <c r="AH517" s="2" t="b">
        <v>0</v>
      </c>
      <c r="AI517" s="2" t="b">
        <f>IF(AND(Table1938[[#This Row],[Double Check]]=TRUE,Table1938[[#This Row],[Inspected]]=TRUE,Table1938[[#This Row],[Relevant]]=TRUE),TRUE,FALSE)</f>
        <v>0</v>
      </c>
    </row>
    <row r="518" spans="1:35" ht="71.7" x14ac:dyDescent="0.5">
      <c r="A518" s="2">
        <v>517</v>
      </c>
      <c r="B518" s="20" t="s">
        <v>3</v>
      </c>
      <c r="C518" s="20" t="s">
        <v>3767</v>
      </c>
      <c r="D518" s="20" t="s">
        <v>1950</v>
      </c>
      <c r="E518" s="20" t="s">
        <v>1949</v>
      </c>
      <c r="F518" s="2" t="s">
        <v>1952</v>
      </c>
      <c r="G518" s="20" t="s">
        <v>1016</v>
      </c>
      <c r="H518" s="36">
        <v>45383</v>
      </c>
      <c r="I518" s="20">
        <v>2024</v>
      </c>
      <c r="J518" s="20" t="s">
        <v>61</v>
      </c>
      <c r="K518" s="20" t="s">
        <v>3768</v>
      </c>
      <c r="L518" s="20" t="s">
        <v>2515</v>
      </c>
      <c r="M518" s="20" t="s">
        <v>1951</v>
      </c>
      <c r="N518" s="20" t="b">
        <v>1</v>
      </c>
      <c r="O518" s="2" t="b">
        <f>IF(Table1938[[#This Row],[Title]]="",TRUE,FALSE)</f>
        <v>0</v>
      </c>
      <c r="P518" s="2" t="b">
        <f>IF(Table1938[[#This Row],[Author]]="",TRUE,FALSE)</f>
        <v>0</v>
      </c>
      <c r="Q518" s="2" t="b">
        <f>IF(Table1938[[#This Row],[DOI]]&lt;&gt;"", FALSE,TRUE)</f>
        <v>0</v>
      </c>
      <c r="R518" s="2" t="b">
        <f>IF(Table1938[[#This Row],[Abstract]]="",TRUE,FALSE)</f>
        <v>0</v>
      </c>
      <c r="S518" s="2" t="b">
        <f>IF(OR(Table1938[[#This Row],[Document Type]]="book",Table1938[[#This Row],[Document Type]]="bookSection"),TRUE,FALSE)</f>
        <v>0</v>
      </c>
      <c r="T518" s="2" t="b">
        <f>NOT(IF(OR(Table1938[[#This Row],[Language]]&lt;&gt;"en",Table1938[[#This Row],[Language]]&lt;&gt;"EN",Table1938[[#This Row],[Language]]&lt;&gt;"spa",Table1938[[#This Row],[Language]]&lt;&gt;"SPA"),TRUE,FALSE))</f>
        <v>0</v>
      </c>
      <c r="U518" s="2" t="b">
        <f>IF(AND(Table1938[[#This Row],[EC-01]]=FALSE,Table1938[[#This Row],[EC-02]]=FALSE,Table1938[[#This Row],[EC-03]]=FALSE,Table1938[[#This Row],[EC-04]]=FALSE,Table1938[[#This Row],[EC-05]]=FALSE,Table1938[[#This Row],[EC-06]]=FALSE),TRUE,FALSE)</f>
        <v>1</v>
      </c>
      <c r="V518" s="2" t="b">
        <f>IF(Table1938[[#This Row],[Date]]&lt;&gt;"",AND(YEAR(Table1938[[#This Row],[Date]])&gt;=2010, YEAR(Table1938[[#This Row],[Date]])&lt;=2024),FALSE)</f>
        <v>1</v>
      </c>
      <c r="W518" s="2" t="b">
        <f>IF(Table1938[[#This Row],[Date]]&lt;&gt;"",AND(YEAR(Table1938[[#This Row],[Date]])&gt;=2010, YEAR(Table1938[[#This Row],[Date]])&lt;=2020),FALSE)</f>
        <v>0</v>
      </c>
      <c r="X518" s="2" t="b">
        <f>IF(AND(Table1938[[#This Row],[Accesible]]=TRUE,Table1938[[#This Row],[DOI]]&lt;&gt;""),TRUE,FALSE)</f>
        <v>1</v>
      </c>
      <c r="Y518" s="2" t="b">
        <f>OR(Table1938[[#This Row],[Document Type]]="journalArticle",Table1938[[#This Row],[Document Type]]="conferencePaper",Table1938[[#This Row],[Document Type]]="review")</f>
        <v>1</v>
      </c>
      <c r="Z518" s="2" t="b" cm="1">
        <f t="array" ref="Z518">SUMPRODUCT(--ISNUMBER(SEARCH({"dimensional analysis","dimensionless coefficients","Π","Pi","theorem","software","design","tools","development","architecture","similar"}, LOWER(Table1938[[#This Row],[Title]]))))&gt;0</f>
        <v>0</v>
      </c>
      <c r="AA518" s="2" t="b" cm="1">
        <f t="array" ref="AA518">SUMPRODUCT(--ISNUMBER(SEARCH({"dimensional analysis","dimensionless coefficients","Π","Pi","theorem","software","design","tools","development","architecture","similar"}, LOWER(Table1938[[#This Row],[Abstract]]))))&gt;0</f>
        <v>0</v>
      </c>
      <c r="AB518" s="2" t="b">
        <f>AND(OR(Table1938[[#This Row],[IC-01 @2024]:[IC-01 @2020]])=TRUE,Table1938[[#This Row],[IC-02]]=TRUE,Table1938[[#This Row],[IC-03]]=TRUE,Table1938[[#This Row],[IC-04]]=TRUE,Table1938[[#This Row],[IC-05]]=TRUE)</f>
        <v>0</v>
      </c>
      <c r="AC518" s="2" t="b">
        <f>AND(Table1938[[#This Row],[Pass-IC]]=TRUE,Table1938[[#This Row],[Pass-EC]]=TRUE)</f>
        <v>0</v>
      </c>
      <c r="AD518" s="2" t="b">
        <f>COUNTIF($D$25:D518, Table1938[[#This Row],[Title]]) = 1</f>
        <v>1</v>
      </c>
      <c r="AE518" s="2" t="b">
        <f>AND(Table1938[[#This Row],[IC + EC]:[Unique]])</f>
        <v>0</v>
      </c>
      <c r="AF518" s="2" t="b">
        <v>0</v>
      </c>
      <c r="AG518" s="2" t="b">
        <v>0</v>
      </c>
      <c r="AH518" s="2" t="b">
        <v>0</v>
      </c>
      <c r="AI518" s="2" t="b">
        <f>IF(AND(Table1938[[#This Row],[Double Check]]=TRUE,Table1938[[#This Row],[Inspected]]=TRUE,Table1938[[#This Row],[Relevant]]=TRUE),TRUE,FALSE)</f>
        <v>0</v>
      </c>
    </row>
    <row r="519" spans="1:35" ht="57.35" x14ac:dyDescent="0.5">
      <c r="A519" s="2">
        <v>518</v>
      </c>
      <c r="B519" s="20" t="s">
        <v>3</v>
      </c>
      <c r="C519" s="20" t="s">
        <v>3769</v>
      </c>
      <c r="D519" s="20" t="s">
        <v>1348</v>
      </c>
      <c r="E519" s="20" t="s">
        <v>1347</v>
      </c>
      <c r="F519" s="2" t="s">
        <v>1350</v>
      </c>
      <c r="G519" s="20" t="s">
        <v>920</v>
      </c>
      <c r="H519" s="36">
        <v>45474</v>
      </c>
      <c r="I519" s="20">
        <v>2024</v>
      </c>
      <c r="J519" s="20" t="s">
        <v>61</v>
      </c>
      <c r="K519" s="20" t="s">
        <v>3770</v>
      </c>
      <c r="L519" s="20" t="s">
        <v>2515</v>
      </c>
      <c r="M519" s="20" t="s">
        <v>1349</v>
      </c>
      <c r="N519" s="20" t="b">
        <v>1</v>
      </c>
      <c r="O519" s="2" t="b">
        <f>IF(Table1938[[#This Row],[Title]]="",TRUE,FALSE)</f>
        <v>0</v>
      </c>
      <c r="P519" s="2" t="b">
        <f>IF(Table1938[[#This Row],[Author]]="",TRUE,FALSE)</f>
        <v>0</v>
      </c>
      <c r="Q519" s="2" t="b">
        <f>IF(Table1938[[#This Row],[DOI]]&lt;&gt;"", FALSE,TRUE)</f>
        <v>0</v>
      </c>
      <c r="R519" s="2" t="b">
        <f>IF(Table1938[[#This Row],[Abstract]]="",TRUE,FALSE)</f>
        <v>0</v>
      </c>
      <c r="S519" s="2" t="b">
        <f>IF(OR(Table1938[[#This Row],[Document Type]]="book",Table1938[[#This Row],[Document Type]]="bookSection"),TRUE,FALSE)</f>
        <v>0</v>
      </c>
      <c r="T519" s="2" t="b">
        <f>NOT(IF(OR(Table1938[[#This Row],[Language]]&lt;&gt;"en",Table1938[[#This Row],[Language]]&lt;&gt;"EN",Table1938[[#This Row],[Language]]&lt;&gt;"spa",Table1938[[#This Row],[Language]]&lt;&gt;"SPA"),TRUE,FALSE))</f>
        <v>0</v>
      </c>
      <c r="U519" s="2" t="b">
        <f>IF(AND(Table1938[[#This Row],[EC-01]]=FALSE,Table1938[[#This Row],[EC-02]]=FALSE,Table1938[[#This Row],[EC-03]]=FALSE,Table1938[[#This Row],[EC-04]]=FALSE,Table1938[[#This Row],[EC-05]]=FALSE,Table1938[[#This Row],[EC-06]]=FALSE),TRUE,FALSE)</f>
        <v>1</v>
      </c>
      <c r="V519" s="2" t="b">
        <f>IF(Table1938[[#This Row],[Date]]&lt;&gt;"",AND(YEAR(Table1938[[#This Row],[Date]])&gt;=2010, YEAR(Table1938[[#This Row],[Date]])&lt;=2024),FALSE)</f>
        <v>1</v>
      </c>
      <c r="W519" s="2" t="b">
        <f>IF(Table1938[[#This Row],[Date]]&lt;&gt;"",AND(YEAR(Table1938[[#This Row],[Date]])&gt;=2010, YEAR(Table1938[[#This Row],[Date]])&lt;=2020),FALSE)</f>
        <v>0</v>
      </c>
      <c r="X519" s="2" t="b">
        <f>IF(AND(Table1938[[#This Row],[Accesible]]=TRUE,Table1938[[#This Row],[DOI]]&lt;&gt;""),TRUE,FALSE)</f>
        <v>1</v>
      </c>
      <c r="Y519" s="2" t="b">
        <f>OR(Table1938[[#This Row],[Document Type]]="journalArticle",Table1938[[#This Row],[Document Type]]="conferencePaper",Table1938[[#This Row],[Document Type]]="review")</f>
        <v>1</v>
      </c>
      <c r="Z519" s="2" t="b" cm="1">
        <f t="array" ref="Z519">SUMPRODUCT(--ISNUMBER(SEARCH({"dimensional analysis","dimensionless coefficients","Π","Pi","theorem","software","design","tools","development","architecture","similar"}, LOWER(Table1938[[#This Row],[Title]]))))&gt;0</f>
        <v>1</v>
      </c>
      <c r="AA519" s="2" t="b" cm="1">
        <f t="array" ref="AA519">SUMPRODUCT(--ISNUMBER(SEARCH({"dimensional analysis","dimensionless coefficients","Π","Pi","theorem","software","design","tools","development","architecture","similar"}, LOWER(Table1938[[#This Row],[Abstract]]))))&gt;0</f>
        <v>1</v>
      </c>
      <c r="AB519" s="2" t="b">
        <f>AND(OR(Table1938[[#This Row],[IC-01 @2024]:[IC-01 @2020]])=TRUE,Table1938[[#This Row],[IC-02]]=TRUE,Table1938[[#This Row],[IC-03]]=TRUE,Table1938[[#This Row],[IC-04]]=TRUE,Table1938[[#This Row],[IC-05]]=TRUE)</f>
        <v>1</v>
      </c>
      <c r="AC519" s="2" t="b">
        <f>AND(Table1938[[#This Row],[Pass-IC]]=TRUE,Table1938[[#This Row],[Pass-EC]]=TRUE)</f>
        <v>1</v>
      </c>
      <c r="AD519" s="2" t="b">
        <f>COUNTIF($D$25:D519, Table1938[[#This Row],[Title]]) = 1</f>
        <v>1</v>
      </c>
      <c r="AE519" s="2" t="b">
        <f>AND(Table1938[[#This Row],[IC + EC]:[Unique]])</f>
        <v>1</v>
      </c>
      <c r="AF519" s="2" t="b">
        <v>1</v>
      </c>
      <c r="AG519" s="2" t="b">
        <v>0</v>
      </c>
      <c r="AH519" s="2" t="b">
        <v>0</v>
      </c>
      <c r="AI519" s="2" t="b">
        <f>IF(AND(Table1938[[#This Row],[Double Check]]=TRUE,Table1938[[#This Row],[Inspected]]=TRUE,Table1938[[#This Row],[Relevant]]=TRUE),TRUE,FALSE)</f>
        <v>0</v>
      </c>
    </row>
    <row r="520" spans="1:35" ht="57.35" x14ac:dyDescent="0.5">
      <c r="A520" s="2">
        <v>519</v>
      </c>
      <c r="B520" s="20" t="s">
        <v>3</v>
      </c>
      <c r="C520" s="20" t="s">
        <v>3771</v>
      </c>
      <c r="D520" s="20" t="s">
        <v>1996</v>
      </c>
      <c r="E520" s="20" t="s">
        <v>1995</v>
      </c>
      <c r="F520" s="2" t="s">
        <v>1998</v>
      </c>
      <c r="G520" s="20" t="s">
        <v>1002</v>
      </c>
      <c r="H520" s="36">
        <v>44621</v>
      </c>
      <c r="I520" s="20">
        <v>2022</v>
      </c>
      <c r="J520" s="20" t="s">
        <v>61</v>
      </c>
      <c r="K520" s="20" t="s">
        <v>3772</v>
      </c>
      <c r="L520" s="20" t="s">
        <v>2515</v>
      </c>
      <c r="M520" s="20" t="s">
        <v>1997</v>
      </c>
      <c r="N520" s="20" t="b">
        <v>1</v>
      </c>
      <c r="O520" s="2" t="b">
        <f>IF(Table1938[[#This Row],[Title]]="",TRUE,FALSE)</f>
        <v>0</v>
      </c>
      <c r="P520" s="2" t="b">
        <f>IF(Table1938[[#This Row],[Author]]="",TRUE,FALSE)</f>
        <v>0</v>
      </c>
      <c r="Q520" s="2" t="b">
        <f>IF(Table1938[[#This Row],[DOI]]&lt;&gt;"", FALSE,TRUE)</f>
        <v>0</v>
      </c>
      <c r="R520" s="2" t="b">
        <f>IF(Table1938[[#This Row],[Abstract]]="",TRUE,FALSE)</f>
        <v>0</v>
      </c>
      <c r="S520" s="2" t="b">
        <f>IF(OR(Table1938[[#This Row],[Document Type]]="book",Table1938[[#This Row],[Document Type]]="bookSection"),TRUE,FALSE)</f>
        <v>0</v>
      </c>
      <c r="T520" s="2" t="b">
        <f>NOT(IF(OR(Table1938[[#This Row],[Language]]&lt;&gt;"en",Table1938[[#This Row],[Language]]&lt;&gt;"EN",Table1938[[#This Row],[Language]]&lt;&gt;"spa",Table1938[[#This Row],[Language]]&lt;&gt;"SPA"),TRUE,FALSE))</f>
        <v>0</v>
      </c>
      <c r="U520" s="2" t="b">
        <f>IF(AND(Table1938[[#This Row],[EC-01]]=FALSE,Table1938[[#This Row],[EC-02]]=FALSE,Table1938[[#This Row],[EC-03]]=FALSE,Table1938[[#This Row],[EC-04]]=FALSE,Table1938[[#This Row],[EC-05]]=FALSE,Table1938[[#This Row],[EC-06]]=FALSE),TRUE,FALSE)</f>
        <v>1</v>
      </c>
      <c r="V520" s="2" t="b">
        <f>IF(Table1938[[#This Row],[Date]]&lt;&gt;"",AND(YEAR(Table1938[[#This Row],[Date]])&gt;=2010, YEAR(Table1938[[#This Row],[Date]])&lt;=2024),FALSE)</f>
        <v>1</v>
      </c>
      <c r="W520" s="2" t="b">
        <f>IF(Table1938[[#This Row],[Date]]&lt;&gt;"",AND(YEAR(Table1938[[#This Row],[Date]])&gt;=2010, YEAR(Table1938[[#This Row],[Date]])&lt;=2020),FALSE)</f>
        <v>0</v>
      </c>
      <c r="X520" s="2" t="b">
        <f>IF(AND(Table1938[[#This Row],[Accesible]]=TRUE,Table1938[[#This Row],[DOI]]&lt;&gt;""),TRUE,FALSE)</f>
        <v>1</v>
      </c>
      <c r="Y520" s="2" t="b">
        <f>OR(Table1938[[#This Row],[Document Type]]="journalArticle",Table1938[[#This Row],[Document Type]]="conferencePaper",Table1938[[#This Row],[Document Type]]="review")</f>
        <v>1</v>
      </c>
      <c r="Z520" s="2" t="b" cm="1">
        <f t="array" ref="Z520">SUMPRODUCT(--ISNUMBER(SEARCH({"dimensional analysis","dimensionless coefficients","Π","Pi","theorem","software","design","tools","development","architecture","similar"}, LOWER(Table1938[[#This Row],[Title]]))))&gt;0</f>
        <v>1</v>
      </c>
      <c r="AA520" s="2" t="b" cm="1">
        <f t="array" ref="AA520">SUMPRODUCT(--ISNUMBER(SEARCH({"dimensional analysis","dimensionless coefficients","Π","Pi","theorem","software","design","tools","development","architecture","similar"}, LOWER(Table1938[[#This Row],[Abstract]]))))&gt;0</f>
        <v>1</v>
      </c>
      <c r="AB520" s="2" t="b">
        <f>AND(OR(Table1938[[#This Row],[IC-01 @2024]:[IC-01 @2020]])=TRUE,Table1938[[#This Row],[IC-02]]=TRUE,Table1938[[#This Row],[IC-03]]=TRUE,Table1938[[#This Row],[IC-04]]=TRUE,Table1938[[#This Row],[IC-05]]=TRUE)</f>
        <v>1</v>
      </c>
      <c r="AC520" s="2" t="b">
        <f>AND(Table1938[[#This Row],[Pass-IC]]=TRUE,Table1938[[#This Row],[Pass-EC]]=TRUE)</f>
        <v>1</v>
      </c>
      <c r="AD520" s="2" t="b">
        <f>COUNTIF($D$25:D520, Table1938[[#This Row],[Title]]) = 1</f>
        <v>1</v>
      </c>
      <c r="AE520" s="2" t="b">
        <f>AND(Table1938[[#This Row],[IC + EC]:[Unique]])</f>
        <v>1</v>
      </c>
      <c r="AF520" s="2" t="b">
        <v>1</v>
      </c>
      <c r="AG520" s="2" t="b">
        <v>0</v>
      </c>
      <c r="AH520" s="2" t="b">
        <v>0</v>
      </c>
      <c r="AI520" s="2" t="b">
        <f>IF(AND(Table1938[[#This Row],[Double Check]]=TRUE,Table1938[[#This Row],[Inspected]]=TRUE,Table1938[[#This Row],[Relevant]]=TRUE),TRUE,FALSE)</f>
        <v>0</v>
      </c>
    </row>
    <row r="521" spans="1:35" ht="57.35" x14ac:dyDescent="0.5">
      <c r="A521" s="2">
        <v>520</v>
      </c>
      <c r="B521" s="20" t="s">
        <v>3</v>
      </c>
      <c r="C521" s="20" t="s">
        <v>3773</v>
      </c>
      <c r="D521" s="20" t="s">
        <v>1060</v>
      </c>
      <c r="E521" s="20" t="s">
        <v>1059</v>
      </c>
      <c r="F521" s="2" t="s">
        <v>1062</v>
      </c>
      <c r="G521" s="20" t="s">
        <v>996</v>
      </c>
      <c r="H521" s="36">
        <v>45474</v>
      </c>
      <c r="I521" s="20">
        <v>2024</v>
      </c>
      <c r="J521" s="20" t="s">
        <v>61</v>
      </c>
      <c r="K521" s="20" t="s">
        <v>3774</v>
      </c>
      <c r="L521" s="20" t="s">
        <v>2515</v>
      </c>
      <c r="M521" s="20" t="s">
        <v>1061</v>
      </c>
      <c r="N521" s="20" t="b">
        <v>1</v>
      </c>
      <c r="O521" s="2" t="b">
        <f>IF(Table1938[[#This Row],[Title]]="",TRUE,FALSE)</f>
        <v>0</v>
      </c>
      <c r="P521" s="2" t="b">
        <f>IF(Table1938[[#This Row],[Author]]="",TRUE,FALSE)</f>
        <v>0</v>
      </c>
      <c r="Q521" s="2" t="b">
        <f>IF(Table1938[[#This Row],[DOI]]&lt;&gt;"", FALSE,TRUE)</f>
        <v>0</v>
      </c>
      <c r="R521" s="2" t="b">
        <f>IF(Table1938[[#This Row],[Abstract]]="",TRUE,FALSE)</f>
        <v>0</v>
      </c>
      <c r="S521" s="2" t="b">
        <f>IF(OR(Table1938[[#This Row],[Document Type]]="book",Table1938[[#This Row],[Document Type]]="bookSection"),TRUE,FALSE)</f>
        <v>0</v>
      </c>
      <c r="T521" s="2" t="b">
        <f>NOT(IF(OR(Table1938[[#This Row],[Language]]&lt;&gt;"en",Table1938[[#This Row],[Language]]&lt;&gt;"EN",Table1938[[#This Row],[Language]]&lt;&gt;"spa",Table1938[[#This Row],[Language]]&lt;&gt;"SPA"),TRUE,FALSE))</f>
        <v>0</v>
      </c>
      <c r="U521" s="2" t="b">
        <f>IF(AND(Table1938[[#This Row],[EC-01]]=FALSE,Table1938[[#This Row],[EC-02]]=FALSE,Table1938[[#This Row],[EC-03]]=FALSE,Table1938[[#This Row],[EC-04]]=FALSE,Table1938[[#This Row],[EC-05]]=FALSE,Table1938[[#This Row],[EC-06]]=FALSE),TRUE,FALSE)</f>
        <v>1</v>
      </c>
      <c r="V521" s="2" t="b">
        <f>IF(Table1938[[#This Row],[Date]]&lt;&gt;"",AND(YEAR(Table1938[[#This Row],[Date]])&gt;=2010, YEAR(Table1938[[#This Row],[Date]])&lt;=2024),FALSE)</f>
        <v>1</v>
      </c>
      <c r="W521" s="2" t="b">
        <f>IF(Table1938[[#This Row],[Date]]&lt;&gt;"",AND(YEAR(Table1938[[#This Row],[Date]])&gt;=2010, YEAR(Table1938[[#This Row],[Date]])&lt;=2020),FALSE)</f>
        <v>0</v>
      </c>
      <c r="X521" s="2" t="b">
        <f>IF(AND(Table1938[[#This Row],[Accesible]]=TRUE,Table1938[[#This Row],[DOI]]&lt;&gt;""),TRUE,FALSE)</f>
        <v>1</v>
      </c>
      <c r="Y521" s="2" t="b">
        <f>OR(Table1938[[#This Row],[Document Type]]="journalArticle",Table1938[[#This Row],[Document Type]]="conferencePaper",Table1938[[#This Row],[Document Type]]="review")</f>
        <v>1</v>
      </c>
      <c r="Z521" s="2" t="b" cm="1">
        <f t="array" ref="Z521">SUMPRODUCT(--ISNUMBER(SEARCH({"dimensional analysis","dimensionless coefficients","Π","Pi","theorem","software","design","tools","development","architecture","similar"}, LOWER(Table1938[[#This Row],[Title]]))))&gt;0</f>
        <v>0</v>
      </c>
      <c r="AA521" s="2" t="b" cm="1">
        <f t="array" ref="AA521">SUMPRODUCT(--ISNUMBER(SEARCH({"dimensional analysis","dimensionless coefficients","Π","Pi","theorem","software","design","tools","development","architecture","similar"}, LOWER(Table1938[[#This Row],[Abstract]]))))&gt;0</f>
        <v>1</v>
      </c>
      <c r="AB521" s="2" t="b">
        <f>AND(OR(Table1938[[#This Row],[IC-01 @2024]:[IC-01 @2020]])=TRUE,Table1938[[#This Row],[IC-02]]=TRUE,Table1938[[#This Row],[IC-03]]=TRUE,Table1938[[#This Row],[IC-04]]=TRUE,Table1938[[#This Row],[IC-05]]=TRUE)</f>
        <v>0</v>
      </c>
      <c r="AC521" s="2" t="b">
        <f>AND(Table1938[[#This Row],[Pass-IC]]=TRUE,Table1938[[#This Row],[Pass-EC]]=TRUE)</f>
        <v>0</v>
      </c>
      <c r="AD521" s="2" t="b">
        <f>COUNTIF($D$25:D521, Table1938[[#This Row],[Title]]) = 1</f>
        <v>1</v>
      </c>
      <c r="AE521" s="2" t="b">
        <f>AND(Table1938[[#This Row],[IC + EC]:[Unique]])</f>
        <v>0</v>
      </c>
      <c r="AF521" s="2" t="b">
        <v>0</v>
      </c>
      <c r="AG521" s="2" t="b">
        <v>0</v>
      </c>
      <c r="AH521" s="2" t="b">
        <v>0</v>
      </c>
      <c r="AI521" s="2" t="b">
        <f>IF(AND(Table1938[[#This Row],[Double Check]]=TRUE,Table1938[[#This Row],[Inspected]]=TRUE,Table1938[[#This Row],[Relevant]]=TRUE),TRUE,FALSE)</f>
        <v>0</v>
      </c>
    </row>
    <row r="522" spans="1:35" ht="57.35" x14ac:dyDescent="0.5">
      <c r="A522" s="2">
        <v>521</v>
      </c>
      <c r="B522" s="20" t="s">
        <v>3</v>
      </c>
      <c r="C522" s="20" t="s">
        <v>3775</v>
      </c>
      <c r="D522" s="20" t="s">
        <v>1615</v>
      </c>
      <c r="E522" s="20" t="s">
        <v>1614</v>
      </c>
      <c r="F522" s="2" t="s">
        <v>1618</v>
      </c>
      <c r="G522" s="20" t="s">
        <v>1616</v>
      </c>
      <c r="H522" s="36">
        <v>42495</v>
      </c>
      <c r="I522" s="20">
        <v>2016</v>
      </c>
      <c r="J522" s="20" t="s">
        <v>61</v>
      </c>
      <c r="K522" s="20" t="s">
        <v>3776</v>
      </c>
      <c r="L522" s="20" t="s">
        <v>2515</v>
      </c>
      <c r="M522" s="20" t="s">
        <v>1617</v>
      </c>
      <c r="N522" s="20" t="b">
        <v>1</v>
      </c>
      <c r="O522" s="2" t="b">
        <f>IF(Table1938[[#This Row],[Title]]="",TRUE,FALSE)</f>
        <v>0</v>
      </c>
      <c r="P522" s="2" t="b">
        <f>IF(Table1938[[#This Row],[Author]]="",TRUE,FALSE)</f>
        <v>0</v>
      </c>
      <c r="Q522" s="2" t="b">
        <f>IF(Table1938[[#This Row],[DOI]]&lt;&gt;"", FALSE,TRUE)</f>
        <v>0</v>
      </c>
      <c r="R522" s="2" t="b">
        <f>IF(Table1938[[#This Row],[Abstract]]="",TRUE,FALSE)</f>
        <v>0</v>
      </c>
      <c r="S522" s="2" t="b">
        <f>IF(OR(Table1938[[#This Row],[Document Type]]="book",Table1938[[#This Row],[Document Type]]="bookSection"),TRUE,FALSE)</f>
        <v>0</v>
      </c>
      <c r="T522" s="2" t="b">
        <f>NOT(IF(OR(Table1938[[#This Row],[Language]]&lt;&gt;"en",Table1938[[#This Row],[Language]]&lt;&gt;"EN",Table1938[[#This Row],[Language]]&lt;&gt;"spa",Table1938[[#This Row],[Language]]&lt;&gt;"SPA"),TRUE,FALSE))</f>
        <v>0</v>
      </c>
      <c r="U522" s="2" t="b">
        <f>IF(AND(Table1938[[#This Row],[EC-01]]=FALSE,Table1938[[#This Row],[EC-02]]=FALSE,Table1938[[#This Row],[EC-03]]=FALSE,Table1938[[#This Row],[EC-04]]=FALSE,Table1938[[#This Row],[EC-05]]=FALSE,Table1938[[#This Row],[EC-06]]=FALSE),TRUE,FALSE)</f>
        <v>1</v>
      </c>
      <c r="V522" s="2" t="b">
        <f>IF(Table1938[[#This Row],[Date]]&lt;&gt;"",AND(YEAR(Table1938[[#This Row],[Date]])&gt;=2010, YEAR(Table1938[[#This Row],[Date]])&lt;=2024),FALSE)</f>
        <v>1</v>
      </c>
      <c r="W522" s="2" t="b">
        <f>IF(Table1938[[#This Row],[Date]]&lt;&gt;"",AND(YEAR(Table1938[[#This Row],[Date]])&gt;=2010, YEAR(Table1938[[#This Row],[Date]])&lt;=2020),FALSE)</f>
        <v>1</v>
      </c>
      <c r="X522" s="2" t="b">
        <f>IF(AND(Table1938[[#This Row],[Accesible]]=TRUE,Table1938[[#This Row],[DOI]]&lt;&gt;""),TRUE,FALSE)</f>
        <v>1</v>
      </c>
      <c r="Y522" s="2" t="b">
        <f>OR(Table1938[[#This Row],[Document Type]]="journalArticle",Table1938[[#This Row],[Document Type]]="conferencePaper",Table1938[[#This Row],[Document Type]]="review")</f>
        <v>1</v>
      </c>
      <c r="Z522" s="2" t="b" cm="1">
        <f t="array" ref="Z522">SUMPRODUCT(--ISNUMBER(SEARCH({"dimensional analysis","dimensionless coefficients","Π","Pi","theorem","software","design","tools","development","architecture","similar"}, LOWER(Table1938[[#This Row],[Title]]))))&gt;0</f>
        <v>0</v>
      </c>
      <c r="AA522" s="2" t="b" cm="1">
        <f t="array" ref="AA522">SUMPRODUCT(--ISNUMBER(SEARCH({"dimensional analysis","dimensionless coefficients","Π","Pi","theorem","software","design","tools","development","architecture","similar"}, LOWER(Table1938[[#This Row],[Abstract]]))))&gt;0</f>
        <v>1</v>
      </c>
      <c r="AB522" s="2" t="b">
        <f>AND(OR(Table1938[[#This Row],[IC-01 @2024]:[IC-01 @2020]])=TRUE,Table1938[[#This Row],[IC-02]]=TRUE,Table1938[[#This Row],[IC-03]]=TRUE,Table1938[[#This Row],[IC-04]]=TRUE,Table1938[[#This Row],[IC-05]]=TRUE)</f>
        <v>0</v>
      </c>
      <c r="AC522" s="2" t="b">
        <f>AND(Table1938[[#This Row],[Pass-IC]]=TRUE,Table1938[[#This Row],[Pass-EC]]=TRUE)</f>
        <v>0</v>
      </c>
      <c r="AD522" s="2" t="b">
        <f>COUNTIF($D$25:D522, Table1938[[#This Row],[Title]]) = 1</f>
        <v>1</v>
      </c>
      <c r="AE522" s="2" t="b">
        <f>AND(Table1938[[#This Row],[IC + EC]:[Unique]])</f>
        <v>0</v>
      </c>
      <c r="AF522" s="2" t="b">
        <v>0</v>
      </c>
      <c r="AG522" s="2" t="b">
        <v>0</v>
      </c>
      <c r="AH522" s="2" t="b">
        <v>0</v>
      </c>
      <c r="AI522" s="2" t="b">
        <f>IF(AND(Table1938[[#This Row],[Double Check]]=TRUE,Table1938[[#This Row],[Inspected]]=TRUE,Table1938[[#This Row],[Relevant]]=TRUE),TRUE,FALSE)</f>
        <v>0</v>
      </c>
    </row>
    <row r="523" spans="1:35" ht="57.35" x14ac:dyDescent="0.5">
      <c r="A523" s="2">
        <v>522</v>
      </c>
      <c r="B523" s="20" t="s">
        <v>3</v>
      </c>
      <c r="C523" s="20" t="s">
        <v>3777</v>
      </c>
      <c r="D523" s="20" t="s">
        <v>2327</v>
      </c>
      <c r="E523" s="20" t="s">
        <v>2326</v>
      </c>
      <c r="F523" s="2" t="s">
        <v>2329</v>
      </c>
      <c r="G523" s="20" t="s">
        <v>2227</v>
      </c>
      <c r="H523" s="36">
        <v>44835</v>
      </c>
      <c r="I523" s="20">
        <v>2022</v>
      </c>
      <c r="J523" s="20" t="s">
        <v>61</v>
      </c>
      <c r="K523" s="20" t="s">
        <v>3778</v>
      </c>
      <c r="L523" s="20" t="s">
        <v>2515</v>
      </c>
      <c r="M523" s="20" t="s">
        <v>2328</v>
      </c>
      <c r="N523" s="20" t="b">
        <v>1</v>
      </c>
      <c r="O523" s="2" t="b">
        <f>IF(Table1938[[#This Row],[Title]]="",TRUE,FALSE)</f>
        <v>0</v>
      </c>
      <c r="P523" s="2" t="b">
        <f>IF(Table1938[[#This Row],[Author]]="",TRUE,FALSE)</f>
        <v>0</v>
      </c>
      <c r="Q523" s="2" t="b">
        <f>IF(Table1938[[#This Row],[DOI]]&lt;&gt;"", FALSE,TRUE)</f>
        <v>0</v>
      </c>
      <c r="R523" s="2" t="b">
        <f>IF(Table1938[[#This Row],[Abstract]]="",TRUE,FALSE)</f>
        <v>0</v>
      </c>
      <c r="S523" s="2" t="b">
        <f>IF(OR(Table1938[[#This Row],[Document Type]]="book",Table1938[[#This Row],[Document Type]]="bookSection"),TRUE,FALSE)</f>
        <v>0</v>
      </c>
      <c r="T523" s="2" t="b">
        <f>NOT(IF(OR(Table1938[[#This Row],[Language]]&lt;&gt;"en",Table1938[[#This Row],[Language]]&lt;&gt;"EN",Table1938[[#This Row],[Language]]&lt;&gt;"spa",Table1938[[#This Row],[Language]]&lt;&gt;"SPA"),TRUE,FALSE))</f>
        <v>0</v>
      </c>
      <c r="U523" s="2" t="b">
        <f>IF(AND(Table1938[[#This Row],[EC-01]]=FALSE,Table1938[[#This Row],[EC-02]]=FALSE,Table1938[[#This Row],[EC-03]]=FALSE,Table1938[[#This Row],[EC-04]]=FALSE,Table1938[[#This Row],[EC-05]]=FALSE,Table1938[[#This Row],[EC-06]]=FALSE),TRUE,FALSE)</f>
        <v>1</v>
      </c>
      <c r="V523" s="2" t="b">
        <f>IF(Table1938[[#This Row],[Date]]&lt;&gt;"",AND(YEAR(Table1938[[#This Row],[Date]])&gt;=2010, YEAR(Table1938[[#This Row],[Date]])&lt;=2024),FALSE)</f>
        <v>1</v>
      </c>
      <c r="W523" s="2" t="b">
        <f>IF(Table1938[[#This Row],[Date]]&lt;&gt;"",AND(YEAR(Table1938[[#This Row],[Date]])&gt;=2010, YEAR(Table1938[[#This Row],[Date]])&lt;=2020),FALSE)</f>
        <v>0</v>
      </c>
      <c r="X523" s="2" t="b">
        <f>IF(AND(Table1938[[#This Row],[Accesible]]=TRUE,Table1938[[#This Row],[DOI]]&lt;&gt;""),TRUE,FALSE)</f>
        <v>1</v>
      </c>
      <c r="Y523" s="2" t="b">
        <f>OR(Table1938[[#This Row],[Document Type]]="journalArticle",Table1938[[#This Row],[Document Type]]="conferencePaper",Table1938[[#This Row],[Document Type]]="review")</f>
        <v>1</v>
      </c>
      <c r="Z523" s="2" t="b" cm="1">
        <f t="array" ref="Z523">SUMPRODUCT(--ISNUMBER(SEARCH({"dimensional analysis","dimensionless coefficients","Π","Pi","theorem","software","design","tools","development","architecture","similar"}, LOWER(Table1938[[#This Row],[Title]]))))&gt;0</f>
        <v>0</v>
      </c>
      <c r="AA523" s="2" t="b" cm="1">
        <f t="array" ref="AA523">SUMPRODUCT(--ISNUMBER(SEARCH({"dimensional analysis","dimensionless coefficients","Π","Pi","theorem","software","design","tools","development","architecture","similar"}, LOWER(Table1938[[#This Row],[Abstract]]))))&gt;0</f>
        <v>1</v>
      </c>
      <c r="AB523" s="2" t="b">
        <f>AND(OR(Table1938[[#This Row],[IC-01 @2024]:[IC-01 @2020]])=TRUE,Table1938[[#This Row],[IC-02]]=TRUE,Table1938[[#This Row],[IC-03]]=TRUE,Table1938[[#This Row],[IC-04]]=TRUE,Table1938[[#This Row],[IC-05]]=TRUE)</f>
        <v>0</v>
      </c>
      <c r="AC523" s="2" t="b">
        <f>AND(Table1938[[#This Row],[Pass-IC]]=TRUE,Table1938[[#This Row],[Pass-EC]]=TRUE)</f>
        <v>0</v>
      </c>
      <c r="AD523" s="2" t="b">
        <f>COUNTIF($D$25:D523, Table1938[[#This Row],[Title]]) = 1</f>
        <v>1</v>
      </c>
      <c r="AE523" s="2" t="b">
        <f>AND(Table1938[[#This Row],[IC + EC]:[Unique]])</f>
        <v>0</v>
      </c>
      <c r="AF523" s="2" t="b">
        <v>0</v>
      </c>
      <c r="AG523" s="2" t="b">
        <v>0</v>
      </c>
      <c r="AH523" s="2" t="b">
        <v>0</v>
      </c>
      <c r="AI523" s="2" t="b">
        <f>IF(AND(Table1938[[#This Row],[Double Check]]=TRUE,Table1938[[#This Row],[Inspected]]=TRUE,Table1938[[#This Row],[Relevant]]=TRUE),TRUE,FALSE)</f>
        <v>0</v>
      </c>
    </row>
    <row r="524" spans="1:35" ht="57.35" x14ac:dyDescent="0.5">
      <c r="A524" s="2">
        <v>523</v>
      </c>
      <c r="B524" s="20" t="s">
        <v>3</v>
      </c>
      <c r="C524" s="20" t="s">
        <v>3779</v>
      </c>
      <c r="D524" s="20" t="s">
        <v>2151</v>
      </c>
      <c r="E524" s="20" t="s">
        <v>2150</v>
      </c>
      <c r="F524" s="2" t="s">
        <v>2153</v>
      </c>
      <c r="G524" s="20" t="s">
        <v>920</v>
      </c>
      <c r="H524" s="36">
        <v>43225</v>
      </c>
      <c r="I524" s="20">
        <v>2018</v>
      </c>
      <c r="J524" s="20" t="s">
        <v>61</v>
      </c>
      <c r="K524" s="20" t="s">
        <v>3780</v>
      </c>
      <c r="L524" s="20" t="s">
        <v>2515</v>
      </c>
      <c r="M524" s="20" t="s">
        <v>2152</v>
      </c>
      <c r="N524" s="20" t="b">
        <v>1</v>
      </c>
      <c r="O524" s="2" t="b">
        <f>IF(Table1938[[#This Row],[Title]]="",TRUE,FALSE)</f>
        <v>0</v>
      </c>
      <c r="P524" s="2" t="b">
        <f>IF(Table1938[[#This Row],[Author]]="",TRUE,FALSE)</f>
        <v>0</v>
      </c>
      <c r="Q524" s="2" t="b">
        <f>IF(Table1938[[#This Row],[DOI]]&lt;&gt;"", FALSE,TRUE)</f>
        <v>0</v>
      </c>
      <c r="R524" s="2" t="b">
        <f>IF(Table1938[[#This Row],[Abstract]]="",TRUE,FALSE)</f>
        <v>0</v>
      </c>
      <c r="S524" s="2" t="b">
        <f>IF(OR(Table1938[[#This Row],[Document Type]]="book",Table1938[[#This Row],[Document Type]]="bookSection"),TRUE,FALSE)</f>
        <v>0</v>
      </c>
      <c r="T524" s="2" t="b">
        <f>NOT(IF(OR(Table1938[[#This Row],[Language]]&lt;&gt;"en",Table1938[[#This Row],[Language]]&lt;&gt;"EN",Table1938[[#This Row],[Language]]&lt;&gt;"spa",Table1938[[#This Row],[Language]]&lt;&gt;"SPA"),TRUE,FALSE))</f>
        <v>0</v>
      </c>
      <c r="U524" s="2" t="b">
        <f>IF(AND(Table1938[[#This Row],[EC-01]]=FALSE,Table1938[[#This Row],[EC-02]]=FALSE,Table1938[[#This Row],[EC-03]]=FALSE,Table1938[[#This Row],[EC-04]]=FALSE,Table1938[[#This Row],[EC-05]]=FALSE,Table1938[[#This Row],[EC-06]]=FALSE),TRUE,FALSE)</f>
        <v>1</v>
      </c>
      <c r="V524" s="2" t="b">
        <f>IF(Table1938[[#This Row],[Date]]&lt;&gt;"",AND(YEAR(Table1938[[#This Row],[Date]])&gt;=2010, YEAR(Table1938[[#This Row],[Date]])&lt;=2024),FALSE)</f>
        <v>1</v>
      </c>
      <c r="W524" s="2" t="b">
        <f>IF(Table1938[[#This Row],[Date]]&lt;&gt;"",AND(YEAR(Table1938[[#This Row],[Date]])&gt;=2010, YEAR(Table1938[[#This Row],[Date]])&lt;=2020),FALSE)</f>
        <v>1</v>
      </c>
      <c r="X524" s="2" t="b">
        <f>IF(AND(Table1938[[#This Row],[Accesible]]=TRUE,Table1938[[#This Row],[DOI]]&lt;&gt;""),TRUE,FALSE)</f>
        <v>1</v>
      </c>
      <c r="Y524" s="2" t="b">
        <f>OR(Table1938[[#This Row],[Document Type]]="journalArticle",Table1938[[#This Row],[Document Type]]="conferencePaper",Table1938[[#This Row],[Document Type]]="review")</f>
        <v>1</v>
      </c>
      <c r="Z524" s="2" t="b" cm="1">
        <f t="array" ref="Z524">SUMPRODUCT(--ISNUMBER(SEARCH({"dimensional analysis","dimensionless coefficients","Π","Pi","theorem","software","design","tools","development","architecture","similar"}, LOWER(Table1938[[#This Row],[Title]]))))&gt;0</f>
        <v>0</v>
      </c>
      <c r="AA524" s="2" t="b" cm="1">
        <f t="array" ref="AA524">SUMPRODUCT(--ISNUMBER(SEARCH({"dimensional analysis","dimensionless coefficients","Π","Pi","theorem","software","design","tools","development","architecture","similar"}, LOWER(Table1938[[#This Row],[Abstract]]))))&gt;0</f>
        <v>1</v>
      </c>
      <c r="AB524" s="2" t="b">
        <f>AND(OR(Table1938[[#This Row],[IC-01 @2024]:[IC-01 @2020]])=TRUE,Table1938[[#This Row],[IC-02]]=TRUE,Table1938[[#This Row],[IC-03]]=TRUE,Table1938[[#This Row],[IC-04]]=TRUE,Table1938[[#This Row],[IC-05]]=TRUE)</f>
        <v>0</v>
      </c>
      <c r="AC524" s="2" t="b">
        <f>AND(Table1938[[#This Row],[Pass-IC]]=TRUE,Table1938[[#This Row],[Pass-EC]]=TRUE)</f>
        <v>0</v>
      </c>
      <c r="AD524" s="2" t="b">
        <f>COUNTIF($D$25:D524, Table1938[[#This Row],[Title]]) = 1</f>
        <v>1</v>
      </c>
      <c r="AE524" s="2" t="b">
        <f>AND(Table1938[[#This Row],[IC + EC]:[Unique]])</f>
        <v>0</v>
      </c>
      <c r="AF524" s="2" t="b">
        <v>0</v>
      </c>
      <c r="AG524" s="2" t="b">
        <v>0</v>
      </c>
      <c r="AH524" s="2" t="b">
        <v>0</v>
      </c>
      <c r="AI524" s="2" t="b">
        <f>IF(AND(Table1938[[#This Row],[Double Check]]=TRUE,Table1938[[#This Row],[Inspected]]=TRUE,Table1938[[#This Row],[Relevant]]=TRUE),TRUE,FALSE)</f>
        <v>0</v>
      </c>
    </row>
    <row r="525" spans="1:35" ht="71.7" x14ac:dyDescent="0.5">
      <c r="A525" s="2">
        <v>524</v>
      </c>
      <c r="B525" s="20" t="s">
        <v>3</v>
      </c>
      <c r="C525" s="20" t="s">
        <v>3781</v>
      </c>
      <c r="D525" s="20" t="s">
        <v>2039</v>
      </c>
      <c r="E525" s="20" t="s">
        <v>2038</v>
      </c>
      <c r="F525" s="2" t="s">
        <v>2041</v>
      </c>
      <c r="G525" s="20" t="s">
        <v>1015</v>
      </c>
      <c r="H525" s="36">
        <v>43952</v>
      </c>
      <c r="I525" s="20">
        <v>2020</v>
      </c>
      <c r="J525" s="20" t="s">
        <v>61</v>
      </c>
      <c r="K525" s="20" t="s">
        <v>3782</v>
      </c>
      <c r="L525" s="20" t="s">
        <v>2515</v>
      </c>
      <c r="M525" s="20" t="s">
        <v>2040</v>
      </c>
      <c r="N525" s="20" t="b">
        <v>1</v>
      </c>
      <c r="O525" s="2" t="b">
        <f>IF(Table1938[[#This Row],[Title]]="",TRUE,FALSE)</f>
        <v>0</v>
      </c>
      <c r="P525" s="2" t="b">
        <f>IF(Table1938[[#This Row],[Author]]="",TRUE,FALSE)</f>
        <v>0</v>
      </c>
      <c r="Q525" s="2" t="b">
        <f>IF(Table1938[[#This Row],[DOI]]&lt;&gt;"", FALSE,TRUE)</f>
        <v>0</v>
      </c>
      <c r="R525" s="2" t="b">
        <f>IF(Table1938[[#This Row],[Abstract]]="",TRUE,FALSE)</f>
        <v>0</v>
      </c>
      <c r="S525" s="2" t="b">
        <f>IF(OR(Table1938[[#This Row],[Document Type]]="book",Table1938[[#This Row],[Document Type]]="bookSection"),TRUE,FALSE)</f>
        <v>0</v>
      </c>
      <c r="T525" s="2" t="b">
        <f>NOT(IF(OR(Table1938[[#This Row],[Language]]&lt;&gt;"en",Table1938[[#This Row],[Language]]&lt;&gt;"EN",Table1938[[#This Row],[Language]]&lt;&gt;"spa",Table1938[[#This Row],[Language]]&lt;&gt;"SPA"),TRUE,FALSE))</f>
        <v>0</v>
      </c>
      <c r="U525" s="2" t="b">
        <f>IF(AND(Table1938[[#This Row],[EC-01]]=FALSE,Table1938[[#This Row],[EC-02]]=FALSE,Table1938[[#This Row],[EC-03]]=FALSE,Table1938[[#This Row],[EC-04]]=FALSE,Table1938[[#This Row],[EC-05]]=FALSE,Table1938[[#This Row],[EC-06]]=FALSE),TRUE,FALSE)</f>
        <v>1</v>
      </c>
      <c r="V525" s="2" t="b">
        <f>IF(Table1938[[#This Row],[Date]]&lt;&gt;"",AND(YEAR(Table1938[[#This Row],[Date]])&gt;=2010, YEAR(Table1938[[#This Row],[Date]])&lt;=2024),FALSE)</f>
        <v>1</v>
      </c>
      <c r="W525" s="2" t="b">
        <f>IF(Table1938[[#This Row],[Date]]&lt;&gt;"",AND(YEAR(Table1938[[#This Row],[Date]])&gt;=2010, YEAR(Table1938[[#This Row],[Date]])&lt;=2020),FALSE)</f>
        <v>1</v>
      </c>
      <c r="X525" s="2" t="b">
        <f>IF(AND(Table1938[[#This Row],[Accesible]]=TRUE,Table1938[[#This Row],[DOI]]&lt;&gt;""),TRUE,FALSE)</f>
        <v>1</v>
      </c>
      <c r="Y525" s="2" t="b">
        <f>OR(Table1938[[#This Row],[Document Type]]="journalArticle",Table1938[[#This Row],[Document Type]]="conferencePaper",Table1938[[#This Row],[Document Type]]="review")</f>
        <v>1</v>
      </c>
      <c r="Z525" s="2" t="b" cm="1">
        <f t="array" ref="Z525">SUMPRODUCT(--ISNUMBER(SEARCH({"dimensional analysis","dimensionless coefficients","Π","Pi","theorem","software","design","tools","development","architecture","similar"}, LOWER(Table1938[[#This Row],[Title]]))))&gt;0</f>
        <v>1</v>
      </c>
      <c r="AA525" s="2" t="b" cm="1">
        <f t="array" ref="AA525">SUMPRODUCT(--ISNUMBER(SEARCH({"dimensional analysis","dimensionless coefficients","Π","Pi","theorem","software","design","tools","development","architecture","similar"}, LOWER(Table1938[[#This Row],[Abstract]]))))&gt;0</f>
        <v>1</v>
      </c>
      <c r="AB525" s="2" t="b">
        <f>AND(OR(Table1938[[#This Row],[IC-01 @2024]:[IC-01 @2020]])=TRUE,Table1938[[#This Row],[IC-02]]=TRUE,Table1938[[#This Row],[IC-03]]=TRUE,Table1938[[#This Row],[IC-04]]=TRUE,Table1938[[#This Row],[IC-05]]=TRUE)</f>
        <v>1</v>
      </c>
      <c r="AC525" s="2" t="b">
        <f>AND(Table1938[[#This Row],[Pass-IC]]=TRUE,Table1938[[#This Row],[Pass-EC]]=TRUE)</f>
        <v>1</v>
      </c>
      <c r="AD525" s="2" t="b">
        <f>COUNTIF($D$25:D525, Table1938[[#This Row],[Title]]) = 1</f>
        <v>1</v>
      </c>
      <c r="AE525" s="2" t="b">
        <f>AND(Table1938[[#This Row],[IC + EC]:[Unique]])</f>
        <v>1</v>
      </c>
      <c r="AF525" s="2" t="b">
        <v>1</v>
      </c>
      <c r="AG525" s="2" t="b">
        <v>0</v>
      </c>
      <c r="AH525" s="2" t="b">
        <v>0</v>
      </c>
      <c r="AI525" s="2" t="b">
        <f>IF(AND(Table1938[[#This Row],[Double Check]]=TRUE,Table1938[[#This Row],[Inspected]]=TRUE,Table1938[[#This Row],[Relevant]]=TRUE),TRUE,FALSE)</f>
        <v>0</v>
      </c>
    </row>
    <row r="526" spans="1:35" ht="57.35" x14ac:dyDescent="0.5">
      <c r="A526" s="2">
        <v>525</v>
      </c>
      <c r="B526" s="20" t="s">
        <v>3</v>
      </c>
      <c r="C526" s="20" t="s">
        <v>3783</v>
      </c>
      <c r="D526" s="20" t="s">
        <v>2339</v>
      </c>
      <c r="E526" s="20" t="s">
        <v>2338</v>
      </c>
      <c r="F526" s="2" t="s">
        <v>2341</v>
      </c>
      <c r="G526" s="20" t="s">
        <v>928</v>
      </c>
      <c r="H526" s="36">
        <v>43770</v>
      </c>
      <c r="I526" s="20">
        <v>2019</v>
      </c>
      <c r="J526" s="20" t="s">
        <v>61</v>
      </c>
      <c r="K526" s="20" t="s">
        <v>3784</v>
      </c>
      <c r="L526" s="20" t="s">
        <v>2515</v>
      </c>
      <c r="M526" s="20" t="s">
        <v>2340</v>
      </c>
      <c r="N526" s="20" t="b">
        <v>1</v>
      </c>
      <c r="O526" s="2" t="b">
        <f>IF(Table1938[[#This Row],[Title]]="",TRUE,FALSE)</f>
        <v>0</v>
      </c>
      <c r="P526" s="2" t="b">
        <f>IF(Table1938[[#This Row],[Author]]="",TRUE,FALSE)</f>
        <v>0</v>
      </c>
      <c r="Q526" s="2" t="b">
        <f>IF(Table1938[[#This Row],[DOI]]&lt;&gt;"", FALSE,TRUE)</f>
        <v>0</v>
      </c>
      <c r="R526" s="2" t="b">
        <f>IF(Table1938[[#This Row],[Abstract]]="",TRUE,FALSE)</f>
        <v>0</v>
      </c>
      <c r="S526" s="2" t="b">
        <f>IF(OR(Table1938[[#This Row],[Document Type]]="book",Table1938[[#This Row],[Document Type]]="bookSection"),TRUE,FALSE)</f>
        <v>0</v>
      </c>
      <c r="T526" s="2" t="b">
        <f>NOT(IF(OR(Table1938[[#This Row],[Language]]&lt;&gt;"en",Table1938[[#This Row],[Language]]&lt;&gt;"EN",Table1938[[#This Row],[Language]]&lt;&gt;"spa",Table1938[[#This Row],[Language]]&lt;&gt;"SPA"),TRUE,FALSE))</f>
        <v>0</v>
      </c>
      <c r="U526" s="2" t="b">
        <f>IF(AND(Table1938[[#This Row],[EC-01]]=FALSE,Table1938[[#This Row],[EC-02]]=FALSE,Table1938[[#This Row],[EC-03]]=FALSE,Table1938[[#This Row],[EC-04]]=FALSE,Table1938[[#This Row],[EC-05]]=FALSE,Table1938[[#This Row],[EC-06]]=FALSE),TRUE,FALSE)</f>
        <v>1</v>
      </c>
      <c r="V526" s="2" t="b">
        <f>IF(Table1938[[#This Row],[Date]]&lt;&gt;"",AND(YEAR(Table1938[[#This Row],[Date]])&gt;=2010, YEAR(Table1938[[#This Row],[Date]])&lt;=2024),FALSE)</f>
        <v>1</v>
      </c>
      <c r="W526" s="2" t="b">
        <f>IF(Table1938[[#This Row],[Date]]&lt;&gt;"",AND(YEAR(Table1938[[#This Row],[Date]])&gt;=2010, YEAR(Table1938[[#This Row],[Date]])&lt;=2020),FALSE)</f>
        <v>1</v>
      </c>
      <c r="X526" s="2" t="b">
        <f>IF(AND(Table1938[[#This Row],[Accesible]]=TRUE,Table1938[[#This Row],[DOI]]&lt;&gt;""),TRUE,FALSE)</f>
        <v>1</v>
      </c>
      <c r="Y526" s="2" t="b">
        <f>OR(Table1938[[#This Row],[Document Type]]="journalArticle",Table1938[[#This Row],[Document Type]]="conferencePaper",Table1938[[#This Row],[Document Type]]="review")</f>
        <v>1</v>
      </c>
      <c r="Z526" s="2" t="b" cm="1">
        <f t="array" ref="Z526">SUMPRODUCT(--ISNUMBER(SEARCH({"dimensional analysis","dimensionless coefficients","Π","Pi","theorem","software","design","tools","development","architecture","similar"}, LOWER(Table1938[[#This Row],[Title]]))))&gt;0</f>
        <v>0</v>
      </c>
      <c r="AA526" s="2" t="b" cm="1">
        <f t="array" ref="AA526">SUMPRODUCT(--ISNUMBER(SEARCH({"dimensional analysis","dimensionless coefficients","Π","Pi","theorem","software","design","tools","development","architecture","similar"}, LOWER(Table1938[[#This Row],[Abstract]]))))&gt;0</f>
        <v>1</v>
      </c>
      <c r="AB526" s="2" t="b">
        <f>AND(OR(Table1938[[#This Row],[IC-01 @2024]:[IC-01 @2020]])=TRUE,Table1938[[#This Row],[IC-02]]=TRUE,Table1938[[#This Row],[IC-03]]=TRUE,Table1938[[#This Row],[IC-04]]=TRUE,Table1938[[#This Row],[IC-05]]=TRUE)</f>
        <v>0</v>
      </c>
      <c r="AC526" s="2" t="b">
        <f>AND(Table1938[[#This Row],[Pass-IC]]=TRUE,Table1938[[#This Row],[Pass-EC]]=TRUE)</f>
        <v>0</v>
      </c>
      <c r="AD526" s="2" t="b">
        <f>COUNTIF($D$25:D526, Table1938[[#This Row],[Title]]) = 1</f>
        <v>1</v>
      </c>
      <c r="AE526" s="2" t="b">
        <f>AND(Table1938[[#This Row],[IC + EC]:[Unique]])</f>
        <v>0</v>
      </c>
      <c r="AF526" s="2" t="b">
        <v>0</v>
      </c>
      <c r="AG526" s="2" t="b">
        <v>0</v>
      </c>
      <c r="AH526" s="2" t="b">
        <v>0</v>
      </c>
      <c r="AI526" s="2" t="b">
        <f>IF(AND(Table1938[[#This Row],[Double Check]]=TRUE,Table1938[[#This Row],[Inspected]]=TRUE,Table1938[[#This Row],[Relevant]]=TRUE),TRUE,FALSE)</f>
        <v>0</v>
      </c>
    </row>
    <row r="527" spans="1:35" ht="43" x14ac:dyDescent="0.5">
      <c r="A527" s="2">
        <v>526</v>
      </c>
      <c r="B527" s="20" t="s">
        <v>3</v>
      </c>
      <c r="C527" s="20" t="s">
        <v>3785</v>
      </c>
      <c r="D527" s="20" t="s">
        <v>1620</v>
      </c>
      <c r="E527" s="20" t="s">
        <v>1619</v>
      </c>
      <c r="F527" s="2" t="s">
        <v>1622</v>
      </c>
      <c r="G527" s="20" t="s">
        <v>935</v>
      </c>
      <c r="H527" s="36">
        <v>45474</v>
      </c>
      <c r="I527" s="20">
        <v>2024</v>
      </c>
      <c r="J527" s="20" t="s">
        <v>61</v>
      </c>
      <c r="K527" s="20" t="s">
        <v>3786</v>
      </c>
      <c r="L527" s="20" t="s">
        <v>2515</v>
      </c>
      <c r="M527" s="20" t="s">
        <v>1621</v>
      </c>
      <c r="N527" s="20" t="b">
        <v>1</v>
      </c>
      <c r="O527" s="2" t="b">
        <f>IF(Table1938[[#This Row],[Title]]="",TRUE,FALSE)</f>
        <v>0</v>
      </c>
      <c r="P527" s="2" t="b">
        <f>IF(Table1938[[#This Row],[Author]]="",TRUE,FALSE)</f>
        <v>0</v>
      </c>
      <c r="Q527" s="2" t="b">
        <f>IF(Table1938[[#This Row],[DOI]]&lt;&gt;"", FALSE,TRUE)</f>
        <v>0</v>
      </c>
      <c r="R527" s="2" t="b">
        <f>IF(Table1938[[#This Row],[Abstract]]="",TRUE,FALSE)</f>
        <v>0</v>
      </c>
      <c r="S527" s="2" t="b">
        <f>IF(OR(Table1938[[#This Row],[Document Type]]="book",Table1938[[#This Row],[Document Type]]="bookSection"),TRUE,FALSE)</f>
        <v>0</v>
      </c>
      <c r="T527" s="2" t="b">
        <f>NOT(IF(OR(Table1938[[#This Row],[Language]]&lt;&gt;"en",Table1938[[#This Row],[Language]]&lt;&gt;"EN",Table1938[[#This Row],[Language]]&lt;&gt;"spa",Table1938[[#This Row],[Language]]&lt;&gt;"SPA"),TRUE,FALSE))</f>
        <v>0</v>
      </c>
      <c r="U527" s="2" t="b">
        <f>IF(AND(Table1938[[#This Row],[EC-01]]=FALSE,Table1938[[#This Row],[EC-02]]=FALSE,Table1938[[#This Row],[EC-03]]=FALSE,Table1938[[#This Row],[EC-04]]=FALSE,Table1938[[#This Row],[EC-05]]=FALSE,Table1938[[#This Row],[EC-06]]=FALSE),TRUE,FALSE)</f>
        <v>1</v>
      </c>
      <c r="V527" s="2" t="b">
        <f>IF(Table1938[[#This Row],[Date]]&lt;&gt;"",AND(YEAR(Table1938[[#This Row],[Date]])&gt;=2010, YEAR(Table1938[[#This Row],[Date]])&lt;=2024),FALSE)</f>
        <v>1</v>
      </c>
      <c r="W527" s="2" t="b">
        <f>IF(Table1938[[#This Row],[Date]]&lt;&gt;"",AND(YEAR(Table1938[[#This Row],[Date]])&gt;=2010, YEAR(Table1938[[#This Row],[Date]])&lt;=2020),FALSE)</f>
        <v>0</v>
      </c>
      <c r="X527" s="2" t="b">
        <f>IF(AND(Table1938[[#This Row],[Accesible]]=TRUE,Table1938[[#This Row],[DOI]]&lt;&gt;""),TRUE,FALSE)</f>
        <v>1</v>
      </c>
      <c r="Y527" s="2" t="b">
        <f>OR(Table1938[[#This Row],[Document Type]]="journalArticle",Table1938[[#This Row],[Document Type]]="conferencePaper",Table1938[[#This Row],[Document Type]]="review")</f>
        <v>1</v>
      </c>
      <c r="Z527" s="2" t="b" cm="1">
        <f t="array" ref="Z527">SUMPRODUCT(--ISNUMBER(SEARCH({"dimensional analysis","dimensionless coefficients","Π","Pi","theorem","software","design","tools","development","architecture","similar"}, LOWER(Table1938[[#This Row],[Title]]))))&gt;0</f>
        <v>0</v>
      </c>
      <c r="AA527" s="2" t="b" cm="1">
        <f t="array" ref="AA527">SUMPRODUCT(--ISNUMBER(SEARCH({"dimensional analysis","dimensionless coefficients","Π","Pi","theorem","software","design","tools","development","architecture","similar"}, LOWER(Table1938[[#This Row],[Abstract]]))))&gt;0</f>
        <v>1</v>
      </c>
      <c r="AB527" s="2" t="b">
        <f>AND(OR(Table1938[[#This Row],[IC-01 @2024]:[IC-01 @2020]])=TRUE,Table1938[[#This Row],[IC-02]]=TRUE,Table1938[[#This Row],[IC-03]]=TRUE,Table1938[[#This Row],[IC-04]]=TRUE,Table1938[[#This Row],[IC-05]]=TRUE)</f>
        <v>0</v>
      </c>
      <c r="AC527" s="2" t="b">
        <f>AND(Table1938[[#This Row],[Pass-IC]]=TRUE,Table1938[[#This Row],[Pass-EC]]=TRUE)</f>
        <v>0</v>
      </c>
      <c r="AD527" s="2" t="b">
        <f>COUNTIF($D$25:D527, Table1938[[#This Row],[Title]]) = 1</f>
        <v>1</v>
      </c>
      <c r="AE527" s="2" t="b">
        <f>AND(Table1938[[#This Row],[IC + EC]:[Unique]])</f>
        <v>0</v>
      </c>
      <c r="AF527" s="2" t="b">
        <v>0</v>
      </c>
      <c r="AG527" s="2" t="b">
        <v>0</v>
      </c>
      <c r="AH527" s="2" t="b">
        <v>0</v>
      </c>
      <c r="AI527" s="2" t="b">
        <f>IF(AND(Table1938[[#This Row],[Double Check]]=TRUE,Table1938[[#This Row],[Inspected]]=TRUE,Table1938[[#This Row],[Relevant]]=TRUE),TRUE,FALSE)</f>
        <v>0</v>
      </c>
    </row>
    <row r="528" spans="1:35" ht="28.7" x14ac:dyDescent="0.5">
      <c r="A528" s="2">
        <v>527</v>
      </c>
      <c r="B528" s="20" t="s">
        <v>3</v>
      </c>
      <c r="C528" s="20" t="s">
        <v>3787</v>
      </c>
      <c r="D528" s="20" t="s">
        <v>1673</v>
      </c>
      <c r="E528" s="20" t="s">
        <v>1672</v>
      </c>
      <c r="F528" s="2" t="s">
        <v>1675</v>
      </c>
      <c r="G528" s="20" t="s">
        <v>996</v>
      </c>
      <c r="H528" s="36">
        <v>44986</v>
      </c>
      <c r="I528" s="20">
        <v>2023</v>
      </c>
      <c r="J528" s="20" t="s">
        <v>61</v>
      </c>
      <c r="K528" s="20" t="s">
        <v>3788</v>
      </c>
      <c r="L528" s="20" t="s">
        <v>2515</v>
      </c>
      <c r="M528" s="20" t="s">
        <v>1674</v>
      </c>
      <c r="N528" s="20" t="b">
        <v>1</v>
      </c>
      <c r="O528" s="2" t="b">
        <f>IF(Table1938[[#This Row],[Title]]="",TRUE,FALSE)</f>
        <v>0</v>
      </c>
      <c r="P528" s="2" t="b">
        <f>IF(Table1938[[#This Row],[Author]]="",TRUE,FALSE)</f>
        <v>0</v>
      </c>
      <c r="Q528" s="2" t="b">
        <f>IF(Table1938[[#This Row],[DOI]]&lt;&gt;"", FALSE,TRUE)</f>
        <v>0</v>
      </c>
      <c r="R528" s="2" t="b">
        <f>IF(Table1938[[#This Row],[Abstract]]="",TRUE,FALSE)</f>
        <v>0</v>
      </c>
      <c r="S528" s="2" t="b">
        <f>IF(OR(Table1938[[#This Row],[Document Type]]="book",Table1938[[#This Row],[Document Type]]="bookSection"),TRUE,FALSE)</f>
        <v>0</v>
      </c>
      <c r="T528" s="2" t="b">
        <f>NOT(IF(OR(Table1938[[#This Row],[Language]]&lt;&gt;"en",Table1938[[#This Row],[Language]]&lt;&gt;"EN",Table1938[[#This Row],[Language]]&lt;&gt;"spa",Table1938[[#This Row],[Language]]&lt;&gt;"SPA"),TRUE,FALSE))</f>
        <v>0</v>
      </c>
      <c r="U528" s="2" t="b">
        <f>IF(AND(Table1938[[#This Row],[EC-01]]=FALSE,Table1938[[#This Row],[EC-02]]=FALSE,Table1938[[#This Row],[EC-03]]=FALSE,Table1938[[#This Row],[EC-04]]=FALSE,Table1938[[#This Row],[EC-05]]=FALSE,Table1938[[#This Row],[EC-06]]=FALSE),TRUE,FALSE)</f>
        <v>1</v>
      </c>
      <c r="V528" s="2" t="b">
        <f>IF(Table1938[[#This Row],[Date]]&lt;&gt;"",AND(YEAR(Table1938[[#This Row],[Date]])&gt;=2010, YEAR(Table1938[[#This Row],[Date]])&lt;=2024),FALSE)</f>
        <v>1</v>
      </c>
      <c r="W528" s="2" t="b">
        <f>IF(Table1938[[#This Row],[Date]]&lt;&gt;"",AND(YEAR(Table1938[[#This Row],[Date]])&gt;=2010, YEAR(Table1938[[#This Row],[Date]])&lt;=2020),FALSE)</f>
        <v>0</v>
      </c>
      <c r="X528" s="2" t="b">
        <f>IF(AND(Table1938[[#This Row],[Accesible]]=TRUE,Table1938[[#This Row],[DOI]]&lt;&gt;""),TRUE,FALSE)</f>
        <v>1</v>
      </c>
      <c r="Y528" s="2" t="b">
        <f>OR(Table1938[[#This Row],[Document Type]]="journalArticle",Table1938[[#This Row],[Document Type]]="conferencePaper",Table1938[[#This Row],[Document Type]]="review")</f>
        <v>1</v>
      </c>
      <c r="Z528" s="2" t="b" cm="1">
        <f t="array" ref="Z528">SUMPRODUCT(--ISNUMBER(SEARCH({"dimensional analysis","dimensionless coefficients","Π","Pi","theorem","software","design","tools","development","architecture","similar"}, LOWER(Table1938[[#This Row],[Title]]))))&gt;0</f>
        <v>0</v>
      </c>
      <c r="AA528" s="2" t="b" cm="1">
        <f t="array" ref="AA528">SUMPRODUCT(--ISNUMBER(SEARCH({"dimensional analysis","dimensionless coefficients","Π","Pi","theorem","software","design","tools","development","architecture","similar"}, LOWER(Table1938[[#This Row],[Abstract]]))))&gt;0</f>
        <v>0</v>
      </c>
      <c r="AB528" s="2" t="b">
        <f>AND(OR(Table1938[[#This Row],[IC-01 @2024]:[IC-01 @2020]])=TRUE,Table1938[[#This Row],[IC-02]]=TRUE,Table1938[[#This Row],[IC-03]]=TRUE,Table1938[[#This Row],[IC-04]]=TRUE,Table1938[[#This Row],[IC-05]]=TRUE)</f>
        <v>0</v>
      </c>
      <c r="AC528" s="2" t="b">
        <f>AND(Table1938[[#This Row],[Pass-IC]]=TRUE,Table1938[[#This Row],[Pass-EC]]=TRUE)</f>
        <v>0</v>
      </c>
      <c r="AD528" s="2" t="b">
        <f>COUNTIF($D$25:D528, Table1938[[#This Row],[Title]]) = 1</f>
        <v>1</v>
      </c>
      <c r="AE528" s="2" t="b">
        <f>AND(Table1938[[#This Row],[IC + EC]:[Unique]])</f>
        <v>0</v>
      </c>
      <c r="AF528" s="2" t="b">
        <v>0</v>
      </c>
      <c r="AG528" s="2" t="b">
        <v>0</v>
      </c>
      <c r="AH528" s="2" t="b">
        <v>0</v>
      </c>
      <c r="AI528" s="2" t="b">
        <f>IF(AND(Table1938[[#This Row],[Double Check]]=TRUE,Table1938[[#This Row],[Inspected]]=TRUE,Table1938[[#This Row],[Relevant]]=TRUE),TRUE,FALSE)</f>
        <v>0</v>
      </c>
    </row>
    <row r="529" spans="1:35" ht="71.7" x14ac:dyDescent="0.5">
      <c r="A529" s="2">
        <v>528</v>
      </c>
      <c r="B529" s="20" t="s">
        <v>3</v>
      </c>
      <c r="C529" s="20" t="s">
        <v>3789</v>
      </c>
      <c r="D529" s="20" t="s">
        <v>1091</v>
      </c>
      <c r="E529" s="20" t="s">
        <v>1090</v>
      </c>
      <c r="F529" s="2" t="s">
        <v>1093</v>
      </c>
      <c r="G529" s="20" t="s">
        <v>985</v>
      </c>
      <c r="H529" s="36">
        <v>40269</v>
      </c>
      <c r="I529" s="20">
        <v>2010</v>
      </c>
      <c r="J529" s="20" t="s">
        <v>61</v>
      </c>
      <c r="K529" s="20" t="s">
        <v>123</v>
      </c>
      <c r="L529" s="20" t="s">
        <v>2515</v>
      </c>
      <c r="M529" s="20" t="s">
        <v>1092</v>
      </c>
      <c r="N529" s="20" t="b">
        <v>1</v>
      </c>
      <c r="O529" s="2" t="b">
        <f>IF(Table1938[[#This Row],[Title]]="",TRUE,FALSE)</f>
        <v>0</v>
      </c>
      <c r="P529" s="2" t="b">
        <f>IF(Table1938[[#This Row],[Author]]="",TRUE,FALSE)</f>
        <v>0</v>
      </c>
      <c r="Q529" s="2" t="b">
        <f>IF(Table1938[[#This Row],[DOI]]&lt;&gt;"", FALSE,TRUE)</f>
        <v>0</v>
      </c>
      <c r="R529" s="2" t="b">
        <f>IF(Table1938[[#This Row],[Abstract]]="",TRUE,FALSE)</f>
        <v>0</v>
      </c>
      <c r="S529" s="2" t="b">
        <f>IF(OR(Table1938[[#This Row],[Document Type]]="book",Table1938[[#This Row],[Document Type]]="bookSection"),TRUE,FALSE)</f>
        <v>0</v>
      </c>
      <c r="T529" s="2" t="b">
        <f>NOT(IF(OR(Table1938[[#This Row],[Language]]&lt;&gt;"en",Table1938[[#This Row],[Language]]&lt;&gt;"EN",Table1938[[#This Row],[Language]]&lt;&gt;"spa",Table1938[[#This Row],[Language]]&lt;&gt;"SPA"),TRUE,FALSE))</f>
        <v>0</v>
      </c>
      <c r="U529" s="2" t="b">
        <f>IF(AND(Table1938[[#This Row],[EC-01]]=FALSE,Table1938[[#This Row],[EC-02]]=FALSE,Table1938[[#This Row],[EC-03]]=FALSE,Table1938[[#This Row],[EC-04]]=FALSE,Table1938[[#This Row],[EC-05]]=FALSE,Table1938[[#This Row],[EC-06]]=FALSE),TRUE,FALSE)</f>
        <v>1</v>
      </c>
      <c r="V529" s="2" t="b">
        <f>IF(Table1938[[#This Row],[Date]]&lt;&gt;"",AND(YEAR(Table1938[[#This Row],[Date]])&gt;=2010, YEAR(Table1938[[#This Row],[Date]])&lt;=2024),FALSE)</f>
        <v>1</v>
      </c>
      <c r="W529" s="2" t="b">
        <f>IF(Table1938[[#This Row],[Date]]&lt;&gt;"",AND(YEAR(Table1938[[#This Row],[Date]])&gt;=2010, YEAR(Table1938[[#This Row],[Date]])&lt;=2020),FALSE)</f>
        <v>1</v>
      </c>
      <c r="X529" s="2" t="b">
        <f>IF(AND(Table1938[[#This Row],[Accesible]]=TRUE,Table1938[[#This Row],[DOI]]&lt;&gt;""),TRUE,FALSE)</f>
        <v>1</v>
      </c>
      <c r="Y529" s="2" t="b">
        <f>OR(Table1938[[#This Row],[Document Type]]="journalArticle",Table1938[[#This Row],[Document Type]]="conferencePaper",Table1938[[#This Row],[Document Type]]="review")</f>
        <v>1</v>
      </c>
      <c r="Z529" s="2" t="b" cm="1">
        <f t="array" ref="Z529">SUMPRODUCT(--ISNUMBER(SEARCH({"dimensional analysis","dimensionless coefficients","Π","Pi","theorem","software","design","tools","development","architecture","similar"}, LOWER(Table1938[[#This Row],[Title]]))))&gt;0</f>
        <v>1</v>
      </c>
      <c r="AA529" s="2" t="b" cm="1">
        <f t="array" ref="AA529">SUMPRODUCT(--ISNUMBER(SEARCH({"dimensional analysis","dimensionless coefficients","Π","Pi","theorem","software","design","tools","development","architecture","similar"}, LOWER(Table1938[[#This Row],[Abstract]]))))&gt;0</f>
        <v>1</v>
      </c>
      <c r="AB529" s="2" t="b">
        <f>AND(OR(Table1938[[#This Row],[IC-01 @2024]:[IC-01 @2020]])=TRUE,Table1938[[#This Row],[IC-02]]=TRUE,Table1938[[#This Row],[IC-03]]=TRUE,Table1938[[#This Row],[IC-04]]=TRUE,Table1938[[#This Row],[IC-05]]=TRUE)</f>
        <v>1</v>
      </c>
      <c r="AC529" s="2" t="b">
        <f>AND(Table1938[[#This Row],[Pass-IC]]=TRUE,Table1938[[#This Row],[Pass-EC]]=TRUE)</f>
        <v>1</v>
      </c>
      <c r="AD529" s="2" t="b">
        <f>COUNTIF($D$25:D529, Table1938[[#This Row],[Title]]) = 1</f>
        <v>1</v>
      </c>
      <c r="AE529" s="2" t="b">
        <f>AND(Table1938[[#This Row],[IC + EC]:[Unique]])</f>
        <v>1</v>
      </c>
      <c r="AF529" s="2" t="b">
        <v>1</v>
      </c>
      <c r="AG529" s="2" t="b">
        <v>0</v>
      </c>
      <c r="AH529" s="2" t="b">
        <v>0</v>
      </c>
      <c r="AI529" s="2" t="b">
        <f>IF(AND(Table1938[[#This Row],[Double Check]]=TRUE,Table1938[[#This Row],[Inspected]]=TRUE,Table1938[[#This Row],[Relevant]]=TRUE),TRUE,FALSE)</f>
        <v>0</v>
      </c>
    </row>
    <row r="530" spans="1:35" ht="43" x14ac:dyDescent="0.5">
      <c r="A530" s="2">
        <v>529</v>
      </c>
      <c r="B530" s="20" t="s">
        <v>3</v>
      </c>
      <c r="C530" s="20" t="s">
        <v>3790</v>
      </c>
      <c r="D530" s="20" t="s">
        <v>1165</v>
      </c>
      <c r="E530" s="20" t="s">
        <v>1164</v>
      </c>
      <c r="F530" s="2" t="s">
        <v>1168</v>
      </c>
      <c r="G530" s="20" t="s">
        <v>1166</v>
      </c>
      <c r="H530" s="36">
        <v>43845</v>
      </c>
      <c r="I530" s="20">
        <v>2020</v>
      </c>
      <c r="J530" s="20" t="s">
        <v>61</v>
      </c>
      <c r="K530" s="20" t="s">
        <v>3791</v>
      </c>
      <c r="L530" s="20" t="s">
        <v>2515</v>
      </c>
      <c r="M530" s="20" t="s">
        <v>1167</v>
      </c>
      <c r="N530" s="20" t="b">
        <v>1</v>
      </c>
      <c r="O530" s="2" t="b">
        <f>IF(Table1938[[#This Row],[Title]]="",TRUE,FALSE)</f>
        <v>0</v>
      </c>
      <c r="P530" s="2" t="b">
        <f>IF(Table1938[[#This Row],[Author]]="",TRUE,FALSE)</f>
        <v>0</v>
      </c>
      <c r="Q530" s="2" t="b">
        <f>IF(Table1938[[#This Row],[DOI]]&lt;&gt;"", FALSE,TRUE)</f>
        <v>0</v>
      </c>
      <c r="R530" s="2" t="b">
        <f>IF(Table1938[[#This Row],[Abstract]]="",TRUE,FALSE)</f>
        <v>0</v>
      </c>
      <c r="S530" s="2" t="b">
        <f>IF(OR(Table1938[[#This Row],[Document Type]]="book",Table1938[[#This Row],[Document Type]]="bookSection"),TRUE,FALSE)</f>
        <v>0</v>
      </c>
      <c r="T530" s="2" t="b">
        <f>NOT(IF(OR(Table1938[[#This Row],[Language]]&lt;&gt;"en",Table1938[[#This Row],[Language]]&lt;&gt;"EN",Table1938[[#This Row],[Language]]&lt;&gt;"spa",Table1938[[#This Row],[Language]]&lt;&gt;"SPA"),TRUE,FALSE))</f>
        <v>0</v>
      </c>
      <c r="U530" s="2" t="b">
        <f>IF(AND(Table1938[[#This Row],[EC-01]]=FALSE,Table1938[[#This Row],[EC-02]]=FALSE,Table1938[[#This Row],[EC-03]]=FALSE,Table1938[[#This Row],[EC-04]]=FALSE,Table1938[[#This Row],[EC-05]]=FALSE,Table1938[[#This Row],[EC-06]]=FALSE),TRUE,FALSE)</f>
        <v>1</v>
      </c>
      <c r="V530" s="2" t="b">
        <f>IF(Table1938[[#This Row],[Date]]&lt;&gt;"",AND(YEAR(Table1938[[#This Row],[Date]])&gt;=2010, YEAR(Table1938[[#This Row],[Date]])&lt;=2024),FALSE)</f>
        <v>1</v>
      </c>
      <c r="W530" s="2" t="b">
        <f>IF(Table1938[[#This Row],[Date]]&lt;&gt;"",AND(YEAR(Table1938[[#This Row],[Date]])&gt;=2010, YEAR(Table1938[[#This Row],[Date]])&lt;=2020),FALSE)</f>
        <v>1</v>
      </c>
      <c r="X530" s="2" t="b">
        <f>IF(AND(Table1938[[#This Row],[Accesible]]=TRUE,Table1938[[#This Row],[DOI]]&lt;&gt;""),TRUE,FALSE)</f>
        <v>1</v>
      </c>
      <c r="Y530" s="2" t="b">
        <f>OR(Table1938[[#This Row],[Document Type]]="journalArticle",Table1938[[#This Row],[Document Type]]="conferencePaper",Table1938[[#This Row],[Document Type]]="review")</f>
        <v>1</v>
      </c>
      <c r="Z530" s="2" t="b" cm="1">
        <f t="array" ref="Z530">SUMPRODUCT(--ISNUMBER(SEARCH({"dimensional analysis","dimensionless coefficients","Π","Pi","theorem","software","design","tools","development","architecture","similar"}, LOWER(Table1938[[#This Row],[Title]]))))&gt;0</f>
        <v>1</v>
      </c>
      <c r="AA530" s="2" t="b" cm="1">
        <f t="array" ref="AA530">SUMPRODUCT(--ISNUMBER(SEARCH({"dimensional analysis","dimensionless coefficients","Π","Pi","theorem","software","design","tools","development","architecture","similar"}, LOWER(Table1938[[#This Row],[Abstract]]))))&gt;0</f>
        <v>1</v>
      </c>
      <c r="AB530" s="2" t="b">
        <f>AND(OR(Table1938[[#This Row],[IC-01 @2024]:[IC-01 @2020]])=TRUE,Table1938[[#This Row],[IC-02]]=TRUE,Table1938[[#This Row],[IC-03]]=TRUE,Table1938[[#This Row],[IC-04]]=TRUE,Table1938[[#This Row],[IC-05]]=TRUE)</f>
        <v>1</v>
      </c>
      <c r="AC530" s="2" t="b">
        <f>AND(Table1938[[#This Row],[Pass-IC]]=TRUE,Table1938[[#This Row],[Pass-EC]]=TRUE)</f>
        <v>1</v>
      </c>
      <c r="AD530" s="2" t="b">
        <f>COUNTIF($D$25:D530, Table1938[[#This Row],[Title]]) = 1</f>
        <v>1</v>
      </c>
      <c r="AE530" s="2" t="b">
        <f>AND(Table1938[[#This Row],[IC + EC]:[Unique]])</f>
        <v>1</v>
      </c>
      <c r="AF530" s="2" t="b">
        <v>1</v>
      </c>
      <c r="AG530" s="2" t="b">
        <v>0</v>
      </c>
      <c r="AH530" s="2" t="b">
        <v>0</v>
      </c>
      <c r="AI530" s="2" t="b">
        <f>IF(AND(Table1938[[#This Row],[Double Check]]=TRUE,Table1938[[#This Row],[Inspected]]=TRUE,Table1938[[#This Row],[Relevant]]=TRUE),TRUE,FALSE)</f>
        <v>0</v>
      </c>
    </row>
    <row r="531" spans="1:35" ht="71.7" x14ac:dyDescent="0.5">
      <c r="A531" s="2">
        <v>530</v>
      </c>
      <c r="B531" s="20" t="s">
        <v>3</v>
      </c>
      <c r="C531" s="20" t="s">
        <v>3792</v>
      </c>
      <c r="D531" s="20" t="s">
        <v>1081</v>
      </c>
      <c r="E531" s="20" t="s">
        <v>1080</v>
      </c>
      <c r="F531" s="2" t="s">
        <v>1084</v>
      </c>
      <c r="G531" s="20" t="s">
        <v>1082</v>
      </c>
      <c r="H531" s="36">
        <v>44562</v>
      </c>
      <c r="I531" s="20">
        <v>2022</v>
      </c>
      <c r="J531" s="20" t="s">
        <v>61</v>
      </c>
      <c r="K531" s="20" t="s">
        <v>3793</v>
      </c>
      <c r="L531" s="20" t="s">
        <v>2515</v>
      </c>
      <c r="M531" s="20" t="s">
        <v>1083</v>
      </c>
      <c r="N531" s="20" t="b">
        <v>1</v>
      </c>
      <c r="O531" s="2" t="b">
        <f>IF(Table1938[[#This Row],[Title]]="",TRUE,FALSE)</f>
        <v>0</v>
      </c>
      <c r="P531" s="2" t="b">
        <f>IF(Table1938[[#This Row],[Author]]="",TRUE,FALSE)</f>
        <v>0</v>
      </c>
      <c r="Q531" s="2" t="b">
        <f>IF(Table1938[[#This Row],[DOI]]&lt;&gt;"", FALSE,TRUE)</f>
        <v>0</v>
      </c>
      <c r="R531" s="2" t="b">
        <f>IF(Table1938[[#This Row],[Abstract]]="",TRUE,FALSE)</f>
        <v>0</v>
      </c>
      <c r="S531" s="2" t="b">
        <f>IF(OR(Table1938[[#This Row],[Document Type]]="book",Table1938[[#This Row],[Document Type]]="bookSection"),TRUE,FALSE)</f>
        <v>0</v>
      </c>
      <c r="T531" s="2" t="b">
        <f>NOT(IF(OR(Table1938[[#This Row],[Language]]&lt;&gt;"en",Table1938[[#This Row],[Language]]&lt;&gt;"EN",Table1938[[#This Row],[Language]]&lt;&gt;"spa",Table1938[[#This Row],[Language]]&lt;&gt;"SPA"),TRUE,FALSE))</f>
        <v>0</v>
      </c>
      <c r="U531" s="2" t="b">
        <f>IF(AND(Table1938[[#This Row],[EC-01]]=FALSE,Table1938[[#This Row],[EC-02]]=FALSE,Table1938[[#This Row],[EC-03]]=FALSE,Table1938[[#This Row],[EC-04]]=FALSE,Table1938[[#This Row],[EC-05]]=FALSE,Table1938[[#This Row],[EC-06]]=FALSE),TRUE,FALSE)</f>
        <v>1</v>
      </c>
      <c r="V531" s="2" t="b">
        <f>IF(Table1938[[#This Row],[Date]]&lt;&gt;"",AND(YEAR(Table1938[[#This Row],[Date]])&gt;=2010, YEAR(Table1938[[#This Row],[Date]])&lt;=2024),FALSE)</f>
        <v>1</v>
      </c>
      <c r="W531" s="2" t="b">
        <f>IF(Table1938[[#This Row],[Date]]&lt;&gt;"",AND(YEAR(Table1938[[#This Row],[Date]])&gt;=2010, YEAR(Table1938[[#This Row],[Date]])&lt;=2020),FALSE)</f>
        <v>0</v>
      </c>
      <c r="X531" s="2" t="b">
        <f>IF(AND(Table1938[[#This Row],[Accesible]]=TRUE,Table1938[[#This Row],[DOI]]&lt;&gt;""),TRUE,FALSE)</f>
        <v>1</v>
      </c>
      <c r="Y531" s="2" t="b">
        <f>OR(Table1938[[#This Row],[Document Type]]="journalArticle",Table1938[[#This Row],[Document Type]]="conferencePaper",Table1938[[#This Row],[Document Type]]="review")</f>
        <v>1</v>
      </c>
      <c r="Z531" s="2" t="b" cm="1">
        <f t="array" ref="Z531">SUMPRODUCT(--ISNUMBER(SEARCH({"dimensional analysis","dimensionless coefficients","Π","Pi","theorem","software","design","tools","development","architecture","similar"}, LOWER(Table1938[[#This Row],[Title]]))))&gt;0</f>
        <v>0</v>
      </c>
      <c r="AA531" s="2" t="b" cm="1">
        <f t="array" ref="AA531">SUMPRODUCT(--ISNUMBER(SEARCH({"dimensional analysis","dimensionless coefficients","Π","Pi","theorem","software","design","tools","development","architecture","similar"}, LOWER(Table1938[[#This Row],[Abstract]]))))&gt;0</f>
        <v>1</v>
      </c>
      <c r="AB531" s="2" t="b">
        <f>AND(OR(Table1938[[#This Row],[IC-01 @2024]:[IC-01 @2020]])=TRUE,Table1938[[#This Row],[IC-02]]=TRUE,Table1938[[#This Row],[IC-03]]=TRUE,Table1938[[#This Row],[IC-04]]=TRUE,Table1938[[#This Row],[IC-05]]=TRUE)</f>
        <v>0</v>
      </c>
      <c r="AC531" s="2" t="b">
        <f>AND(Table1938[[#This Row],[Pass-IC]]=TRUE,Table1938[[#This Row],[Pass-EC]]=TRUE)</f>
        <v>0</v>
      </c>
      <c r="AD531" s="2" t="b">
        <f>COUNTIF($D$25:D531, Table1938[[#This Row],[Title]]) = 1</f>
        <v>1</v>
      </c>
      <c r="AE531" s="2" t="b">
        <f>AND(Table1938[[#This Row],[IC + EC]:[Unique]])</f>
        <v>0</v>
      </c>
      <c r="AF531" s="2" t="b">
        <v>0</v>
      </c>
      <c r="AG531" s="2" t="b">
        <v>0</v>
      </c>
      <c r="AH531" s="2" t="b">
        <v>0</v>
      </c>
      <c r="AI531" s="2" t="b">
        <f>IF(AND(Table1938[[#This Row],[Double Check]]=TRUE,Table1938[[#This Row],[Inspected]]=TRUE,Table1938[[#This Row],[Relevant]]=TRUE),TRUE,FALSE)</f>
        <v>0</v>
      </c>
    </row>
    <row r="532" spans="1:35" ht="43" x14ac:dyDescent="0.5">
      <c r="A532" s="2">
        <v>531</v>
      </c>
      <c r="B532" s="20" t="s">
        <v>3</v>
      </c>
      <c r="C532" s="20" t="s">
        <v>3794</v>
      </c>
      <c r="D532" s="20" t="s">
        <v>1669</v>
      </c>
      <c r="E532" s="20" t="s">
        <v>1668</v>
      </c>
      <c r="F532" s="2" t="s">
        <v>1671</v>
      </c>
      <c r="G532" s="20" t="s">
        <v>942</v>
      </c>
      <c r="H532" s="36">
        <v>45343</v>
      </c>
      <c r="I532" s="20">
        <v>2024</v>
      </c>
      <c r="J532" s="20" t="s">
        <v>61</v>
      </c>
      <c r="K532" s="20" t="s">
        <v>3795</v>
      </c>
      <c r="L532" s="20" t="s">
        <v>2515</v>
      </c>
      <c r="M532" s="20" t="s">
        <v>1670</v>
      </c>
      <c r="N532" s="20" t="b">
        <v>1</v>
      </c>
      <c r="O532" s="2" t="b">
        <f>IF(Table1938[[#This Row],[Title]]="",TRUE,FALSE)</f>
        <v>0</v>
      </c>
      <c r="P532" s="2" t="b">
        <f>IF(Table1938[[#This Row],[Author]]="",TRUE,FALSE)</f>
        <v>0</v>
      </c>
      <c r="Q532" s="2" t="b">
        <f>IF(Table1938[[#This Row],[DOI]]&lt;&gt;"", FALSE,TRUE)</f>
        <v>0</v>
      </c>
      <c r="R532" s="2" t="b">
        <f>IF(Table1938[[#This Row],[Abstract]]="",TRUE,FALSE)</f>
        <v>0</v>
      </c>
      <c r="S532" s="2" t="b">
        <f>IF(OR(Table1938[[#This Row],[Document Type]]="book",Table1938[[#This Row],[Document Type]]="bookSection"),TRUE,FALSE)</f>
        <v>0</v>
      </c>
      <c r="T532" s="2" t="b">
        <f>NOT(IF(OR(Table1938[[#This Row],[Language]]&lt;&gt;"en",Table1938[[#This Row],[Language]]&lt;&gt;"EN",Table1938[[#This Row],[Language]]&lt;&gt;"spa",Table1938[[#This Row],[Language]]&lt;&gt;"SPA"),TRUE,FALSE))</f>
        <v>0</v>
      </c>
      <c r="U532" s="2" t="b">
        <f>IF(AND(Table1938[[#This Row],[EC-01]]=FALSE,Table1938[[#This Row],[EC-02]]=FALSE,Table1938[[#This Row],[EC-03]]=FALSE,Table1938[[#This Row],[EC-04]]=FALSE,Table1938[[#This Row],[EC-05]]=FALSE,Table1938[[#This Row],[EC-06]]=FALSE),TRUE,FALSE)</f>
        <v>1</v>
      </c>
      <c r="V532" s="2" t="b">
        <f>IF(Table1938[[#This Row],[Date]]&lt;&gt;"",AND(YEAR(Table1938[[#This Row],[Date]])&gt;=2010, YEAR(Table1938[[#This Row],[Date]])&lt;=2024),FALSE)</f>
        <v>1</v>
      </c>
      <c r="W532" s="2" t="b">
        <f>IF(Table1938[[#This Row],[Date]]&lt;&gt;"",AND(YEAR(Table1938[[#This Row],[Date]])&gt;=2010, YEAR(Table1938[[#This Row],[Date]])&lt;=2020),FALSE)</f>
        <v>0</v>
      </c>
      <c r="X532" s="2" t="b">
        <f>IF(AND(Table1938[[#This Row],[Accesible]]=TRUE,Table1938[[#This Row],[DOI]]&lt;&gt;""),TRUE,FALSE)</f>
        <v>1</v>
      </c>
      <c r="Y532" s="2" t="b">
        <f>OR(Table1938[[#This Row],[Document Type]]="journalArticle",Table1938[[#This Row],[Document Type]]="conferencePaper",Table1938[[#This Row],[Document Type]]="review")</f>
        <v>1</v>
      </c>
      <c r="Z532" s="2" t="b" cm="1">
        <f t="array" ref="Z532">SUMPRODUCT(--ISNUMBER(SEARCH({"dimensional analysis","dimensionless coefficients","Π","Pi","theorem","software","design","tools","development","architecture","similar"}, LOWER(Table1938[[#This Row],[Title]]))))&gt;0</f>
        <v>0</v>
      </c>
      <c r="AA532" s="2" t="b" cm="1">
        <f t="array" ref="AA532">SUMPRODUCT(--ISNUMBER(SEARCH({"dimensional analysis","dimensionless coefficients","Π","Pi","theorem","software","design","tools","development","architecture","similar"}, LOWER(Table1938[[#This Row],[Abstract]]))))&gt;0</f>
        <v>1</v>
      </c>
      <c r="AB532" s="2" t="b">
        <f>AND(OR(Table1938[[#This Row],[IC-01 @2024]:[IC-01 @2020]])=TRUE,Table1938[[#This Row],[IC-02]]=TRUE,Table1938[[#This Row],[IC-03]]=TRUE,Table1938[[#This Row],[IC-04]]=TRUE,Table1938[[#This Row],[IC-05]]=TRUE)</f>
        <v>0</v>
      </c>
      <c r="AC532" s="2" t="b">
        <f>AND(Table1938[[#This Row],[Pass-IC]]=TRUE,Table1938[[#This Row],[Pass-EC]]=TRUE)</f>
        <v>0</v>
      </c>
      <c r="AD532" s="2" t="b">
        <f>COUNTIF($D$25:D532, Table1938[[#This Row],[Title]]) = 1</f>
        <v>1</v>
      </c>
      <c r="AE532" s="2" t="b">
        <f>AND(Table1938[[#This Row],[IC + EC]:[Unique]])</f>
        <v>0</v>
      </c>
      <c r="AF532" s="2" t="b">
        <v>0</v>
      </c>
      <c r="AG532" s="2" t="b">
        <v>0</v>
      </c>
      <c r="AH532" s="2" t="b">
        <v>0</v>
      </c>
      <c r="AI532" s="2" t="b">
        <f>IF(AND(Table1938[[#This Row],[Double Check]]=TRUE,Table1938[[#This Row],[Inspected]]=TRUE,Table1938[[#This Row],[Relevant]]=TRUE),TRUE,FALSE)</f>
        <v>0</v>
      </c>
    </row>
    <row r="533" spans="1:35" ht="57.35" x14ac:dyDescent="0.5">
      <c r="A533" s="2">
        <v>532</v>
      </c>
      <c r="B533" s="20" t="s">
        <v>3</v>
      </c>
      <c r="C533" s="20" t="s">
        <v>3796</v>
      </c>
      <c r="D533" s="20" t="s">
        <v>1888</v>
      </c>
      <c r="E533" s="20" t="s">
        <v>1887</v>
      </c>
      <c r="F533" s="2" t="s">
        <v>1890</v>
      </c>
      <c r="G533" s="20" t="s">
        <v>936</v>
      </c>
      <c r="H533" s="36">
        <v>44896</v>
      </c>
      <c r="I533" s="20">
        <v>2022</v>
      </c>
      <c r="J533" s="20" t="s">
        <v>61</v>
      </c>
      <c r="K533" s="20" t="s">
        <v>3797</v>
      </c>
      <c r="L533" s="20" t="s">
        <v>2515</v>
      </c>
      <c r="M533" s="20" t="s">
        <v>1889</v>
      </c>
      <c r="N533" s="20" t="b">
        <v>1</v>
      </c>
      <c r="O533" s="2" t="b">
        <f>IF(Table1938[[#This Row],[Title]]="",TRUE,FALSE)</f>
        <v>0</v>
      </c>
      <c r="P533" s="2" t="b">
        <f>IF(Table1938[[#This Row],[Author]]="",TRUE,FALSE)</f>
        <v>0</v>
      </c>
      <c r="Q533" s="2" t="b">
        <f>IF(Table1938[[#This Row],[DOI]]&lt;&gt;"", FALSE,TRUE)</f>
        <v>0</v>
      </c>
      <c r="R533" s="2" t="b">
        <f>IF(Table1938[[#This Row],[Abstract]]="",TRUE,FALSE)</f>
        <v>0</v>
      </c>
      <c r="S533" s="2" t="b">
        <f>IF(OR(Table1938[[#This Row],[Document Type]]="book",Table1938[[#This Row],[Document Type]]="bookSection"),TRUE,FALSE)</f>
        <v>0</v>
      </c>
      <c r="T533" s="2" t="b">
        <f>NOT(IF(OR(Table1938[[#This Row],[Language]]&lt;&gt;"en",Table1938[[#This Row],[Language]]&lt;&gt;"EN",Table1938[[#This Row],[Language]]&lt;&gt;"spa",Table1938[[#This Row],[Language]]&lt;&gt;"SPA"),TRUE,FALSE))</f>
        <v>0</v>
      </c>
      <c r="U533" s="2" t="b">
        <f>IF(AND(Table1938[[#This Row],[EC-01]]=FALSE,Table1938[[#This Row],[EC-02]]=FALSE,Table1938[[#This Row],[EC-03]]=FALSE,Table1938[[#This Row],[EC-04]]=FALSE,Table1938[[#This Row],[EC-05]]=FALSE,Table1938[[#This Row],[EC-06]]=FALSE),TRUE,FALSE)</f>
        <v>1</v>
      </c>
      <c r="V533" s="2" t="b">
        <f>IF(Table1938[[#This Row],[Date]]&lt;&gt;"",AND(YEAR(Table1938[[#This Row],[Date]])&gt;=2010, YEAR(Table1938[[#This Row],[Date]])&lt;=2024),FALSE)</f>
        <v>1</v>
      </c>
      <c r="W533" s="2" t="b">
        <f>IF(Table1938[[#This Row],[Date]]&lt;&gt;"",AND(YEAR(Table1938[[#This Row],[Date]])&gt;=2010, YEAR(Table1938[[#This Row],[Date]])&lt;=2020),FALSE)</f>
        <v>0</v>
      </c>
      <c r="X533" s="2" t="b">
        <f>IF(AND(Table1938[[#This Row],[Accesible]]=TRUE,Table1938[[#This Row],[DOI]]&lt;&gt;""),TRUE,FALSE)</f>
        <v>1</v>
      </c>
      <c r="Y533" s="2" t="b">
        <f>OR(Table1938[[#This Row],[Document Type]]="journalArticle",Table1938[[#This Row],[Document Type]]="conferencePaper",Table1938[[#This Row],[Document Type]]="review")</f>
        <v>1</v>
      </c>
      <c r="Z533" s="2" t="b" cm="1">
        <f t="array" ref="Z533">SUMPRODUCT(--ISNUMBER(SEARCH({"dimensional analysis","dimensionless coefficients","Π","Pi","theorem","software","design","tools","development","architecture","similar"}, LOWER(Table1938[[#This Row],[Title]]))))&gt;0</f>
        <v>0</v>
      </c>
      <c r="AA533" s="2" t="b" cm="1">
        <f t="array" ref="AA533">SUMPRODUCT(--ISNUMBER(SEARCH({"dimensional analysis","dimensionless coefficients","Π","Pi","theorem","software","design","tools","development","architecture","similar"}, LOWER(Table1938[[#This Row],[Abstract]]))))&gt;0</f>
        <v>1</v>
      </c>
      <c r="AB533" s="2" t="b">
        <f>AND(OR(Table1938[[#This Row],[IC-01 @2024]:[IC-01 @2020]])=TRUE,Table1938[[#This Row],[IC-02]]=TRUE,Table1938[[#This Row],[IC-03]]=TRUE,Table1938[[#This Row],[IC-04]]=TRUE,Table1938[[#This Row],[IC-05]]=TRUE)</f>
        <v>0</v>
      </c>
      <c r="AC533" s="2" t="b">
        <f>AND(Table1938[[#This Row],[Pass-IC]]=TRUE,Table1938[[#This Row],[Pass-EC]]=TRUE)</f>
        <v>0</v>
      </c>
      <c r="AD533" s="2" t="b">
        <f>COUNTIF($D$25:D533, Table1938[[#This Row],[Title]]) = 1</f>
        <v>1</v>
      </c>
      <c r="AE533" s="2" t="b">
        <f>AND(Table1938[[#This Row],[IC + EC]:[Unique]])</f>
        <v>0</v>
      </c>
      <c r="AF533" s="2" t="b">
        <v>0</v>
      </c>
      <c r="AG533" s="2" t="b">
        <v>0</v>
      </c>
      <c r="AH533" s="2" t="b">
        <v>0</v>
      </c>
      <c r="AI533" s="2" t="b">
        <f>IF(AND(Table1938[[#This Row],[Double Check]]=TRUE,Table1938[[#This Row],[Inspected]]=TRUE,Table1938[[#This Row],[Relevant]]=TRUE),TRUE,FALSE)</f>
        <v>0</v>
      </c>
    </row>
    <row r="534" spans="1:35" ht="57.35" x14ac:dyDescent="0.5">
      <c r="A534" s="2">
        <v>533</v>
      </c>
      <c r="B534" s="20" t="s">
        <v>3</v>
      </c>
      <c r="C534" s="20" t="s">
        <v>3798</v>
      </c>
      <c r="D534" s="20" t="s">
        <v>1257</v>
      </c>
      <c r="E534" s="20" t="s">
        <v>1256</v>
      </c>
      <c r="F534" s="2" t="s">
        <v>1259</v>
      </c>
      <c r="G534" s="20" t="s">
        <v>997</v>
      </c>
      <c r="H534" s="36">
        <v>43040</v>
      </c>
      <c r="I534" s="20">
        <v>2017</v>
      </c>
      <c r="J534" s="20" t="s">
        <v>61</v>
      </c>
      <c r="K534" s="20" t="s">
        <v>3799</v>
      </c>
      <c r="L534" s="20" t="s">
        <v>2515</v>
      </c>
      <c r="M534" s="20" t="s">
        <v>1258</v>
      </c>
      <c r="N534" s="20" t="b">
        <v>1</v>
      </c>
      <c r="O534" s="2" t="b">
        <f>IF(Table1938[[#This Row],[Title]]="",TRUE,FALSE)</f>
        <v>0</v>
      </c>
      <c r="P534" s="2" t="b">
        <f>IF(Table1938[[#This Row],[Author]]="",TRUE,FALSE)</f>
        <v>0</v>
      </c>
      <c r="Q534" s="2" t="b">
        <f>IF(Table1938[[#This Row],[DOI]]&lt;&gt;"", FALSE,TRUE)</f>
        <v>0</v>
      </c>
      <c r="R534" s="2" t="b">
        <f>IF(Table1938[[#This Row],[Abstract]]="",TRUE,FALSE)</f>
        <v>0</v>
      </c>
      <c r="S534" s="2" t="b">
        <f>IF(OR(Table1938[[#This Row],[Document Type]]="book",Table1938[[#This Row],[Document Type]]="bookSection"),TRUE,FALSE)</f>
        <v>0</v>
      </c>
      <c r="T534" s="2" t="b">
        <f>NOT(IF(OR(Table1938[[#This Row],[Language]]&lt;&gt;"en",Table1938[[#This Row],[Language]]&lt;&gt;"EN",Table1938[[#This Row],[Language]]&lt;&gt;"spa",Table1938[[#This Row],[Language]]&lt;&gt;"SPA"),TRUE,FALSE))</f>
        <v>0</v>
      </c>
      <c r="U534" s="2" t="b">
        <f>IF(AND(Table1938[[#This Row],[EC-01]]=FALSE,Table1938[[#This Row],[EC-02]]=FALSE,Table1938[[#This Row],[EC-03]]=FALSE,Table1938[[#This Row],[EC-04]]=FALSE,Table1938[[#This Row],[EC-05]]=FALSE,Table1938[[#This Row],[EC-06]]=FALSE),TRUE,FALSE)</f>
        <v>1</v>
      </c>
      <c r="V534" s="2" t="b">
        <f>IF(Table1938[[#This Row],[Date]]&lt;&gt;"",AND(YEAR(Table1938[[#This Row],[Date]])&gt;=2010, YEAR(Table1938[[#This Row],[Date]])&lt;=2024),FALSE)</f>
        <v>1</v>
      </c>
      <c r="W534" s="2" t="b">
        <f>IF(Table1938[[#This Row],[Date]]&lt;&gt;"",AND(YEAR(Table1938[[#This Row],[Date]])&gt;=2010, YEAR(Table1938[[#This Row],[Date]])&lt;=2020),FALSE)</f>
        <v>1</v>
      </c>
      <c r="X534" s="2" t="b">
        <f>IF(AND(Table1938[[#This Row],[Accesible]]=TRUE,Table1938[[#This Row],[DOI]]&lt;&gt;""),TRUE,FALSE)</f>
        <v>1</v>
      </c>
      <c r="Y534" s="2" t="b">
        <f>OR(Table1938[[#This Row],[Document Type]]="journalArticle",Table1938[[#This Row],[Document Type]]="conferencePaper",Table1938[[#This Row],[Document Type]]="review")</f>
        <v>1</v>
      </c>
      <c r="Z534" s="2" t="b" cm="1">
        <f t="array" ref="Z534">SUMPRODUCT(--ISNUMBER(SEARCH({"dimensional analysis","dimensionless coefficients","Π","Pi","theorem","software","design","tools","development","architecture","similar"}, LOWER(Table1938[[#This Row],[Title]]))))&gt;0</f>
        <v>1</v>
      </c>
      <c r="AA534" s="2" t="b" cm="1">
        <f t="array" ref="AA534">SUMPRODUCT(--ISNUMBER(SEARCH({"dimensional analysis","dimensionless coefficients","Π","Pi","theorem","software","design","tools","development","architecture","similar"}, LOWER(Table1938[[#This Row],[Abstract]]))))&gt;0</f>
        <v>1</v>
      </c>
      <c r="AB534" s="2" t="b">
        <f>AND(OR(Table1938[[#This Row],[IC-01 @2024]:[IC-01 @2020]])=TRUE,Table1938[[#This Row],[IC-02]]=TRUE,Table1938[[#This Row],[IC-03]]=TRUE,Table1938[[#This Row],[IC-04]]=TRUE,Table1938[[#This Row],[IC-05]]=TRUE)</f>
        <v>1</v>
      </c>
      <c r="AC534" s="2" t="b">
        <f>AND(Table1938[[#This Row],[Pass-IC]]=TRUE,Table1938[[#This Row],[Pass-EC]]=TRUE)</f>
        <v>1</v>
      </c>
      <c r="AD534" s="2" t="b">
        <f>COUNTIF($D$25:D534, Table1938[[#This Row],[Title]]) = 1</f>
        <v>1</v>
      </c>
      <c r="AE534" s="2" t="b">
        <f>AND(Table1938[[#This Row],[IC + EC]:[Unique]])</f>
        <v>1</v>
      </c>
      <c r="AF534" s="2" t="b">
        <v>1</v>
      </c>
      <c r="AG534" s="2" t="b">
        <v>0</v>
      </c>
      <c r="AH534" s="2" t="b">
        <v>0</v>
      </c>
      <c r="AI534" s="2" t="b">
        <f>IF(AND(Table1938[[#This Row],[Double Check]]=TRUE,Table1938[[#This Row],[Inspected]]=TRUE,Table1938[[#This Row],[Relevant]]=TRUE),TRUE,FALSE)</f>
        <v>0</v>
      </c>
    </row>
    <row r="535" spans="1:35" ht="57.35" x14ac:dyDescent="0.5">
      <c r="A535" s="2">
        <v>534</v>
      </c>
      <c r="B535" s="20" t="s">
        <v>3</v>
      </c>
      <c r="C535" s="20" t="s">
        <v>3800</v>
      </c>
      <c r="D535" s="20" t="s">
        <v>1926</v>
      </c>
      <c r="E535" s="20" t="s">
        <v>1925</v>
      </c>
      <c r="F535" s="2" t="s">
        <v>1928</v>
      </c>
      <c r="G535" s="20" t="s">
        <v>942</v>
      </c>
      <c r="H535" s="36">
        <v>44331</v>
      </c>
      <c r="I535" s="20">
        <v>2021</v>
      </c>
      <c r="J535" s="20" t="s">
        <v>61</v>
      </c>
      <c r="K535" s="20" t="s">
        <v>3801</v>
      </c>
      <c r="L535" s="20" t="s">
        <v>2515</v>
      </c>
      <c r="M535" s="20" t="s">
        <v>1927</v>
      </c>
      <c r="N535" s="20" t="b">
        <v>1</v>
      </c>
      <c r="O535" s="2" t="b">
        <f>IF(Table1938[[#This Row],[Title]]="",TRUE,FALSE)</f>
        <v>0</v>
      </c>
      <c r="P535" s="2" t="b">
        <f>IF(Table1938[[#This Row],[Author]]="",TRUE,FALSE)</f>
        <v>0</v>
      </c>
      <c r="Q535" s="2" t="b">
        <f>IF(Table1938[[#This Row],[DOI]]&lt;&gt;"", FALSE,TRUE)</f>
        <v>0</v>
      </c>
      <c r="R535" s="2" t="b">
        <f>IF(Table1938[[#This Row],[Abstract]]="",TRUE,FALSE)</f>
        <v>0</v>
      </c>
      <c r="S535" s="2" t="b">
        <f>IF(OR(Table1938[[#This Row],[Document Type]]="book",Table1938[[#This Row],[Document Type]]="bookSection"),TRUE,FALSE)</f>
        <v>0</v>
      </c>
      <c r="T535" s="2" t="b">
        <f>NOT(IF(OR(Table1938[[#This Row],[Language]]&lt;&gt;"en",Table1938[[#This Row],[Language]]&lt;&gt;"EN",Table1938[[#This Row],[Language]]&lt;&gt;"spa",Table1938[[#This Row],[Language]]&lt;&gt;"SPA"),TRUE,FALSE))</f>
        <v>0</v>
      </c>
      <c r="U535" s="2" t="b">
        <f>IF(AND(Table1938[[#This Row],[EC-01]]=FALSE,Table1938[[#This Row],[EC-02]]=FALSE,Table1938[[#This Row],[EC-03]]=FALSE,Table1938[[#This Row],[EC-04]]=FALSE,Table1938[[#This Row],[EC-05]]=FALSE,Table1938[[#This Row],[EC-06]]=FALSE),TRUE,FALSE)</f>
        <v>1</v>
      </c>
      <c r="V535" s="2" t="b">
        <f>IF(Table1938[[#This Row],[Date]]&lt;&gt;"",AND(YEAR(Table1938[[#This Row],[Date]])&gt;=2010, YEAR(Table1938[[#This Row],[Date]])&lt;=2024),FALSE)</f>
        <v>1</v>
      </c>
      <c r="W535" s="2" t="b">
        <f>IF(Table1938[[#This Row],[Date]]&lt;&gt;"",AND(YEAR(Table1938[[#This Row],[Date]])&gt;=2010, YEAR(Table1938[[#This Row],[Date]])&lt;=2020),FALSE)</f>
        <v>0</v>
      </c>
      <c r="X535" s="2" t="b">
        <f>IF(AND(Table1938[[#This Row],[Accesible]]=TRUE,Table1938[[#This Row],[DOI]]&lt;&gt;""),TRUE,FALSE)</f>
        <v>1</v>
      </c>
      <c r="Y535" s="2" t="b">
        <f>OR(Table1938[[#This Row],[Document Type]]="journalArticle",Table1938[[#This Row],[Document Type]]="conferencePaper",Table1938[[#This Row],[Document Type]]="review")</f>
        <v>1</v>
      </c>
      <c r="Z535" s="2" t="b" cm="1">
        <f t="array" ref="Z535">SUMPRODUCT(--ISNUMBER(SEARCH({"dimensional analysis","dimensionless coefficients","Π","Pi","theorem","software","design","tools","development","architecture","similar"}, LOWER(Table1938[[#This Row],[Title]]))))&gt;0</f>
        <v>0</v>
      </c>
      <c r="AA535" s="2" t="b" cm="1">
        <f t="array" ref="AA535">SUMPRODUCT(--ISNUMBER(SEARCH({"dimensional analysis","dimensionless coefficients","Π","Pi","theorem","software","design","tools","development","architecture","similar"}, LOWER(Table1938[[#This Row],[Abstract]]))))&gt;0</f>
        <v>1</v>
      </c>
      <c r="AB535" s="2" t="b">
        <f>AND(OR(Table1938[[#This Row],[IC-01 @2024]:[IC-01 @2020]])=TRUE,Table1938[[#This Row],[IC-02]]=TRUE,Table1938[[#This Row],[IC-03]]=TRUE,Table1938[[#This Row],[IC-04]]=TRUE,Table1938[[#This Row],[IC-05]]=TRUE)</f>
        <v>0</v>
      </c>
      <c r="AC535" s="2" t="b">
        <f>AND(Table1938[[#This Row],[Pass-IC]]=TRUE,Table1938[[#This Row],[Pass-EC]]=TRUE)</f>
        <v>0</v>
      </c>
      <c r="AD535" s="2" t="b">
        <f>COUNTIF($D$25:D535, Table1938[[#This Row],[Title]]) = 1</f>
        <v>1</v>
      </c>
      <c r="AE535" s="2" t="b">
        <f>AND(Table1938[[#This Row],[IC + EC]:[Unique]])</f>
        <v>0</v>
      </c>
      <c r="AF535" s="2" t="b">
        <v>0</v>
      </c>
      <c r="AG535" s="2" t="b">
        <v>0</v>
      </c>
      <c r="AH535" s="2" t="b">
        <v>0</v>
      </c>
      <c r="AI535" s="2" t="b">
        <f>IF(AND(Table1938[[#This Row],[Double Check]]=TRUE,Table1938[[#This Row],[Inspected]]=TRUE,Table1938[[#This Row],[Relevant]]=TRUE),TRUE,FALSE)</f>
        <v>0</v>
      </c>
    </row>
    <row r="536" spans="1:35" ht="86" x14ac:dyDescent="0.5">
      <c r="A536" s="2">
        <v>535</v>
      </c>
      <c r="B536" s="20" t="s">
        <v>3</v>
      </c>
      <c r="C536" s="20" t="s">
        <v>3802</v>
      </c>
      <c r="D536" s="20" t="s">
        <v>2372</v>
      </c>
      <c r="E536" s="20" t="s">
        <v>2371</v>
      </c>
      <c r="F536" s="2" t="s">
        <v>2374</v>
      </c>
      <c r="G536" s="20" t="s">
        <v>1015</v>
      </c>
      <c r="H536" s="36">
        <v>44348</v>
      </c>
      <c r="I536" s="20">
        <v>2021</v>
      </c>
      <c r="J536" s="20" t="s">
        <v>61</v>
      </c>
      <c r="K536" s="20" t="s">
        <v>3803</v>
      </c>
      <c r="L536" s="20" t="s">
        <v>2515</v>
      </c>
      <c r="M536" s="20" t="s">
        <v>2373</v>
      </c>
      <c r="N536" s="20" t="b">
        <v>1</v>
      </c>
      <c r="O536" s="2" t="b">
        <f>IF(Table1938[[#This Row],[Title]]="",TRUE,FALSE)</f>
        <v>0</v>
      </c>
      <c r="P536" s="2" t="b">
        <f>IF(Table1938[[#This Row],[Author]]="",TRUE,FALSE)</f>
        <v>0</v>
      </c>
      <c r="Q536" s="2" t="b">
        <f>IF(Table1938[[#This Row],[DOI]]&lt;&gt;"", FALSE,TRUE)</f>
        <v>0</v>
      </c>
      <c r="R536" s="2" t="b">
        <f>IF(Table1938[[#This Row],[Abstract]]="",TRUE,FALSE)</f>
        <v>0</v>
      </c>
      <c r="S536" s="2" t="b">
        <f>IF(OR(Table1938[[#This Row],[Document Type]]="book",Table1938[[#This Row],[Document Type]]="bookSection"),TRUE,FALSE)</f>
        <v>0</v>
      </c>
      <c r="T536" s="2" t="b">
        <f>NOT(IF(OR(Table1938[[#This Row],[Language]]&lt;&gt;"en",Table1938[[#This Row],[Language]]&lt;&gt;"EN",Table1938[[#This Row],[Language]]&lt;&gt;"spa",Table1938[[#This Row],[Language]]&lt;&gt;"SPA"),TRUE,FALSE))</f>
        <v>0</v>
      </c>
      <c r="U536" s="2" t="b">
        <f>IF(AND(Table1938[[#This Row],[EC-01]]=FALSE,Table1938[[#This Row],[EC-02]]=FALSE,Table1938[[#This Row],[EC-03]]=FALSE,Table1938[[#This Row],[EC-04]]=FALSE,Table1938[[#This Row],[EC-05]]=FALSE,Table1938[[#This Row],[EC-06]]=FALSE),TRUE,FALSE)</f>
        <v>1</v>
      </c>
      <c r="V536" s="2" t="b">
        <f>IF(Table1938[[#This Row],[Date]]&lt;&gt;"",AND(YEAR(Table1938[[#This Row],[Date]])&gt;=2010, YEAR(Table1938[[#This Row],[Date]])&lt;=2024),FALSE)</f>
        <v>1</v>
      </c>
      <c r="W536" s="2" t="b">
        <f>IF(Table1938[[#This Row],[Date]]&lt;&gt;"",AND(YEAR(Table1938[[#This Row],[Date]])&gt;=2010, YEAR(Table1938[[#This Row],[Date]])&lt;=2020),FALSE)</f>
        <v>0</v>
      </c>
      <c r="X536" s="2" t="b">
        <f>IF(AND(Table1938[[#This Row],[Accesible]]=TRUE,Table1938[[#This Row],[DOI]]&lt;&gt;""),TRUE,FALSE)</f>
        <v>1</v>
      </c>
      <c r="Y536" s="2" t="b">
        <f>OR(Table1938[[#This Row],[Document Type]]="journalArticle",Table1938[[#This Row],[Document Type]]="conferencePaper",Table1938[[#This Row],[Document Type]]="review")</f>
        <v>1</v>
      </c>
      <c r="Z536" s="2" t="b" cm="1">
        <f t="array" ref="Z536">SUMPRODUCT(--ISNUMBER(SEARCH({"dimensional analysis","dimensionless coefficients","Π","Pi","theorem","software","design","tools","development","architecture","similar"}, LOWER(Table1938[[#This Row],[Title]]))))&gt;0</f>
        <v>0</v>
      </c>
      <c r="AA536" s="2" t="b" cm="1">
        <f t="array" ref="AA536">SUMPRODUCT(--ISNUMBER(SEARCH({"dimensional analysis","dimensionless coefficients","Π","Pi","theorem","software","design","tools","development","architecture","similar"}, LOWER(Table1938[[#This Row],[Abstract]]))))&gt;0</f>
        <v>0</v>
      </c>
      <c r="AB536" s="2" t="b">
        <f>AND(OR(Table1938[[#This Row],[IC-01 @2024]:[IC-01 @2020]])=TRUE,Table1938[[#This Row],[IC-02]]=TRUE,Table1938[[#This Row],[IC-03]]=TRUE,Table1938[[#This Row],[IC-04]]=TRUE,Table1938[[#This Row],[IC-05]]=TRUE)</f>
        <v>0</v>
      </c>
      <c r="AC536" s="2" t="b">
        <f>AND(Table1938[[#This Row],[Pass-IC]]=TRUE,Table1938[[#This Row],[Pass-EC]]=TRUE)</f>
        <v>0</v>
      </c>
      <c r="AD536" s="2" t="b">
        <f>COUNTIF($D$25:D536, Table1938[[#This Row],[Title]]) = 1</f>
        <v>1</v>
      </c>
      <c r="AE536" s="2" t="b">
        <f>AND(Table1938[[#This Row],[IC + EC]:[Unique]])</f>
        <v>0</v>
      </c>
      <c r="AF536" s="2" t="b">
        <v>0</v>
      </c>
      <c r="AG536" s="2" t="b">
        <v>0</v>
      </c>
      <c r="AH536" s="2" t="b">
        <v>0</v>
      </c>
      <c r="AI536" s="2" t="b">
        <f>IF(AND(Table1938[[#This Row],[Double Check]]=TRUE,Table1938[[#This Row],[Inspected]]=TRUE,Table1938[[#This Row],[Relevant]]=TRUE),TRUE,FALSE)</f>
        <v>0</v>
      </c>
    </row>
    <row r="537" spans="1:35" ht="57.35" x14ac:dyDescent="0.5">
      <c r="A537" s="2">
        <v>536</v>
      </c>
      <c r="B537" s="20" t="s">
        <v>3</v>
      </c>
      <c r="C537" s="20" t="s">
        <v>3804</v>
      </c>
      <c r="D537" s="20" t="s">
        <v>1987</v>
      </c>
      <c r="E537" s="20" t="s">
        <v>1986</v>
      </c>
      <c r="F537" s="2" t="s">
        <v>1989</v>
      </c>
      <c r="G537" s="20" t="s">
        <v>939</v>
      </c>
      <c r="H537" s="36">
        <v>43282</v>
      </c>
      <c r="I537" s="20">
        <v>2018</v>
      </c>
      <c r="J537" s="20" t="s">
        <v>61</v>
      </c>
      <c r="K537" s="20" t="s">
        <v>3805</v>
      </c>
      <c r="L537" s="20" t="s">
        <v>2515</v>
      </c>
      <c r="M537" s="20" t="s">
        <v>1988</v>
      </c>
      <c r="N537" s="20" t="b">
        <v>1</v>
      </c>
      <c r="O537" s="2" t="b">
        <f>IF(Table1938[[#This Row],[Title]]="",TRUE,FALSE)</f>
        <v>0</v>
      </c>
      <c r="P537" s="2" t="b">
        <f>IF(Table1938[[#This Row],[Author]]="",TRUE,FALSE)</f>
        <v>0</v>
      </c>
      <c r="Q537" s="2" t="b">
        <f>IF(Table1938[[#This Row],[DOI]]&lt;&gt;"", FALSE,TRUE)</f>
        <v>0</v>
      </c>
      <c r="R537" s="2" t="b">
        <f>IF(Table1938[[#This Row],[Abstract]]="",TRUE,FALSE)</f>
        <v>0</v>
      </c>
      <c r="S537" s="2" t="b">
        <f>IF(OR(Table1938[[#This Row],[Document Type]]="book",Table1938[[#This Row],[Document Type]]="bookSection"),TRUE,FALSE)</f>
        <v>0</v>
      </c>
      <c r="T537" s="2" t="b">
        <f>NOT(IF(OR(Table1938[[#This Row],[Language]]&lt;&gt;"en",Table1938[[#This Row],[Language]]&lt;&gt;"EN",Table1938[[#This Row],[Language]]&lt;&gt;"spa",Table1938[[#This Row],[Language]]&lt;&gt;"SPA"),TRUE,FALSE))</f>
        <v>0</v>
      </c>
      <c r="U537" s="2" t="b">
        <f>IF(AND(Table1938[[#This Row],[EC-01]]=FALSE,Table1938[[#This Row],[EC-02]]=FALSE,Table1938[[#This Row],[EC-03]]=FALSE,Table1938[[#This Row],[EC-04]]=FALSE,Table1938[[#This Row],[EC-05]]=FALSE,Table1938[[#This Row],[EC-06]]=FALSE),TRUE,FALSE)</f>
        <v>1</v>
      </c>
      <c r="V537" s="2" t="b">
        <f>IF(Table1938[[#This Row],[Date]]&lt;&gt;"",AND(YEAR(Table1938[[#This Row],[Date]])&gt;=2010, YEAR(Table1938[[#This Row],[Date]])&lt;=2024),FALSE)</f>
        <v>1</v>
      </c>
      <c r="W537" s="2" t="b">
        <f>IF(Table1938[[#This Row],[Date]]&lt;&gt;"",AND(YEAR(Table1938[[#This Row],[Date]])&gt;=2010, YEAR(Table1938[[#This Row],[Date]])&lt;=2020),FALSE)</f>
        <v>1</v>
      </c>
      <c r="X537" s="2" t="b">
        <f>IF(AND(Table1938[[#This Row],[Accesible]]=TRUE,Table1938[[#This Row],[DOI]]&lt;&gt;""),TRUE,FALSE)</f>
        <v>1</v>
      </c>
      <c r="Y537" s="2" t="b">
        <f>OR(Table1938[[#This Row],[Document Type]]="journalArticle",Table1938[[#This Row],[Document Type]]="conferencePaper",Table1938[[#This Row],[Document Type]]="review")</f>
        <v>1</v>
      </c>
      <c r="Z537" s="2" t="b" cm="1">
        <f t="array" ref="Z537">SUMPRODUCT(--ISNUMBER(SEARCH({"dimensional analysis","dimensionless coefficients","Π","Pi","theorem","software","design","tools","development","architecture","similar"}, LOWER(Table1938[[#This Row],[Title]]))))&gt;0</f>
        <v>1</v>
      </c>
      <c r="AA537" s="2" t="b" cm="1">
        <f t="array" ref="AA537">SUMPRODUCT(--ISNUMBER(SEARCH({"dimensional analysis","dimensionless coefficients","Π","Pi","theorem","software","design","tools","development","architecture","similar"}, LOWER(Table1938[[#This Row],[Abstract]]))))&gt;0</f>
        <v>1</v>
      </c>
      <c r="AB537" s="2" t="b">
        <f>AND(OR(Table1938[[#This Row],[IC-01 @2024]:[IC-01 @2020]])=TRUE,Table1938[[#This Row],[IC-02]]=TRUE,Table1938[[#This Row],[IC-03]]=TRUE,Table1938[[#This Row],[IC-04]]=TRUE,Table1938[[#This Row],[IC-05]]=TRUE)</f>
        <v>1</v>
      </c>
      <c r="AC537" s="2" t="b">
        <f>AND(Table1938[[#This Row],[Pass-IC]]=TRUE,Table1938[[#This Row],[Pass-EC]]=TRUE)</f>
        <v>1</v>
      </c>
      <c r="AD537" s="2" t="b">
        <f>COUNTIF($D$25:D537, Table1938[[#This Row],[Title]]) = 1</f>
        <v>1</v>
      </c>
      <c r="AE537" s="2" t="b">
        <f>AND(Table1938[[#This Row],[IC + EC]:[Unique]])</f>
        <v>1</v>
      </c>
      <c r="AF537" s="2" t="b">
        <v>1</v>
      </c>
      <c r="AG537" s="2" t="b">
        <v>0</v>
      </c>
      <c r="AH537" s="2" t="b">
        <v>0</v>
      </c>
      <c r="AI537" s="2" t="b">
        <f>IF(AND(Table1938[[#This Row],[Double Check]]=TRUE,Table1938[[#This Row],[Inspected]]=TRUE,Table1938[[#This Row],[Relevant]]=TRUE),TRUE,FALSE)</f>
        <v>0</v>
      </c>
    </row>
    <row r="538" spans="1:35" ht="43" x14ac:dyDescent="0.5">
      <c r="A538" s="2">
        <v>537</v>
      </c>
      <c r="B538" s="20" t="s">
        <v>3</v>
      </c>
      <c r="C538" s="20" t="s">
        <v>3806</v>
      </c>
      <c r="D538" s="20" t="s">
        <v>1594</v>
      </c>
      <c r="E538" s="20" t="s">
        <v>1593</v>
      </c>
      <c r="F538" s="2" t="s">
        <v>1597</v>
      </c>
      <c r="G538" s="20" t="s">
        <v>1595</v>
      </c>
      <c r="H538" s="36">
        <v>41518</v>
      </c>
      <c r="I538" s="20">
        <v>2013</v>
      </c>
      <c r="J538" s="20" t="s">
        <v>61</v>
      </c>
      <c r="K538" s="20" t="s">
        <v>3807</v>
      </c>
      <c r="L538" s="20" t="s">
        <v>2515</v>
      </c>
      <c r="M538" s="20" t="s">
        <v>1596</v>
      </c>
      <c r="N538" s="20" t="b">
        <v>1</v>
      </c>
      <c r="O538" s="2" t="b">
        <f>IF(Table1938[[#This Row],[Title]]="",TRUE,FALSE)</f>
        <v>0</v>
      </c>
      <c r="P538" s="2" t="b">
        <f>IF(Table1938[[#This Row],[Author]]="",TRUE,FALSE)</f>
        <v>0</v>
      </c>
      <c r="Q538" s="2" t="b">
        <f>IF(Table1938[[#This Row],[DOI]]&lt;&gt;"", FALSE,TRUE)</f>
        <v>0</v>
      </c>
      <c r="R538" s="2" t="b">
        <f>IF(Table1938[[#This Row],[Abstract]]="",TRUE,FALSE)</f>
        <v>0</v>
      </c>
      <c r="S538" s="2" t="b">
        <f>IF(OR(Table1938[[#This Row],[Document Type]]="book",Table1938[[#This Row],[Document Type]]="bookSection"),TRUE,FALSE)</f>
        <v>0</v>
      </c>
      <c r="T538" s="2" t="b">
        <f>NOT(IF(OR(Table1938[[#This Row],[Language]]&lt;&gt;"en",Table1938[[#This Row],[Language]]&lt;&gt;"EN",Table1938[[#This Row],[Language]]&lt;&gt;"spa",Table1938[[#This Row],[Language]]&lt;&gt;"SPA"),TRUE,FALSE))</f>
        <v>0</v>
      </c>
      <c r="U538" s="2" t="b">
        <f>IF(AND(Table1938[[#This Row],[EC-01]]=FALSE,Table1938[[#This Row],[EC-02]]=FALSE,Table1938[[#This Row],[EC-03]]=FALSE,Table1938[[#This Row],[EC-04]]=FALSE,Table1938[[#This Row],[EC-05]]=FALSE,Table1938[[#This Row],[EC-06]]=FALSE),TRUE,FALSE)</f>
        <v>1</v>
      </c>
      <c r="V538" s="2" t="b">
        <f>IF(Table1938[[#This Row],[Date]]&lt;&gt;"",AND(YEAR(Table1938[[#This Row],[Date]])&gt;=2010, YEAR(Table1938[[#This Row],[Date]])&lt;=2024),FALSE)</f>
        <v>1</v>
      </c>
      <c r="W538" s="2" t="b">
        <f>IF(Table1938[[#This Row],[Date]]&lt;&gt;"",AND(YEAR(Table1938[[#This Row],[Date]])&gt;=2010, YEAR(Table1938[[#This Row],[Date]])&lt;=2020),FALSE)</f>
        <v>1</v>
      </c>
      <c r="X538" s="2" t="b">
        <f>IF(AND(Table1938[[#This Row],[Accesible]]=TRUE,Table1938[[#This Row],[DOI]]&lt;&gt;""),TRUE,FALSE)</f>
        <v>1</v>
      </c>
      <c r="Y538" s="2" t="b">
        <f>OR(Table1938[[#This Row],[Document Type]]="journalArticle",Table1938[[#This Row],[Document Type]]="conferencePaper",Table1938[[#This Row],[Document Type]]="review")</f>
        <v>1</v>
      </c>
      <c r="Z538" s="2" t="b" cm="1">
        <f t="array" ref="Z538">SUMPRODUCT(--ISNUMBER(SEARCH({"dimensional analysis","dimensionless coefficients","Π","Pi","theorem","software","design","tools","development","architecture","similar"}, LOWER(Table1938[[#This Row],[Title]]))))&gt;0</f>
        <v>1</v>
      </c>
      <c r="AA538" s="2" t="b" cm="1">
        <f t="array" ref="AA538">SUMPRODUCT(--ISNUMBER(SEARCH({"dimensional analysis","dimensionless coefficients","Π","Pi","theorem","software","design","tools","development","architecture","similar"}, LOWER(Table1938[[#This Row],[Abstract]]))))&gt;0</f>
        <v>1</v>
      </c>
      <c r="AB538" s="2" t="b">
        <f>AND(OR(Table1938[[#This Row],[IC-01 @2024]:[IC-01 @2020]])=TRUE,Table1938[[#This Row],[IC-02]]=TRUE,Table1938[[#This Row],[IC-03]]=TRUE,Table1938[[#This Row],[IC-04]]=TRUE,Table1938[[#This Row],[IC-05]]=TRUE)</f>
        <v>1</v>
      </c>
      <c r="AC538" s="2" t="b">
        <f>AND(Table1938[[#This Row],[Pass-IC]]=TRUE,Table1938[[#This Row],[Pass-EC]]=TRUE)</f>
        <v>1</v>
      </c>
      <c r="AD538" s="2" t="b">
        <f>COUNTIF($D$25:D538, Table1938[[#This Row],[Title]]) = 1</f>
        <v>1</v>
      </c>
      <c r="AE538" s="2" t="b">
        <f>AND(Table1938[[#This Row],[IC + EC]:[Unique]])</f>
        <v>1</v>
      </c>
      <c r="AF538" s="2" t="b">
        <v>1</v>
      </c>
      <c r="AG538" s="2" t="b">
        <v>0</v>
      </c>
      <c r="AH538" s="2" t="b">
        <v>0</v>
      </c>
      <c r="AI538" s="2" t="b">
        <f>IF(AND(Table1938[[#This Row],[Double Check]]=TRUE,Table1938[[#This Row],[Inspected]]=TRUE,Table1938[[#This Row],[Relevant]]=TRUE),TRUE,FALSE)</f>
        <v>0</v>
      </c>
    </row>
    <row r="539" spans="1:35" ht="43" x14ac:dyDescent="0.5">
      <c r="A539" s="2">
        <v>538</v>
      </c>
      <c r="B539" s="20" t="s">
        <v>3</v>
      </c>
      <c r="C539" s="20" t="s">
        <v>3808</v>
      </c>
      <c r="D539" s="20" t="s">
        <v>2139</v>
      </c>
      <c r="E539" s="20" t="s">
        <v>2138</v>
      </c>
      <c r="F539" s="2" t="s">
        <v>2141</v>
      </c>
      <c r="G539" s="20" t="s">
        <v>1014</v>
      </c>
      <c r="H539" s="36">
        <v>42887</v>
      </c>
      <c r="I539" s="20">
        <v>2017</v>
      </c>
      <c r="J539" s="20" t="s">
        <v>61</v>
      </c>
      <c r="K539" s="20" t="s">
        <v>3809</v>
      </c>
      <c r="L539" s="20" t="s">
        <v>2515</v>
      </c>
      <c r="M539" s="20" t="s">
        <v>2140</v>
      </c>
      <c r="N539" s="20" t="b">
        <v>1</v>
      </c>
      <c r="O539" s="2" t="b">
        <f>IF(Table1938[[#This Row],[Title]]="",TRUE,FALSE)</f>
        <v>0</v>
      </c>
      <c r="P539" s="2" t="b">
        <f>IF(Table1938[[#This Row],[Author]]="",TRUE,FALSE)</f>
        <v>0</v>
      </c>
      <c r="Q539" s="2" t="b">
        <f>IF(Table1938[[#This Row],[DOI]]&lt;&gt;"", FALSE,TRUE)</f>
        <v>0</v>
      </c>
      <c r="R539" s="2" t="b">
        <f>IF(Table1938[[#This Row],[Abstract]]="",TRUE,FALSE)</f>
        <v>0</v>
      </c>
      <c r="S539" s="2" t="b">
        <f>IF(OR(Table1938[[#This Row],[Document Type]]="book",Table1938[[#This Row],[Document Type]]="bookSection"),TRUE,FALSE)</f>
        <v>0</v>
      </c>
      <c r="T539" s="2" t="b">
        <f>NOT(IF(OR(Table1938[[#This Row],[Language]]&lt;&gt;"en",Table1938[[#This Row],[Language]]&lt;&gt;"EN",Table1938[[#This Row],[Language]]&lt;&gt;"spa",Table1938[[#This Row],[Language]]&lt;&gt;"SPA"),TRUE,FALSE))</f>
        <v>0</v>
      </c>
      <c r="U539" s="2" t="b">
        <f>IF(AND(Table1938[[#This Row],[EC-01]]=FALSE,Table1938[[#This Row],[EC-02]]=FALSE,Table1938[[#This Row],[EC-03]]=FALSE,Table1938[[#This Row],[EC-04]]=FALSE,Table1938[[#This Row],[EC-05]]=FALSE,Table1938[[#This Row],[EC-06]]=FALSE),TRUE,FALSE)</f>
        <v>1</v>
      </c>
      <c r="V539" s="2" t="b">
        <f>IF(Table1938[[#This Row],[Date]]&lt;&gt;"",AND(YEAR(Table1938[[#This Row],[Date]])&gt;=2010, YEAR(Table1938[[#This Row],[Date]])&lt;=2024),FALSE)</f>
        <v>1</v>
      </c>
      <c r="W539" s="2" t="b">
        <f>IF(Table1938[[#This Row],[Date]]&lt;&gt;"",AND(YEAR(Table1938[[#This Row],[Date]])&gt;=2010, YEAR(Table1938[[#This Row],[Date]])&lt;=2020),FALSE)</f>
        <v>1</v>
      </c>
      <c r="X539" s="2" t="b">
        <f>IF(AND(Table1938[[#This Row],[Accesible]]=TRUE,Table1938[[#This Row],[DOI]]&lt;&gt;""),TRUE,FALSE)</f>
        <v>1</v>
      </c>
      <c r="Y539" s="2" t="b">
        <f>OR(Table1938[[#This Row],[Document Type]]="journalArticle",Table1938[[#This Row],[Document Type]]="conferencePaper",Table1938[[#This Row],[Document Type]]="review")</f>
        <v>1</v>
      </c>
      <c r="Z539" s="2" t="b" cm="1">
        <f t="array" ref="Z539">SUMPRODUCT(--ISNUMBER(SEARCH({"dimensional analysis","dimensionless coefficients","Π","Pi","theorem","software","design","tools","development","architecture","similar"}, LOWER(Table1938[[#This Row],[Title]]))))&gt;0</f>
        <v>1</v>
      </c>
      <c r="AA539" s="2" t="b" cm="1">
        <f t="array" ref="AA539">SUMPRODUCT(--ISNUMBER(SEARCH({"dimensional analysis","dimensionless coefficients","Π","Pi","theorem","software","design","tools","development","architecture","similar"}, LOWER(Table1938[[#This Row],[Abstract]]))))&gt;0</f>
        <v>1</v>
      </c>
      <c r="AB539" s="2" t="b">
        <f>AND(OR(Table1938[[#This Row],[IC-01 @2024]:[IC-01 @2020]])=TRUE,Table1938[[#This Row],[IC-02]]=TRUE,Table1938[[#This Row],[IC-03]]=TRUE,Table1938[[#This Row],[IC-04]]=TRUE,Table1938[[#This Row],[IC-05]]=TRUE)</f>
        <v>1</v>
      </c>
      <c r="AC539" s="2" t="b">
        <f>AND(Table1938[[#This Row],[Pass-IC]]=TRUE,Table1938[[#This Row],[Pass-EC]]=TRUE)</f>
        <v>1</v>
      </c>
      <c r="AD539" s="2" t="b">
        <f>COUNTIF($D$25:D539, Table1938[[#This Row],[Title]]) = 1</f>
        <v>1</v>
      </c>
      <c r="AE539" s="2" t="b">
        <f>AND(Table1938[[#This Row],[IC + EC]:[Unique]])</f>
        <v>1</v>
      </c>
      <c r="AF539" s="2" t="b">
        <v>1</v>
      </c>
      <c r="AG539" s="2" t="b">
        <v>0</v>
      </c>
      <c r="AH539" s="2" t="b">
        <v>0</v>
      </c>
      <c r="AI539" s="2" t="b">
        <f>IF(AND(Table1938[[#This Row],[Double Check]]=TRUE,Table1938[[#This Row],[Inspected]]=TRUE,Table1938[[#This Row],[Relevant]]=TRUE),TRUE,FALSE)</f>
        <v>0</v>
      </c>
    </row>
    <row r="540" spans="1:35" ht="57.35" x14ac:dyDescent="0.5">
      <c r="A540" s="2">
        <v>539</v>
      </c>
      <c r="B540" s="20" t="s">
        <v>3</v>
      </c>
      <c r="C540" s="20" t="s">
        <v>3810</v>
      </c>
      <c r="D540" s="20" t="s">
        <v>2047</v>
      </c>
      <c r="E540" s="20" t="s">
        <v>2046</v>
      </c>
      <c r="F540" s="2" t="s">
        <v>2049</v>
      </c>
      <c r="G540" s="20" t="s">
        <v>939</v>
      </c>
      <c r="H540" s="36">
        <v>44652</v>
      </c>
      <c r="I540" s="20">
        <v>2022</v>
      </c>
      <c r="J540" s="20" t="s">
        <v>61</v>
      </c>
      <c r="K540" s="20" t="s">
        <v>3811</v>
      </c>
      <c r="L540" s="20" t="s">
        <v>2515</v>
      </c>
      <c r="M540" s="20" t="s">
        <v>2048</v>
      </c>
      <c r="N540" s="20" t="b">
        <v>1</v>
      </c>
      <c r="O540" s="2" t="b">
        <f>IF(Table1938[[#This Row],[Title]]="",TRUE,FALSE)</f>
        <v>0</v>
      </c>
      <c r="P540" s="2" t="b">
        <f>IF(Table1938[[#This Row],[Author]]="",TRUE,FALSE)</f>
        <v>0</v>
      </c>
      <c r="Q540" s="2" t="b">
        <f>IF(Table1938[[#This Row],[DOI]]&lt;&gt;"", FALSE,TRUE)</f>
        <v>0</v>
      </c>
      <c r="R540" s="2" t="b">
        <f>IF(Table1938[[#This Row],[Abstract]]="",TRUE,FALSE)</f>
        <v>0</v>
      </c>
      <c r="S540" s="2" t="b">
        <f>IF(OR(Table1938[[#This Row],[Document Type]]="book",Table1938[[#This Row],[Document Type]]="bookSection"),TRUE,FALSE)</f>
        <v>0</v>
      </c>
      <c r="T540" s="2" t="b">
        <f>NOT(IF(OR(Table1938[[#This Row],[Language]]&lt;&gt;"en",Table1938[[#This Row],[Language]]&lt;&gt;"EN",Table1938[[#This Row],[Language]]&lt;&gt;"spa",Table1938[[#This Row],[Language]]&lt;&gt;"SPA"),TRUE,FALSE))</f>
        <v>0</v>
      </c>
      <c r="U540" s="2" t="b">
        <f>IF(AND(Table1938[[#This Row],[EC-01]]=FALSE,Table1938[[#This Row],[EC-02]]=FALSE,Table1938[[#This Row],[EC-03]]=FALSE,Table1938[[#This Row],[EC-04]]=FALSE,Table1938[[#This Row],[EC-05]]=FALSE,Table1938[[#This Row],[EC-06]]=FALSE),TRUE,FALSE)</f>
        <v>1</v>
      </c>
      <c r="V540" s="2" t="b">
        <f>IF(Table1938[[#This Row],[Date]]&lt;&gt;"",AND(YEAR(Table1938[[#This Row],[Date]])&gt;=2010, YEAR(Table1938[[#This Row],[Date]])&lt;=2024),FALSE)</f>
        <v>1</v>
      </c>
      <c r="W540" s="2" t="b">
        <f>IF(Table1938[[#This Row],[Date]]&lt;&gt;"",AND(YEAR(Table1938[[#This Row],[Date]])&gt;=2010, YEAR(Table1938[[#This Row],[Date]])&lt;=2020),FALSE)</f>
        <v>0</v>
      </c>
      <c r="X540" s="2" t="b">
        <f>IF(AND(Table1938[[#This Row],[Accesible]]=TRUE,Table1938[[#This Row],[DOI]]&lt;&gt;""),TRUE,FALSE)</f>
        <v>1</v>
      </c>
      <c r="Y540" s="2" t="b">
        <f>OR(Table1938[[#This Row],[Document Type]]="journalArticle",Table1938[[#This Row],[Document Type]]="conferencePaper",Table1938[[#This Row],[Document Type]]="review")</f>
        <v>1</v>
      </c>
      <c r="Z540" s="2" t="b" cm="1">
        <f t="array" ref="Z540">SUMPRODUCT(--ISNUMBER(SEARCH({"dimensional analysis","dimensionless coefficients","Π","Pi","theorem","software","design","tools","development","architecture","similar"}, LOWER(Table1938[[#This Row],[Title]]))))&gt;0</f>
        <v>1</v>
      </c>
      <c r="AA540" s="2" t="b" cm="1">
        <f t="array" ref="AA540">SUMPRODUCT(--ISNUMBER(SEARCH({"dimensional analysis","dimensionless coefficients","Π","Pi","theorem","software","design","tools","development","architecture","similar"}, LOWER(Table1938[[#This Row],[Abstract]]))))&gt;0</f>
        <v>1</v>
      </c>
      <c r="AB540" s="2" t="b">
        <f>AND(OR(Table1938[[#This Row],[IC-01 @2024]:[IC-01 @2020]])=TRUE,Table1938[[#This Row],[IC-02]]=TRUE,Table1938[[#This Row],[IC-03]]=TRUE,Table1938[[#This Row],[IC-04]]=TRUE,Table1938[[#This Row],[IC-05]]=TRUE)</f>
        <v>1</v>
      </c>
      <c r="AC540" s="2" t="b">
        <f>AND(Table1938[[#This Row],[Pass-IC]]=TRUE,Table1938[[#This Row],[Pass-EC]]=TRUE)</f>
        <v>1</v>
      </c>
      <c r="AD540" s="2" t="b">
        <f>COUNTIF($D$25:D540, Table1938[[#This Row],[Title]]) = 1</f>
        <v>1</v>
      </c>
      <c r="AE540" s="2" t="b">
        <f>AND(Table1938[[#This Row],[IC + EC]:[Unique]])</f>
        <v>1</v>
      </c>
      <c r="AF540" s="2" t="b">
        <v>1</v>
      </c>
      <c r="AG540" s="2" t="b">
        <v>0</v>
      </c>
      <c r="AH540" s="2" t="b">
        <v>0</v>
      </c>
      <c r="AI540" s="2" t="b">
        <f>IF(AND(Table1938[[#This Row],[Double Check]]=TRUE,Table1938[[#This Row],[Inspected]]=TRUE,Table1938[[#This Row],[Relevant]]=TRUE),TRUE,FALSE)</f>
        <v>0</v>
      </c>
    </row>
    <row r="541" spans="1:35" ht="57.35" x14ac:dyDescent="0.5">
      <c r="A541" s="2">
        <v>540</v>
      </c>
      <c r="B541" s="20" t="s">
        <v>3</v>
      </c>
      <c r="C541" s="20" t="s">
        <v>3812</v>
      </c>
      <c r="D541" s="20" t="s">
        <v>2409</v>
      </c>
      <c r="E541" s="20" t="s">
        <v>2408</v>
      </c>
      <c r="F541" s="2" t="s">
        <v>2411</v>
      </c>
      <c r="G541" s="20" t="s">
        <v>943</v>
      </c>
      <c r="H541" s="36">
        <v>42370</v>
      </c>
      <c r="I541" s="20">
        <v>2016</v>
      </c>
      <c r="J541" s="20" t="s">
        <v>61</v>
      </c>
      <c r="K541" s="20" t="s">
        <v>3813</v>
      </c>
      <c r="L541" s="20" t="s">
        <v>2515</v>
      </c>
      <c r="M541" s="20" t="s">
        <v>2410</v>
      </c>
      <c r="N541" s="20" t="b">
        <v>1</v>
      </c>
      <c r="O541" s="2" t="b">
        <f>IF(Table1938[[#This Row],[Title]]="",TRUE,FALSE)</f>
        <v>0</v>
      </c>
      <c r="P541" s="2" t="b">
        <f>IF(Table1938[[#This Row],[Author]]="",TRUE,FALSE)</f>
        <v>0</v>
      </c>
      <c r="Q541" s="2" t="b">
        <f>IF(Table1938[[#This Row],[DOI]]&lt;&gt;"", FALSE,TRUE)</f>
        <v>0</v>
      </c>
      <c r="R541" s="2" t="b">
        <f>IF(Table1938[[#This Row],[Abstract]]="",TRUE,FALSE)</f>
        <v>0</v>
      </c>
      <c r="S541" s="2" t="b">
        <f>IF(OR(Table1938[[#This Row],[Document Type]]="book",Table1938[[#This Row],[Document Type]]="bookSection"),TRUE,FALSE)</f>
        <v>0</v>
      </c>
      <c r="T541" s="2" t="b">
        <f>NOT(IF(OR(Table1938[[#This Row],[Language]]&lt;&gt;"en",Table1938[[#This Row],[Language]]&lt;&gt;"EN",Table1938[[#This Row],[Language]]&lt;&gt;"spa",Table1938[[#This Row],[Language]]&lt;&gt;"SPA"),TRUE,FALSE))</f>
        <v>0</v>
      </c>
      <c r="U541" s="2" t="b">
        <f>IF(AND(Table1938[[#This Row],[EC-01]]=FALSE,Table1938[[#This Row],[EC-02]]=FALSE,Table1938[[#This Row],[EC-03]]=FALSE,Table1938[[#This Row],[EC-04]]=FALSE,Table1938[[#This Row],[EC-05]]=FALSE,Table1938[[#This Row],[EC-06]]=FALSE),TRUE,FALSE)</f>
        <v>1</v>
      </c>
      <c r="V541" s="2" t="b">
        <f>IF(Table1938[[#This Row],[Date]]&lt;&gt;"",AND(YEAR(Table1938[[#This Row],[Date]])&gt;=2010, YEAR(Table1938[[#This Row],[Date]])&lt;=2024),FALSE)</f>
        <v>1</v>
      </c>
      <c r="W541" s="2" t="b">
        <f>IF(Table1938[[#This Row],[Date]]&lt;&gt;"",AND(YEAR(Table1938[[#This Row],[Date]])&gt;=2010, YEAR(Table1938[[#This Row],[Date]])&lt;=2020),FALSE)</f>
        <v>1</v>
      </c>
      <c r="X541" s="2" t="b">
        <f>IF(AND(Table1938[[#This Row],[Accesible]]=TRUE,Table1938[[#This Row],[DOI]]&lt;&gt;""),TRUE,FALSE)</f>
        <v>1</v>
      </c>
      <c r="Y541" s="2" t="b">
        <f>OR(Table1938[[#This Row],[Document Type]]="journalArticle",Table1938[[#This Row],[Document Type]]="conferencePaper",Table1938[[#This Row],[Document Type]]="review")</f>
        <v>1</v>
      </c>
      <c r="Z541" s="2" t="b" cm="1">
        <f t="array" ref="Z541">SUMPRODUCT(--ISNUMBER(SEARCH({"dimensional analysis","dimensionless coefficients","Π","Pi","theorem","software","design","tools","development","architecture","similar"}, LOWER(Table1938[[#This Row],[Title]]))))&gt;0</f>
        <v>1</v>
      </c>
      <c r="AA541" s="2" t="b" cm="1">
        <f t="array" ref="AA541">SUMPRODUCT(--ISNUMBER(SEARCH({"dimensional analysis","dimensionless coefficients","Π","Pi","theorem","software","design","tools","development","architecture","similar"}, LOWER(Table1938[[#This Row],[Abstract]]))))&gt;0</f>
        <v>1</v>
      </c>
      <c r="AB541" s="2" t="b">
        <f>AND(OR(Table1938[[#This Row],[IC-01 @2024]:[IC-01 @2020]])=TRUE,Table1938[[#This Row],[IC-02]]=TRUE,Table1938[[#This Row],[IC-03]]=TRUE,Table1938[[#This Row],[IC-04]]=TRUE,Table1938[[#This Row],[IC-05]]=TRUE)</f>
        <v>1</v>
      </c>
      <c r="AC541" s="2" t="b">
        <f>AND(Table1938[[#This Row],[Pass-IC]]=TRUE,Table1938[[#This Row],[Pass-EC]]=TRUE)</f>
        <v>1</v>
      </c>
      <c r="AD541" s="2" t="b">
        <f>COUNTIF($D$25:D541, Table1938[[#This Row],[Title]]) = 1</f>
        <v>1</v>
      </c>
      <c r="AE541" s="2" t="b">
        <f>AND(Table1938[[#This Row],[IC + EC]:[Unique]])</f>
        <v>1</v>
      </c>
      <c r="AF541" s="2" t="b">
        <v>1</v>
      </c>
      <c r="AG541" s="2" t="b">
        <v>0</v>
      </c>
      <c r="AH541" s="2" t="b">
        <v>0</v>
      </c>
      <c r="AI541" s="2" t="b">
        <f>IF(AND(Table1938[[#This Row],[Double Check]]=TRUE,Table1938[[#This Row],[Inspected]]=TRUE,Table1938[[#This Row],[Relevant]]=TRUE),TRUE,FALSE)</f>
        <v>0</v>
      </c>
    </row>
    <row r="542" spans="1:35" ht="43" x14ac:dyDescent="0.5">
      <c r="A542" s="2">
        <v>541</v>
      </c>
      <c r="B542" s="20" t="s">
        <v>3</v>
      </c>
      <c r="C542" s="20" t="s">
        <v>3814</v>
      </c>
      <c r="D542" s="20" t="s">
        <v>1701</v>
      </c>
      <c r="E542" s="20" t="s">
        <v>1700</v>
      </c>
      <c r="F542" s="2" t="s">
        <v>1703</v>
      </c>
      <c r="G542" s="20" t="s">
        <v>1006</v>
      </c>
      <c r="H542" s="36">
        <v>44348</v>
      </c>
      <c r="I542" s="20">
        <v>2021</v>
      </c>
      <c r="J542" s="20" t="s">
        <v>61</v>
      </c>
      <c r="K542" s="20" t="s">
        <v>3815</v>
      </c>
      <c r="L542" s="20" t="s">
        <v>2515</v>
      </c>
      <c r="M542" s="20" t="s">
        <v>1702</v>
      </c>
      <c r="N542" s="20" t="b">
        <v>1</v>
      </c>
      <c r="O542" s="2" t="b">
        <f>IF(Table1938[[#This Row],[Title]]="",TRUE,FALSE)</f>
        <v>0</v>
      </c>
      <c r="P542" s="2" t="b">
        <f>IF(Table1938[[#This Row],[Author]]="",TRUE,FALSE)</f>
        <v>0</v>
      </c>
      <c r="Q542" s="2" t="b">
        <f>IF(Table1938[[#This Row],[DOI]]&lt;&gt;"", FALSE,TRUE)</f>
        <v>0</v>
      </c>
      <c r="R542" s="2" t="b">
        <f>IF(Table1938[[#This Row],[Abstract]]="",TRUE,FALSE)</f>
        <v>0</v>
      </c>
      <c r="S542" s="2" t="b">
        <f>IF(OR(Table1938[[#This Row],[Document Type]]="book",Table1938[[#This Row],[Document Type]]="bookSection"),TRUE,FALSE)</f>
        <v>0</v>
      </c>
      <c r="T542" s="2" t="b">
        <f>NOT(IF(OR(Table1938[[#This Row],[Language]]&lt;&gt;"en",Table1938[[#This Row],[Language]]&lt;&gt;"EN",Table1938[[#This Row],[Language]]&lt;&gt;"spa",Table1938[[#This Row],[Language]]&lt;&gt;"SPA"),TRUE,FALSE))</f>
        <v>0</v>
      </c>
      <c r="U542" s="2" t="b">
        <f>IF(AND(Table1938[[#This Row],[EC-01]]=FALSE,Table1938[[#This Row],[EC-02]]=FALSE,Table1938[[#This Row],[EC-03]]=FALSE,Table1938[[#This Row],[EC-04]]=FALSE,Table1938[[#This Row],[EC-05]]=FALSE,Table1938[[#This Row],[EC-06]]=FALSE),TRUE,FALSE)</f>
        <v>1</v>
      </c>
      <c r="V542" s="2" t="b">
        <f>IF(Table1938[[#This Row],[Date]]&lt;&gt;"",AND(YEAR(Table1938[[#This Row],[Date]])&gt;=2010, YEAR(Table1938[[#This Row],[Date]])&lt;=2024),FALSE)</f>
        <v>1</v>
      </c>
      <c r="W542" s="2" t="b">
        <f>IF(Table1938[[#This Row],[Date]]&lt;&gt;"",AND(YEAR(Table1938[[#This Row],[Date]])&gt;=2010, YEAR(Table1938[[#This Row],[Date]])&lt;=2020),FALSE)</f>
        <v>0</v>
      </c>
      <c r="X542" s="2" t="b">
        <f>IF(AND(Table1938[[#This Row],[Accesible]]=TRUE,Table1938[[#This Row],[DOI]]&lt;&gt;""),TRUE,FALSE)</f>
        <v>1</v>
      </c>
      <c r="Y542" s="2" t="b">
        <f>OR(Table1938[[#This Row],[Document Type]]="journalArticle",Table1938[[#This Row],[Document Type]]="conferencePaper",Table1938[[#This Row],[Document Type]]="review")</f>
        <v>1</v>
      </c>
      <c r="Z542" s="2" t="b" cm="1">
        <f t="array" ref="Z542">SUMPRODUCT(--ISNUMBER(SEARCH({"dimensional analysis","dimensionless coefficients","Π","Pi","theorem","software","design","tools","development","architecture","similar"}, LOWER(Table1938[[#This Row],[Title]]))))&gt;0</f>
        <v>0</v>
      </c>
      <c r="AA542" s="2" t="b" cm="1">
        <f t="array" ref="AA542">SUMPRODUCT(--ISNUMBER(SEARCH({"dimensional analysis","dimensionless coefficients","Π","Pi","theorem","software","design","tools","development","architecture","similar"}, LOWER(Table1938[[#This Row],[Abstract]]))))&gt;0</f>
        <v>1</v>
      </c>
      <c r="AB542" s="2" t="b">
        <f>AND(OR(Table1938[[#This Row],[IC-01 @2024]:[IC-01 @2020]])=TRUE,Table1938[[#This Row],[IC-02]]=TRUE,Table1938[[#This Row],[IC-03]]=TRUE,Table1938[[#This Row],[IC-04]]=TRUE,Table1938[[#This Row],[IC-05]]=TRUE)</f>
        <v>0</v>
      </c>
      <c r="AC542" s="2" t="b">
        <f>AND(Table1938[[#This Row],[Pass-IC]]=TRUE,Table1938[[#This Row],[Pass-EC]]=TRUE)</f>
        <v>0</v>
      </c>
      <c r="AD542" s="2" t="b">
        <f>COUNTIF($D$25:D542, Table1938[[#This Row],[Title]]) = 1</f>
        <v>1</v>
      </c>
      <c r="AE542" s="2" t="b">
        <f>AND(Table1938[[#This Row],[IC + EC]:[Unique]])</f>
        <v>0</v>
      </c>
      <c r="AF542" s="2" t="b">
        <v>0</v>
      </c>
      <c r="AG542" s="2" t="b">
        <v>0</v>
      </c>
      <c r="AH542" s="2" t="b">
        <v>0</v>
      </c>
      <c r="AI542" s="2" t="b">
        <f>IF(AND(Table1938[[#This Row],[Double Check]]=TRUE,Table1938[[#This Row],[Inspected]]=TRUE,Table1938[[#This Row],[Relevant]]=TRUE),TRUE,FALSE)</f>
        <v>0</v>
      </c>
    </row>
    <row r="543" spans="1:35" ht="71.7" x14ac:dyDescent="0.5">
      <c r="A543" s="2">
        <v>542</v>
      </c>
      <c r="B543" s="20" t="s">
        <v>3</v>
      </c>
      <c r="C543" s="20" t="s">
        <v>3816</v>
      </c>
      <c r="D543" s="20" t="s">
        <v>1721</v>
      </c>
      <c r="E543" s="20" t="s">
        <v>1720</v>
      </c>
      <c r="F543" s="2" t="s">
        <v>1724</v>
      </c>
      <c r="G543" s="20" t="s">
        <v>1722</v>
      </c>
      <c r="H543" s="36">
        <v>44013</v>
      </c>
      <c r="I543" s="20">
        <v>2020</v>
      </c>
      <c r="J543" s="20" t="s">
        <v>61</v>
      </c>
      <c r="K543" s="20" t="s">
        <v>3817</v>
      </c>
      <c r="L543" s="20" t="s">
        <v>2515</v>
      </c>
      <c r="M543" s="20" t="s">
        <v>1723</v>
      </c>
      <c r="N543" s="20" t="b">
        <v>1</v>
      </c>
      <c r="O543" s="2" t="b">
        <f>IF(Table1938[[#This Row],[Title]]="",TRUE,FALSE)</f>
        <v>0</v>
      </c>
      <c r="P543" s="2" t="b">
        <f>IF(Table1938[[#This Row],[Author]]="",TRUE,FALSE)</f>
        <v>0</v>
      </c>
      <c r="Q543" s="2" t="b">
        <f>IF(Table1938[[#This Row],[DOI]]&lt;&gt;"", FALSE,TRUE)</f>
        <v>0</v>
      </c>
      <c r="R543" s="2" t="b">
        <f>IF(Table1938[[#This Row],[Abstract]]="",TRUE,FALSE)</f>
        <v>0</v>
      </c>
      <c r="S543" s="2" t="b">
        <f>IF(OR(Table1938[[#This Row],[Document Type]]="book",Table1938[[#This Row],[Document Type]]="bookSection"),TRUE,FALSE)</f>
        <v>0</v>
      </c>
      <c r="T543" s="2" t="b">
        <f>NOT(IF(OR(Table1938[[#This Row],[Language]]&lt;&gt;"en",Table1938[[#This Row],[Language]]&lt;&gt;"EN",Table1938[[#This Row],[Language]]&lt;&gt;"spa",Table1938[[#This Row],[Language]]&lt;&gt;"SPA"),TRUE,FALSE))</f>
        <v>0</v>
      </c>
      <c r="U543" s="2" t="b">
        <f>IF(AND(Table1938[[#This Row],[EC-01]]=FALSE,Table1938[[#This Row],[EC-02]]=FALSE,Table1938[[#This Row],[EC-03]]=FALSE,Table1938[[#This Row],[EC-04]]=FALSE,Table1938[[#This Row],[EC-05]]=FALSE,Table1938[[#This Row],[EC-06]]=FALSE),TRUE,FALSE)</f>
        <v>1</v>
      </c>
      <c r="V543" s="2" t="b">
        <f>IF(Table1938[[#This Row],[Date]]&lt;&gt;"",AND(YEAR(Table1938[[#This Row],[Date]])&gt;=2010, YEAR(Table1938[[#This Row],[Date]])&lt;=2024),FALSE)</f>
        <v>1</v>
      </c>
      <c r="W543" s="2" t="b">
        <f>IF(Table1938[[#This Row],[Date]]&lt;&gt;"",AND(YEAR(Table1938[[#This Row],[Date]])&gt;=2010, YEAR(Table1938[[#This Row],[Date]])&lt;=2020),FALSE)</f>
        <v>1</v>
      </c>
      <c r="X543" s="2" t="b">
        <f>IF(AND(Table1938[[#This Row],[Accesible]]=TRUE,Table1938[[#This Row],[DOI]]&lt;&gt;""),TRUE,FALSE)</f>
        <v>1</v>
      </c>
      <c r="Y543" s="2" t="b">
        <f>OR(Table1938[[#This Row],[Document Type]]="journalArticle",Table1938[[#This Row],[Document Type]]="conferencePaper",Table1938[[#This Row],[Document Type]]="review")</f>
        <v>1</v>
      </c>
      <c r="Z543" s="2" t="b" cm="1">
        <f t="array" ref="Z543">SUMPRODUCT(--ISNUMBER(SEARCH({"dimensional analysis","dimensionless coefficients","Π","Pi","theorem","software","design","tools","development","architecture","similar"}, LOWER(Table1938[[#This Row],[Title]]))))&gt;0</f>
        <v>0</v>
      </c>
      <c r="AA543" s="2" t="b" cm="1">
        <f t="array" ref="AA543">SUMPRODUCT(--ISNUMBER(SEARCH({"dimensional analysis","dimensionless coefficients","Π","Pi","theorem","software","design","tools","development","architecture","similar"}, LOWER(Table1938[[#This Row],[Abstract]]))))&gt;0</f>
        <v>0</v>
      </c>
      <c r="AB543" s="2" t="b">
        <f>AND(OR(Table1938[[#This Row],[IC-01 @2024]:[IC-01 @2020]])=TRUE,Table1938[[#This Row],[IC-02]]=TRUE,Table1938[[#This Row],[IC-03]]=TRUE,Table1938[[#This Row],[IC-04]]=TRUE,Table1938[[#This Row],[IC-05]]=TRUE)</f>
        <v>0</v>
      </c>
      <c r="AC543" s="2" t="b">
        <f>AND(Table1938[[#This Row],[Pass-IC]]=TRUE,Table1938[[#This Row],[Pass-EC]]=TRUE)</f>
        <v>0</v>
      </c>
      <c r="AD543" s="2" t="b">
        <f>COUNTIF($D$25:D543, Table1938[[#This Row],[Title]]) = 1</f>
        <v>1</v>
      </c>
      <c r="AE543" s="2" t="b">
        <f>AND(Table1938[[#This Row],[IC + EC]:[Unique]])</f>
        <v>0</v>
      </c>
      <c r="AF543" s="2" t="b">
        <v>0</v>
      </c>
      <c r="AG543" s="2" t="b">
        <v>0</v>
      </c>
      <c r="AH543" s="2" t="b">
        <v>0</v>
      </c>
      <c r="AI543" s="2" t="b">
        <f>IF(AND(Table1938[[#This Row],[Double Check]]=TRUE,Table1938[[#This Row],[Inspected]]=TRUE,Table1938[[#This Row],[Relevant]]=TRUE),TRUE,FALSE)</f>
        <v>0</v>
      </c>
    </row>
    <row r="544" spans="1:35" ht="71.7" x14ac:dyDescent="0.5">
      <c r="A544" s="2">
        <v>543</v>
      </c>
      <c r="B544" s="20" t="s">
        <v>3</v>
      </c>
      <c r="C544" s="20" t="s">
        <v>3818</v>
      </c>
      <c r="D544" s="20" t="s">
        <v>1403</v>
      </c>
      <c r="E544" s="20" t="s">
        <v>1402</v>
      </c>
      <c r="F544" s="2" t="s">
        <v>1405</v>
      </c>
      <c r="G544" s="20" t="s">
        <v>1014</v>
      </c>
      <c r="H544" s="36">
        <v>43800</v>
      </c>
      <c r="I544" s="20">
        <v>2019</v>
      </c>
      <c r="J544" s="20" t="s">
        <v>61</v>
      </c>
      <c r="K544" s="20" t="s">
        <v>3819</v>
      </c>
      <c r="L544" s="20" t="s">
        <v>2515</v>
      </c>
      <c r="M544" s="20" t="s">
        <v>1404</v>
      </c>
      <c r="N544" s="20" t="b">
        <v>1</v>
      </c>
      <c r="O544" s="2" t="b">
        <f>IF(Table1938[[#This Row],[Title]]="",TRUE,FALSE)</f>
        <v>0</v>
      </c>
      <c r="P544" s="2" t="b">
        <f>IF(Table1938[[#This Row],[Author]]="",TRUE,FALSE)</f>
        <v>0</v>
      </c>
      <c r="Q544" s="2" t="b">
        <f>IF(Table1938[[#This Row],[DOI]]&lt;&gt;"", FALSE,TRUE)</f>
        <v>0</v>
      </c>
      <c r="R544" s="2" t="b">
        <f>IF(Table1938[[#This Row],[Abstract]]="",TRUE,FALSE)</f>
        <v>0</v>
      </c>
      <c r="S544" s="2" t="b">
        <f>IF(OR(Table1938[[#This Row],[Document Type]]="book",Table1938[[#This Row],[Document Type]]="bookSection"),TRUE,FALSE)</f>
        <v>0</v>
      </c>
      <c r="T544" s="2" t="b">
        <f>NOT(IF(OR(Table1938[[#This Row],[Language]]&lt;&gt;"en",Table1938[[#This Row],[Language]]&lt;&gt;"EN",Table1938[[#This Row],[Language]]&lt;&gt;"spa",Table1938[[#This Row],[Language]]&lt;&gt;"SPA"),TRUE,FALSE))</f>
        <v>0</v>
      </c>
      <c r="U544" s="2" t="b">
        <f>IF(AND(Table1938[[#This Row],[EC-01]]=FALSE,Table1938[[#This Row],[EC-02]]=FALSE,Table1938[[#This Row],[EC-03]]=FALSE,Table1938[[#This Row],[EC-04]]=FALSE,Table1938[[#This Row],[EC-05]]=FALSE,Table1938[[#This Row],[EC-06]]=FALSE),TRUE,FALSE)</f>
        <v>1</v>
      </c>
      <c r="V544" s="2" t="b">
        <f>IF(Table1938[[#This Row],[Date]]&lt;&gt;"",AND(YEAR(Table1938[[#This Row],[Date]])&gt;=2010, YEAR(Table1938[[#This Row],[Date]])&lt;=2024),FALSE)</f>
        <v>1</v>
      </c>
      <c r="W544" s="2" t="b">
        <f>IF(Table1938[[#This Row],[Date]]&lt;&gt;"",AND(YEAR(Table1938[[#This Row],[Date]])&gt;=2010, YEAR(Table1938[[#This Row],[Date]])&lt;=2020),FALSE)</f>
        <v>1</v>
      </c>
      <c r="X544" s="2" t="b">
        <f>IF(AND(Table1938[[#This Row],[Accesible]]=TRUE,Table1938[[#This Row],[DOI]]&lt;&gt;""),TRUE,FALSE)</f>
        <v>1</v>
      </c>
      <c r="Y544" s="2" t="b">
        <f>OR(Table1938[[#This Row],[Document Type]]="journalArticle",Table1938[[#This Row],[Document Type]]="conferencePaper",Table1938[[#This Row],[Document Type]]="review")</f>
        <v>1</v>
      </c>
      <c r="Z544" s="2" t="b" cm="1">
        <f t="array" ref="Z544">SUMPRODUCT(--ISNUMBER(SEARCH({"dimensional analysis","dimensionless coefficients","Π","Pi","theorem","software","design","tools","development","architecture","similar"}, LOWER(Table1938[[#This Row],[Title]]))))&gt;0</f>
        <v>1</v>
      </c>
      <c r="AA544" s="2" t="b" cm="1">
        <f t="array" ref="AA544">SUMPRODUCT(--ISNUMBER(SEARCH({"dimensional analysis","dimensionless coefficients","Π","Pi","theorem","software","design","tools","development","architecture","similar"}, LOWER(Table1938[[#This Row],[Abstract]]))))&gt;0</f>
        <v>1</v>
      </c>
      <c r="AB544" s="2" t="b">
        <f>AND(OR(Table1938[[#This Row],[IC-01 @2024]:[IC-01 @2020]])=TRUE,Table1938[[#This Row],[IC-02]]=TRUE,Table1938[[#This Row],[IC-03]]=TRUE,Table1938[[#This Row],[IC-04]]=TRUE,Table1938[[#This Row],[IC-05]]=TRUE)</f>
        <v>1</v>
      </c>
      <c r="AC544" s="2" t="b">
        <f>AND(Table1938[[#This Row],[Pass-IC]]=TRUE,Table1938[[#This Row],[Pass-EC]]=TRUE)</f>
        <v>1</v>
      </c>
      <c r="AD544" s="2" t="b">
        <f>COUNTIF($D$25:D544, Table1938[[#This Row],[Title]]) = 1</f>
        <v>1</v>
      </c>
      <c r="AE544" s="2" t="b">
        <f>AND(Table1938[[#This Row],[IC + EC]:[Unique]])</f>
        <v>1</v>
      </c>
      <c r="AF544" s="2" t="b">
        <v>1</v>
      </c>
      <c r="AG544" s="2" t="b">
        <v>0</v>
      </c>
      <c r="AH544" s="2" t="b">
        <v>0</v>
      </c>
      <c r="AI544" s="2" t="b">
        <f>IF(AND(Table1938[[#This Row],[Double Check]]=TRUE,Table1938[[#This Row],[Inspected]]=TRUE,Table1938[[#This Row],[Relevant]]=TRUE),TRUE,FALSE)</f>
        <v>0</v>
      </c>
    </row>
    <row r="545" spans="1:35" ht="43" x14ac:dyDescent="0.5">
      <c r="A545" s="2">
        <v>544</v>
      </c>
      <c r="B545" s="20" t="s">
        <v>3</v>
      </c>
      <c r="C545" s="20" t="s">
        <v>3820</v>
      </c>
      <c r="D545" s="20" t="s">
        <v>1764</v>
      </c>
      <c r="E545" s="20" t="s">
        <v>1763</v>
      </c>
      <c r="F545" s="2" t="s">
        <v>1766</v>
      </c>
      <c r="G545" s="20" t="s">
        <v>1171</v>
      </c>
      <c r="H545" s="36">
        <v>45292</v>
      </c>
      <c r="I545" s="20">
        <v>2024</v>
      </c>
      <c r="J545" s="20" t="s">
        <v>61</v>
      </c>
      <c r="K545" s="20" t="s">
        <v>3821</v>
      </c>
      <c r="L545" s="20" t="s">
        <v>2515</v>
      </c>
      <c r="M545" s="20" t="s">
        <v>1765</v>
      </c>
      <c r="N545" s="20" t="b">
        <v>1</v>
      </c>
      <c r="O545" s="2" t="b">
        <f>IF(Table1938[[#This Row],[Title]]="",TRUE,FALSE)</f>
        <v>0</v>
      </c>
      <c r="P545" s="2" t="b">
        <f>IF(Table1938[[#This Row],[Author]]="",TRUE,FALSE)</f>
        <v>0</v>
      </c>
      <c r="Q545" s="2" t="b">
        <f>IF(Table1938[[#This Row],[DOI]]&lt;&gt;"", FALSE,TRUE)</f>
        <v>0</v>
      </c>
      <c r="R545" s="2" t="b">
        <f>IF(Table1938[[#This Row],[Abstract]]="",TRUE,FALSE)</f>
        <v>0</v>
      </c>
      <c r="S545" s="2" t="b">
        <f>IF(OR(Table1938[[#This Row],[Document Type]]="book",Table1938[[#This Row],[Document Type]]="bookSection"),TRUE,FALSE)</f>
        <v>0</v>
      </c>
      <c r="T545" s="2" t="b">
        <f>NOT(IF(OR(Table1938[[#This Row],[Language]]&lt;&gt;"en",Table1938[[#This Row],[Language]]&lt;&gt;"EN",Table1938[[#This Row],[Language]]&lt;&gt;"spa",Table1938[[#This Row],[Language]]&lt;&gt;"SPA"),TRUE,FALSE))</f>
        <v>0</v>
      </c>
      <c r="U545" s="2" t="b">
        <f>IF(AND(Table1938[[#This Row],[EC-01]]=FALSE,Table1938[[#This Row],[EC-02]]=FALSE,Table1938[[#This Row],[EC-03]]=FALSE,Table1938[[#This Row],[EC-04]]=FALSE,Table1938[[#This Row],[EC-05]]=FALSE,Table1938[[#This Row],[EC-06]]=FALSE),TRUE,FALSE)</f>
        <v>1</v>
      </c>
      <c r="V545" s="2" t="b">
        <f>IF(Table1938[[#This Row],[Date]]&lt;&gt;"",AND(YEAR(Table1938[[#This Row],[Date]])&gt;=2010, YEAR(Table1938[[#This Row],[Date]])&lt;=2024),FALSE)</f>
        <v>1</v>
      </c>
      <c r="W545" s="2" t="b">
        <f>IF(Table1938[[#This Row],[Date]]&lt;&gt;"",AND(YEAR(Table1938[[#This Row],[Date]])&gt;=2010, YEAR(Table1938[[#This Row],[Date]])&lt;=2020),FALSE)</f>
        <v>0</v>
      </c>
      <c r="X545" s="2" t="b">
        <f>IF(AND(Table1938[[#This Row],[Accesible]]=TRUE,Table1938[[#This Row],[DOI]]&lt;&gt;""),TRUE,FALSE)</f>
        <v>1</v>
      </c>
      <c r="Y545" s="2" t="b">
        <f>OR(Table1938[[#This Row],[Document Type]]="journalArticle",Table1938[[#This Row],[Document Type]]="conferencePaper",Table1938[[#This Row],[Document Type]]="review")</f>
        <v>1</v>
      </c>
      <c r="Z545" s="2" t="b" cm="1">
        <f t="array" ref="Z545">SUMPRODUCT(--ISNUMBER(SEARCH({"dimensional analysis","dimensionless coefficients","Π","Pi","theorem","software","design","tools","development","architecture","similar"}, LOWER(Table1938[[#This Row],[Title]]))))&gt;0</f>
        <v>1</v>
      </c>
      <c r="AA545" s="2" t="b" cm="1">
        <f t="array" ref="AA545">SUMPRODUCT(--ISNUMBER(SEARCH({"dimensional analysis","dimensionless coefficients","Π","Pi","theorem","software","design","tools","development","architecture","similar"}, LOWER(Table1938[[#This Row],[Abstract]]))))&gt;0</f>
        <v>0</v>
      </c>
      <c r="AB545" s="2" t="b">
        <f>AND(OR(Table1938[[#This Row],[IC-01 @2024]:[IC-01 @2020]])=TRUE,Table1938[[#This Row],[IC-02]]=TRUE,Table1938[[#This Row],[IC-03]]=TRUE,Table1938[[#This Row],[IC-04]]=TRUE,Table1938[[#This Row],[IC-05]]=TRUE)</f>
        <v>0</v>
      </c>
      <c r="AC545" s="2" t="b">
        <f>AND(Table1938[[#This Row],[Pass-IC]]=TRUE,Table1938[[#This Row],[Pass-EC]]=TRUE)</f>
        <v>0</v>
      </c>
      <c r="AD545" s="2" t="b">
        <f>COUNTIF($D$25:D545, Table1938[[#This Row],[Title]]) = 1</f>
        <v>1</v>
      </c>
      <c r="AE545" s="2" t="b">
        <f>AND(Table1938[[#This Row],[IC + EC]:[Unique]])</f>
        <v>0</v>
      </c>
      <c r="AF545" s="2" t="b">
        <v>0</v>
      </c>
      <c r="AG545" s="2" t="b">
        <v>0</v>
      </c>
      <c r="AH545" s="2" t="b">
        <v>0</v>
      </c>
      <c r="AI545" s="2" t="b">
        <f>IF(AND(Table1938[[#This Row],[Double Check]]=TRUE,Table1938[[#This Row],[Inspected]]=TRUE,Table1938[[#This Row],[Relevant]]=TRUE),TRUE,FALSE)</f>
        <v>0</v>
      </c>
    </row>
    <row r="546" spans="1:35" ht="71.7" x14ac:dyDescent="0.5">
      <c r="A546" s="2">
        <v>545</v>
      </c>
      <c r="B546" s="20" t="s">
        <v>3</v>
      </c>
      <c r="C546" s="20" t="s">
        <v>3822</v>
      </c>
      <c r="D546" s="20" t="s">
        <v>1373</v>
      </c>
      <c r="E546" s="20" t="s">
        <v>1372</v>
      </c>
      <c r="F546" s="2" t="s">
        <v>1375</v>
      </c>
      <c r="G546" s="20" t="s">
        <v>954</v>
      </c>
      <c r="H546" s="36">
        <v>41537</v>
      </c>
      <c r="I546" s="20">
        <v>2013</v>
      </c>
      <c r="J546" s="20" t="s">
        <v>61</v>
      </c>
      <c r="K546" s="20" t="s">
        <v>3823</v>
      </c>
      <c r="L546" s="20" t="s">
        <v>2515</v>
      </c>
      <c r="M546" s="20" t="s">
        <v>1374</v>
      </c>
      <c r="N546" s="20" t="b">
        <v>1</v>
      </c>
      <c r="O546" s="2" t="b">
        <f>IF(Table1938[[#This Row],[Title]]="",TRUE,FALSE)</f>
        <v>0</v>
      </c>
      <c r="P546" s="2" t="b">
        <f>IF(Table1938[[#This Row],[Author]]="",TRUE,FALSE)</f>
        <v>0</v>
      </c>
      <c r="Q546" s="2" t="b">
        <f>IF(Table1938[[#This Row],[DOI]]&lt;&gt;"", FALSE,TRUE)</f>
        <v>0</v>
      </c>
      <c r="R546" s="2" t="b">
        <f>IF(Table1938[[#This Row],[Abstract]]="",TRUE,FALSE)</f>
        <v>0</v>
      </c>
      <c r="S546" s="2" t="b">
        <f>IF(OR(Table1938[[#This Row],[Document Type]]="book",Table1938[[#This Row],[Document Type]]="bookSection"),TRUE,FALSE)</f>
        <v>0</v>
      </c>
      <c r="T546" s="2" t="b">
        <f>NOT(IF(OR(Table1938[[#This Row],[Language]]&lt;&gt;"en",Table1938[[#This Row],[Language]]&lt;&gt;"EN",Table1938[[#This Row],[Language]]&lt;&gt;"spa",Table1938[[#This Row],[Language]]&lt;&gt;"SPA"),TRUE,FALSE))</f>
        <v>0</v>
      </c>
      <c r="U546" s="2" t="b">
        <f>IF(AND(Table1938[[#This Row],[EC-01]]=FALSE,Table1938[[#This Row],[EC-02]]=FALSE,Table1938[[#This Row],[EC-03]]=FALSE,Table1938[[#This Row],[EC-04]]=FALSE,Table1938[[#This Row],[EC-05]]=FALSE,Table1938[[#This Row],[EC-06]]=FALSE),TRUE,FALSE)</f>
        <v>1</v>
      </c>
      <c r="V546" s="2" t="b">
        <f>IF(Table1938[[#This Row],[Date]]&lt;&gt;"",AND(YEAR(Table1938[[#This Row],[Date]])&gt;=2010, YEAR(Table1938[[#This Row],[Date]])&lt;=2024),FALSE)</f>
        <v>1</v>
      </c>
      <c r="W546" s="2" t="b">
        <f>IF(Table1938[[#This Row],[Date]]&lt;&gt;"",AND(YEAR(Table1938[[#This Row],[Date]])&gt;=2010, YEAR(Table1938[[#This Row],[Date]])&lt;=2020),FALSE)</f>
        <v>1</v>
      </c>
      <c r="X546" s="2" t="b">
        <f>IF(AND(Table1938[[#This Row],[Accesible]]=TRUE,Table1938[[#This Row],[DOI]]&lt;&gt;""),TRUE,FALSE)</f>
        <v>1</v>
      </c>
      <c r="Y546" s="2" t="b">
        <f>OR(Table1938[[#This Row],[Document Type]]="journalArticle",Table1938[[#This Row],[Document Type]]="conferencePaper",Table1938[[#This Row],[Document Type]]="review")</f>
        <v>1</v>
      </c>
      <c r="Z546" s="2" t="b" cm="1">
        <f t="array" ref="Z546">SUMPRODUCT(--ISNUMBER(SEARCH({"dimensional analysis","dimensionless coefficients","Π","Pi","theorem","software","design","tools","development","architecture","similar"}, LOWER(Table1938[[#This Row],[Title]]))))&gt;0</f>
        <v>1</v>
      </c>
      <c r="AA546" s="2" t="b" cm="1">
        <f t="array" ref="AA546">SUMPRODUCT(--ISNUMBER(SEARCH({"dimensional analysis","dimensionless coefficients","Π","Pi","theorem","software","design","tools","development","architecture","similar"}, LOWER(Table1938[[#This Row],[Abstract]]))))&gt;0</f>
        <v>1</v>
      </c>
      <c r="AB546" s="2" t="b">
        <f>AND(OR(Table1938[[#This Row],[IC-01 @2024]:[IC-01 @2020]])=TRUE,Table1938[[#This Row],[IC-02]]=TRUE,Table1938[[#This Row],[IC-03]]=TRUE,Table1938[[#This Row],[IC-04]]=TRUE,Table1938[[#This Row],[IC-05]]=TRUE)</f>
        <v>1</v>
      </c>
      <c r="AC546" s="2" t="b">
        <f>AND(Table1938[[#This Row],[Pass-IC]]=TRUE,Table1938[[#This Row],[Pass-EC]]=TRUE)</f>
        <v>1</v>
      </c>
      <c r="AD546" s="2" t="b">
        <f>COUNTIF($D$25:D546, Table1938[[#This Row],[Title]]) = 1</f>
        <v>1</v>
      </c>
      <c r="AE546" s="2" t="b">
        <f>AND(Table1938[[#This Row],[IC + EC]:[Unique]])</f>
        <v>1</v>
      </c>
      <c r="AF546" s="2" t="b">
        <v>1</v>
      </c>
      <c r="AG546" s="2" t="b">
        <v>0</v>
      </c>
      <c r="AH546" s="2" t="b">
        <v>0</v>
      </c>
      <c r="AI546" s="2" t="b">
        <f>IF(AND(Table1938[[#This Row],[Double Check]]=TRUE,Table1938[[#This Row],[Inspected]]=TRUE,Table1938[[#This Row],[Relevant]]=TRUE),TRUE,FALSE)</f>
        <v>0</v>
      </c>
    </row>
    <row r="547" spans="1:35" ht="57.35" x14ac:dyDescent="0.5">
      <c r="A547" s="2">
        <v>546</v>
      </c>
      <c r="B547" s="20" t="s">
        <v>3</v>
      </c>
      <c r="C547" s="20" t="s">
        <v>3824</v>
      </c>
      <c r="D547" s="20" t="s">
        <v>1291</v>
      </c>
      <c r="E547" s="20" t="s">
        <v>1290</v>
      </c>
      <c r="F547" s="2" t="s">
        <v>1293</v>
      </c>
      <c r="G547" s="20" t="s">
        <v>1009</v>
      </c>
      <c r="H547" s="36">
        <v>44089</v>
      </c>
      <c r="I547" s="20">
        <v>2020</v>
      </c>
      <c r="J547" s="20" t="s">
        <v>61</v>
      </c>
      <c r="K547" s="20" t="s">
        <v>3825</v>
      </c>
      <c r="L547" s="20" t="s">
        <v>2515</v>
      </c>
      <c r="M547" s="20" t="s">
        <v>1292</v>
      </c>
      <c r="N547" s="20" t="b">
        <v>1</v>
      </c>
      <c r="O547" s="2" t="b">
        <f>IF(Table1938[[#This Row],[Title]]="",TRUE,FALSE)</f>
        <v>0</v>
      </c>
      <c r="P547" s="2" t="b">
        <f>IF(Table1938[[#This Row],[Author]]="",TRUE,FALSE)</f>
        <v>0</v>
      </c>
      <c r="Q547" s="2" t="b">
        <f>IF(Table1938[[#This Row],[DOI]]&lt;&gt;"", FALSE,TRUE)</f>
        <v>0</v>
      </c>
      <c r="R547" s="2" t="b">
        <f>IF(Table1938[[#This Row],[Abstract]]="",TRUE,FALSE)</f>
        <v>0</v>
      </c>
      <c r="S547" s="2" t="b">
        <f>IF(OR(Table1938[[#This Row],[Document Type]]="book",Table1938[[#This Row],[Document Type]]="bookSection"),TRUE,FALSE)</f>
        <v>0</v>
      </c>
      <c r="T547" s="2" t="b">
        <f>NOT(IF(OR(Table1938[[#This Row],[Language]]&lt;&gt;"en",Table1938[[#This Row],[Language]]&lt;&gt;"EN",Table1938[[#This Row],[Language]]&lt;&gt;"spa",Table1938[[#This Row],[Language]]&lt;&gt;"SPA"),TRUE,FALSE))</f>
        <v>0</v>
      </c>
      <c r="U547" s="2" t="b">
        <f>IF(AND(Table1938[[#This Row],[EC-01]]=FALSE,Table1938[[#This Row],[EC-02]]=FALSE,Table1938[[#This Row],[EC-03]]=FALSE,Table1938[[#This Row],[EC-04]]=FALSE,Table1938[[#This Row],[EC-05]]=FALSE,Table1938[[#This Row],[EC-06]]=FALSE),TRUE,FALSE)</f>
        <v>1</v>
      </c>
      <c r="V547" s="2" t="b">
        <f>IF(Table1938[[#This Row],[Date]]&lt;&gt;"",AND(YEAR(Table1938[[#This Row],[Date]])&gt;=2010, YEAR(Table1938[[#This Row],[Date]])&lt;=2024),FALSE)</f>
        <v>1</v>
      </c>
      <c r="W547" s="2" t="b">
        <f>IF(Table1938[[#This Row],[Date]]&lt;&gt;"",AND(YEAR(Table1938[[#This Row],[Date]])&gt;=2010, YEAR(Table1938[[#This Row],[Date]])&lt;=2020),FALSE)</f>
        <v>1</v>
      </c>
      <c r="X547" s="2" t="b">
        <f>IF(AND(Table1938[[#This Row],[Accesible]]=TRUE,Table1938[[#This Row],[DOI]]&lt;&gt;""),TRUE,FALSE)</f>
        <v>1</v>
      </c>
      <c r="Y547" s="2" t="b">
        <f>OR(Table1938[[#This Row],[Document Type]]="journalArticle",Table1938[[#This Row],[Document Type]]="conferencePaper",Table1938[[#This Row],[Document Type]]="review")</f>
        <v>1</v>
      </c>
      <c r="Z547" s="2" t="b" cm="1">
        <f t="array" ref="Z547">SUMPRODUCT(--ISNUMBER(SEARCH({"dimensional analysis","dimensionless coefficients","Π","Pi","theorem","software","design","tools","development","architecture","similar"}, LOWER(Table1938[[#This Row],[Title]]))))&gt;0</f>
        <v>1</v>
      </c>
      <c r="AA547" s="2" t="b" cm="1">
        <f t="array" ref="AA547">SUMPRODUCT(--ISNUMBER(SEARCH({"dimensional analysis","dimensionless coefficients","Π","Pi","theorem","software","design","tools","development","architecture","similar"}, LOWER(Table1938[[#This Row],[Abstract]]))))&gt;0</f>
        <v>1</v>
      </c>
      <c r="AB547" s="2" t="b">
        <f>AND(OR(Table1938[[#This Row],[IC-01 @2024]:[IC-01 @2020]])=TRUE,Table1938[[#This Row],[IC-02]]=TRUE,Table1938[[#This Row],[IC-03]]=TRUE,Table1938[[#This Row],[IC-04]]=TRUE,Table1938[[#This Row],[IC-05]]=TRUE)</f>
        <v>1</v>
      </c>
      <c r="AC547" s="2" t="b">
        <f>AND(Table1938[[#This Row],[Pass-IC]]=TRUE,Table1938[[#This Row],[Pass-EC]]=TRUE)</f>
        <v>1</v>
      </c>
      <c r="AD547" s="2" t="b">
        <f>COUNTIF($D$25:D547, Table1938[[#This Row],[Title]]) = 1</f>
        <v>1</v>
      </c>
      <c r="AE547" s="2" t="b">
        <f>AND(Table1938[[#This Row],[IC + EC]:[Unique]])</f>
        <v>1</v>
      </c>
      <c r="AF547" s="2" t="b">
        <v>1</v>
      </c>
      <c r="AG547" s="2" t="b">
        <v>0</v>
      </c>
      <c r="AH547" s="2" t="b">
        <v>0</v>
      </c>
      <c r="AI547" s="2" t="b">
        <f>IF(AND(Table1938[[#This Row],[Double Check]]=TRUE,Table1938[[#This Row],[Inspected]]=TRUE,Table1938[[#This Row],[Relevant]]=TRUE),TRUE,FALSE)</f>
        <v>0</v>
      </c>
    </row>
    <row r="548" spans="1:35" ht="43" x14ac:dyDescent="0.5">
      <c r="A548" s="2">
        <v>547</v>
      </c>
      <c r="B548" s="20" t="s">
        <v>3</v>
      </c>
      <c r="C548" s="20" t="s">
        <v>3826</v>
      </c>
      <c r="D548" s="20" t="s">
        <v>1421</v>
      </c>
      <c r="E548" s="20" t="s">
        <v>1420</v>
      </c>
      <c r="F548" s="2" t="s">
        <v>1424</v>
      </c>
      <c r="G548" s="20" t="s">
        <v>1422</v>
      </c>
      <c r="H548" s="36">
        <v>42767</v>
      </c>
      <c r="I548" s="20">
        <v>2017</v>
      </c>
      <c r="J548" s="20" t="s">
        <v>61</v>
      </c>
      <c r="K548" s="20" t="s">
        <v>3827</v>
      </c>
      <c r="L548" s="20" t="s">
        <v>2515</v>
      </c>
      <c r="M548" s="20" t="s">
        <v>1423</v>
      </c>
      <c r="N548" s="20" t="b">
        <v>1</v>
      </c>
      <c r="O548" s="2" t="b">
        <f>IF(Table1938[[#This Row],[Title]]="",TRUE,FALSE)</f>
        <v>0</v>
      </c>
      <c r="P548" s="2" t="b">
        <f>IF(Table1938[[#This Row],[Author]]="",TRUE,FALSE)</f>
        <v>0</v>
      </c>
      <c r="Q548" s="2" t="b">
        <f>IF(Table1938[[#This Row],[DOI]]&lt;&gt;"", FALSE,TRUE)</f>
        <v>0</v>
      </c>
      <c r="R548" s="2" t="b">
        <f>IF(Table1938[[#This Row],[Abstract]]="",TRUE,FALSE)</f>
        <v>0</v>
      </c>
      <c r="S548" s="2" t="b">
        <f>IF(OR(Table1938[[#This Row],[Document Type]]="book",Table1938[[#This Row],[Document Type]]="bookSection"),TRUE,FALSE)</f>
        <v>0</v>
      </c>
      <c r="T548" s="2" t="b">
        <f>NOT(IF(OR(Table1938[[#This Row],[Language]]&lt;&gt;"en",Table1938[[#This Row],[Language]]&lt;&gt;"EN",Table1938[[#This Row],[Language]]&lt;&gt;"spa",Table1938[[#This Row],[Language]]&lt;&gt;"SPA"),TRUE,FALSE))</f>
        <v>0</v>
      </c>
      <c r="U548" s="2" t="b">
        <f>IF(AND(Table1938[[#This Row],[EC-01]]=FALSE,Table1938[[#This Row],[EC-02]]=FALSE,Table1938[[#This Row],[EC-03]]=FALSE,Table1938[[#This Row],[EC-04]]=FALSE,Table1938[[#This Row],[EC-05]]=FALSE,Table1938[[#This Row],[EC-06]]=FALSE),TRUE,FALSE)</f>
        <v>1</v>
      </c>
      <c r="V548" s="2" t="b">
        <f>IF(Table1938[[#This Row],[Date]]&lt;&gt;"",AND(YEAR(Table1938[[#This Row],[Date]])&gt;=2010, YEAR(Table1938[[#This Row],[Date]])&lt;=2024),FALSE)</f>
        <v>1</v>
      </c>
      <c r="W548" s="2" t="b">
        <f>IF(Table1938[[#This Row],[Date]]&lt;&gt;"",AND(YEAR(Table1938[[#This Row],[Date]])&gt;=2010, YEAR(Table1938[[#This Row],[Date]])&lt;=2020),FALSE)</f>
        <v>1</v>
      </c>
      <c r="X548" s="2" t="b">
        <f>IF(AND(Table1938[[#This Row],[Accesible]]=TRUE,Table1938[[#This Row],[DOI]]&lt;&gt;""),TRUE,FALSE)</f>
        <v>1</v>
      </c>
      <c r="Y548" s="2" t="b">
        <f>OR(Table1938[[#This Row],[Document Type]]="journalArticle",Table1938[[#This Row],[Document Type]]="conferencePaper",Table1938[[#This Row],[Document Type]]="review")</f>
        <v>1</v>
      </c>
      <c r="Z548" s="2" t="b" cm="1">
        <f t="array" ref="Z548">SUMPRODUCT(--ISNUMBER(SEARCH({"dimensional analysis","dimensionless coefficients","Π","Pi","theorem","software","design","tools","development","architecture","similar"}, LOWER(Table1938[[#This Row],[Title]]))))&gt;0</f>
        <v>0</v>
      </c>
      <c r="AA548" s="2" t="b" cm="1">
        <f t="array" ref="AA548">SUMPRODUCT(--ISNUMBER(SEARCH({"dimensional analysis","dimensionless coefficients","Π","Pi","theorem","software","design","tools","development","architecture","similar"}, LOWER(Table1938[[#This Row],[Abstract]]))))&gt;0</f>
        <v>1</v>
      </c>
      <c r="AB548" s="2" t="b">
        <f>AND(OR(Table1938[[#This Row],[IC-01 @2024]:[IC-01 @2020]])=TRUE,Table1938[[#This Row],[IC-02]]=TRUE,Table1938[[#This Row],[IC-03]]=TRUE,Table1938[[#This Row],[IC-04]]=TRUE,Table1938[[#This Row],[IC-05]]=TRUE)</f>
        <v>0</v>
      </c>
      <c r="AC548" s="2" t="b">
        <f>AND(Table1938[[#This Row],[Pass-IC]]=TRUE,Table1938[[#This Row],[Pass-EC]]=TRUE)</f>
        <v>0</v>
      </c>
      <c r="AD548" s="2" t="b">
        <f>COUNTIF($D$25:D548, Table1938[[#This Row],[Title]]) = 1</f>
        <v>1</v>
      </c>
      <c r="AE548" s="2" t="b">
        <f>AND(Table1938[[#This Row],[IC + EC]:[Unique]])</f>
        <v>0</v>
      </c>
      <c r="AF548" s="2" t="b">
        <v>0</v>
      </c>
      <c r="AG548" s="2" t="b">
        <v>0</v>
      </c>
      <c r="AH548" s="2" t="b">
        <v>0</v>
      </c>
      <c r="AI548" s="2" t="b">
        <f>IF(AND(Table1938[[#This Row],[Double Check]]=TRUE,Table1938[[#This Row],[Inspected]]=TRUE,Table1938[[#This Row],[Relevant]]=TRUE),TRUE,FALSE)</f>
        <v>0</v>
      </c>
    </row>
    <row r="549" spans="1:35" ht="57.35" x14ac:dyDescent="0.5">
      <c r="A549" s="2">
        <v>548</v>
      </c>
      <c r="B549" s="20" t="s">
        <v>3</v>
      </c>
      <c r="C549" s="20" t="s">
        <v>3828</v>
      </c>
      <c r="D549" s="20" t="s">
        <v>2218</v>
      </c>
      <c r="E549" s="20" t="s">
        <v>2217</v>
      </c>
      <c r="F549" s="2" t="s">
        <v>2220</v>
      </c>
      <c r="G549" s="20" t="s">
        <v>928</v>
      </c>
      <c r="H549" s="36">
        <v>44013</v>
      </c>
      <c r="I549" s="20">
        <v>2020</v>
      </c>
      <c r="J549" s="20" t="s">
        <v>61</v>
      </c>
      <c r="K549" s="20" t="s">
        <v>3829</v>
      </c>
      <c r="L549" s="20" t="s">
        <v>2515</v>
      </c>
      <c r="M549" s="20" t="s">
        <v>2219</v>
      </c>
      <c r="N549" s="20" t="b">
        <v>1</v>
      </c>
      <c r="O549" s="2" t="b">
        <f>IF(Table1938[[#This Row],[Title]]="",TRUE,FALSE)</f>
        <v>0</v>
      </c>
      <c r="P549" s="2" t="b">
        <f>IF(Table1938[[#This Row],[Author]]="",TRUE,FALSE)</f>
        <v>0</v>
      </c>
      <c r="Q549" s="2" t="b">
        <f>IF(Table1938[[#This Row],[DOI]]&lt;&gt;"", FALSE,TRUE)</f>
        <v>0</v>
      </c>
      <c r="R549" s="2" t="b">
        <f>IF(Table1938[[#This Row],[Abstract]]="",TRUE,FALSE)</f>
        <v>0</v>
      </c>
      <c r="S549" s="2" t="b">
        <f>IF(OR(Table1938[[#This Row],[Document Type]]="book",Table1938[[#This Row],[Document Type]]="bookSection"),TRUE,FALSE)</f>
        <v>0</v>
      </c>
      <c r="T549" s="2" t="b">
        <f>NOT(IF(OR(Table1938[[#This Row],[Language]]&lt;&gt;"en",Table1938[[#This Row],[Language]]&lt;&gt;"EN",Table1938[[#This Row],[Language]]&lt;&gt;"spa",Table1938[[#This Row],[Language]]&lt;&gt;"SPA"),TRUE,FALSE))</f>
        <v>0</v>
      </c>
      <c r="U549" s="2" t="b">
        <f>IF(AND(Table1938[[#This Row],[EC-01]]=FALSE,Table1938[[#This Row],[EC-02]]=FALSE,Table1938[[#This Row],[EC-03]]=FALSE,Table1938[[#This Row],[EC-04]]=FALSE,Table1938[[#This Row],[EC-05]]=FALSE,Table1938[[#This Row],[EC-06]]=FALSE),TRUE,FALSE)</f>
        <v>1</v>
      </c>
      <c r="V549" s="2" t="b">
        <f>IF(Table1938[[#This Row],[Date]]&lt;&gt;"",AND(YEAR(Table1938[[#This Row],[Date]])&gt;=2010, YEAR(Table1938[[#This Row],[Date]])&lt;=2024),FALSE)</f>
        <v>1</v>
      </c>
      <c r="W549" s="2" t="b">
        <f>IF(Table1938[[#This Row],[Date]]&lt;&gt;"",AND(YEAR(Table1938[[#This Row],[Date]])&gt;=2010, YEAR(Table1938[[#This Row],[Date]])&lt;=2020),FALSE)</f>
        <v>1</v>
      </c>
      <c r="X549" s="2" t="b">
        <f>IF(AND(Table1938[[#This Row],[Accesible]]=TRUE,Table1938[[#This Row],[DOI]]&lt;&gt;""),TRUE,FALSE)</f>
        <v>1</v>
      </c>
      <c r="Y549" s="2" t="b">
        <f>OR(Table1938[[#This Row],[Document Type]]="journalArticle",Table1938[[#This Row],[Document Type]]="conferencePaper",Table1938[[#This Row],[Document Type]]="review")</f>
        <v>1</v>
      </c>
      <c r="Z549" s="2" t="b" cm="1">
        <f t="array" ref="Z549">SUMPRODUCT(--ISNUMBER(SEARCH({"dimensional analysis","dimensionless coefficients","Π","Pi","theorem","software","design","tools","development","architecture","similar"}, LOWER(Table1938[[#This Row],[Title]]))))&gt;0</f>
        <v>1</v>
      </c>
      <c r="AA549" s="2" t="b" cm="1">
        <f t="array" ref="AA549">SUMPRODUCT(--ISNUMBER(SEARCH({"dimensional analysis","dimensionless coefficients","Π","Pi","theorem","software","design","tools","development","architecture","similar"}, LOWER(Table1938[[#This Row],[Abstract]]))))&gt;0</f>
        <v>1</v>
      </c>
      <c r="AB549" s="2" t="b">
        <f>AND(OR(Table1938[[#This Row],[IC-01 @2024]:[IC-01 @2020]])=TRUE,Table1938[[#This Row],[IC-02]]=TRUE,Table1938[[#This Row],[IC-03]]=TRUE,Table1938[[#This Row],[IC-04]]=TRUE,Table1938[[#This Row],[IC-05]]=TRUE)</f>
        <v>1</v>
      </c>
      <c r="AC549" s="2" t="b">
        <f>AND(Table1938[[#This Row],[Pass-IC]]=TRUE,Table1938[[#This Row],[Pass-EC]]=TRUE)</f>
        <v>1</v>
      </c>
      <c r="AD549" s="2" t="b">
        <f>COUNTIF($D$25:D549, Table1938[[#This Row],[Title]]) = 1</f>
        <v>1</v>
      </c>
      <c r="AE549" s="2" t="b">
        <f>AND(Table1938[[#This Row],[IC + EC]:[Unique]])</f>
        <v>1</v>
      </c>
      <c r="AF549" s="2" t="b">
        <v>1</v>
      </c>
      <c r="AG549" s="2" t="b">
        <v>0</v>
      </c>
      <c r="AH549" s="2" t="b">
        <v>0</v>
      </c>
      <c r="AI549" s="2" t="b">
        <f>IF(AND(Table1938[[#This Row],[Double Check]]=TRUE,Table1938[[#This Row],[Inspected]]=TRUE,Table1938[[#This Row],[Relevant]]=TRUE),TRUE,FALSE)</f>
        <v>0</v>
      </c>
    </row>
    <row r="550" spans="1:35" ht="57.35" x14ac:dyDescent="0.5">
      <c r="A550" s="2">
        <v>549</v>
      </c>
      <c r="B550" s="20" t="s">
        <v>3</v>
      </c>
      <c r="C550" s="20" t="s">
        <v>3830</v>
      </c>
      <c r="D550" s="20" t="s">
        <v>1979</v>
      </c>
      <c r="E550" s="20" t="s">
        <v>1978</v>
      </c>
      <c r="F550" s="2" t="s">
        <v>1981</v>
      </c>
      <c r="G550" s="20" t="s">
        <v>941</v>
      </c>
      <c r="H550" s="36">
        <v>45214</v>
      </c>
      <c r="I550" s="20">
        <v>2023</v>
      </c>
      <c r="J550" s="20" t="s">
        <v>61</v>
      </c>
      <c r="K550" s="20" t="s">
        <v>3831</v>
      </c>
      <c r="L550" s="20" t="s">
        <v>2515</v>
      </c>
      <c r="M550" s="20" t="s">
        <v>1980</v>
      </c>
      <c r="N550" s="20" t="b">
        <v>1</v>
      </c>
      <c r="O550" s="2" t="b">
        <f>IF(Table1938[[#This Row],[Title]]="",TRUE,FALSE)</f>
        <v>0</v>
      </c>
      <c r="P550" s="2" t="b">
        <f>IF(Table1938[[#This Row],[Author]]="",TRUE,FALSE)</f>
        <v>0</v>
      </c>
      <c r="Q550" s="2" t="b">
        <f>IF(Table1938[[#This Row],[DOI]]&lt;&gt;"", FALSE,TRUE)</f>
        <v>0</v>
      </c>
      <c r="R550" s="2" t="b">
        <f>IF(Table1938[[#This Row],[Abstract]]="",TRUE,FALSE)</f>
        <v>0</v>
      </c>
      <c r="S550" s="2" t="b">
        <f>IF(OR(Table1938[[#This Row],[Document Type]]="book",Table1938[[#This Row],[Document Type]]="bookSection"),TRUE,FALSE)</f>
        <v>0</v>
      </c>
      <c r="T550" s="2" t="b">
        <f>NOT(IF(OR(Table1938[[#This Row],[Language]]&lt;&gt;"en",Table1938[[#This Row],[Language]]&lt;&gt;"EN",Table1938[[#This Row],[Language]]&lt;&gt;"spa",Table1938[[#This Row],[Language]]&lt;&gt;"SPA"),TRUE,FALSE))</f>
        <v>0</v>
      </c>
      <c r="U550" s="2" t="b">
        <f>IF(AND(Table1938[[#This Row],[EC-01]]=FALSE,Table1938[[#This Row],[EC-02]]=FALSE,Table1938[[#This Row],[EC-03]]=FALSE,Table1938[[#This Row],[EC-04]]=FALSE,Table1938[[#This Row],[EC-05]]=FALSE,Table1938[[#This Row],[EC-06]]=FALSE),TRUE,FALSE)</f>
        <v>1</v>
      </c>
      <c r="V550" s="2" t="b">
        <f>IF(Table1938[[#This Row],[Date]]&lt;&gt;"",AND(YEAR(Table1938[[#This Row],[Date]])&gt;=2010, YEAR(Table1938[[#This Row],[Date]])&lt;=2024),FALSE)</f>
        <v>1</v>
      </c>
      <c r="W550" s="2" t="b">
        <f>IF(Table1938[[#This Row],[Date]]&lt;&gt;"",AND(YEAR(Table1938[[#This Row],[Date]])&gt;=2010, YEAR(Table1938[[#This Row],[Date]])&lt;=2020),FALSE)</f>
        <v>0</v>
      </c>
      <c r="X550" s="2" t="b">
        <f>IF(AND(Table1938[[#This Row],[Accesible]]=TRUE,Table1938[[#This Row],[DOI]]&lt;&gt;""),TRUE,FALSE)</f>
        <v>1</v>
      </c>
      <c r="Y550" s="2" t="b">
        <f>OR(Table1938[[#This Row],[Document Type]]="journalArticle",Table1938[[#This Row],[Document Type]]="conferencePaper",Table1938[[#This Row],[Document Type]]="review")</f>
        <v>1</v>
      </c>
      <c r="Z550" s="2" t="b" cm="1">
        <f t="array" ref="Z550">SUMPRODUCT(--ISNUMBER(SEARCH({"dimensional analysis","dimensionless coefficients","Π","Pi","theorem","software","design","tools","development","architecture","similar"}, LOWER(Table1938[[#This Row],[Title]]))))&gt;0</f>
        <v>0</v>
      </c>
      <c r="AA550" s="2" t="b" cm="1">
        <f t="array" ref="AA550">SUMPRODUCT(--ISNUMBER(SEARCH({"dimensional analysis","dimensionless coefficients","Π","Pi","theorem","software","design","tools","development","architecture","similar"}, LOWER(Table1938[[#This Row],[Abstract]]))))&gt;0</f>
        <v>1</v>
      </c>
      <c r="AB550" s="2" t="b">
        <f>AND(OR(Table1938[[#This Row],[IC-01 @2024]:[IC-01 @2020]])=TRUE,Table1938[[#This Row],[IC-02]]=TRUE,Table1938[[#This Row],[IC-03]]=TRUE,Table1938[[#This Row],[IC-04]]=TRUE,Table1938[[#This Row],[IC-05]]=TRUE)</f>
        <v>0</v>
      </c>
      <c r="AC550" s="2" t="b">
        <f>AND(Table1938[[#This Row],[Pass-IC]]=TRUE,Table1938[[#This Row],[Pass-EC]]=TRUE)</f>
        <v>0</v>
      </c>
      <c r="AD550" s="2" t="b">
        <f>COUNTIF($D$25:D550, Table1938[[#This Row],[Title]]) = 1</f>
        <v>1</v>
      </c>
      <c r="AE550" s="2" t="b">
        <f>AND(Table1938[[#This Row],[IC + EC]:[Unique]])</f>
        <v>0</v>
      </c>
      <c r="AF550" s="2" t="b">
        <v>0</v>
      </c>
      <c r="AG550" s="2" t="b">
        <v>0</v>
      </c>
      <c r="AH550" s="2" t="b">
        <v>0</v>
      </c>
      <c r="AI550" s="2" t="b">
        <f>IF(AND(Table1938[[#This Row],[Double Check]]=TRUE,Table1938[[#This Row],[Inspected]]=TRUE,Table1938[[#This Row],[Relevant]]=TRUE),TRUE,FALSE)</f>
        <v>0</v>
      </c>
    </row>
    <row r="551" spans="1:35" ht="43" x14ac:dyDescent="0.5">
      <c r="A551" s="2">
        <v>550</v>
      </c>
      <c r="B551" s="20" t="s">
        <v>3</v>
      </c>
      <c r="C551" s="20" t="s">
        <v>3832</v>
      </c>
      <c r="D551" s="20" t="s">
        <v>2030</v>
      </c>
      <c r="E551" s="20" t="s">
        <v>2029</v>
      </c>
      <c r="F551" s="2" t="s">
        <v>2032</v>
      </c>
      <c r="G551" s="20" t="s">
        <v>918</v>
      </c>
      <c r="H551" s="36">
        <v>45427</v>
      </c>
      <c r="I551" s="20">
        <v>2024</v>
      </c>
      <c r="J551" s="20" t="s">
        <v>61</v>
      </c>
      <c r="K551" s="20" t="s">
        <v>3833</v>
      </c>
      <c r="L551" s="20" t="s">
        <v>2515</v>
      </c>
      <c r="M551" s="20" t="s">
        <v>2031</v>
      </c>
      <c r="N551" s="20" t="b">
        <v>1</v>
      </c>
      <c r="O551" s="2" t="b">
        <f>IF(Table1938[[#This Row],[Title]]="",TRUE,FALSE)</f>
        <v>0</v>
      </c>
      <c r="P551" s="2" t="b">
        <f>IF(Table1938[[#This Row],[Author]]="",TRUE,FALSE)</f>
        <v>0</v>
      </c>
      <c r="Q551" s="2" t="b">
        <f>IF(Table1938[[#This Row],[DOI]]&lt;&gt;"", FALSE,TRUE)</f>
        <v>0</v>
      </c>
      <c r="R551" s="2" t="b">
        <f>IF(Table1938[[#This Row],[Abstract]]="",TRUE,FALSE)</f>
        <v>0</v>
      </c>
      <c r="S551" s="2" t="b">
        <f>IF(OR(Table1938[[#This Row],[Document Type]]="book",Table1938[[#This Row],[Document Type]]="bookSection"),TRUE,FALSE)</f>
        <v>0</v>
      </c>
      <c r="T551" s="2" t="b">
        <f>NOT(IF(OR(Table1938[[#This Row],[Language]]&lt;&gt;"en",Table1938[[#This Row],[Language]]&lt;&gt;"EN",Table1938[[#This Row],[Language]]&lt;&gt;"spa",Table1938[[#This Row],[Language]]&lt;&gt;"SPA"),TRUE,FALSE))</f>
        <v>0</v>
      </c>
      <c r="U551" s="2" t="b">
        <f>IF(AND(Table1938[[#This Row],[EC-01]]=FALSE,Table1938[[#This Row],[EC-02]]=FALSE,Table1938[[#This Row],[EC-03]]=FALSE,Table1938[[#This Row],[EC-04]]=FALSE,Table1938[[#This Row],[EC-05]]=FALSE,Table1938[[#This Row],[EC-06]]=FALSE),TRUE,FALSE)</f>
        <v>1</v>
      </c>
      <c r="V551" s="2" t="b">
        <f>IF(Table1938[[#This Row],[Date]]&lt;&gt;"",AND(YEAR(Table1938[[#This Row],[Date]])&gt;=2010, YEAR(Table1938[[#This Row],[Date]])&lt;=2024),FALSE)</f>
        <v>1</v>
      </c>
      <c r="W551" s="2" t="b">
        <f>IF(Table1938[[#This Row],[Date]]&lt;&gt;"",AND(YEAR(Table1938[[#This Row],[Date]])&gt;=2010, YEAR(Table1938[[#This Row],[Date]])&lt;=2020),FALSE)</f>
        <v>0</v>
      </c>
      <c r="X551" s="2" t="b">
        <f>IF(AND(Table1938[[#This Row],[Accesible]]=TRUE,Table1938[[#This Row],[DOI]]&lt;&gt;""),TRUE,FALSE)</f>
        <v>1</v>
      </c>
      <c r="Y551" s="2" t="b">
        <f>OR(Table1938[[#This Row],[Document Type]]="journalArticle",Table1938[[#This Row],[Document Type]]="conferencePaper",Table1938[[#This Row],[Document Type]]="review")</f>
        <v>1</v>
      </c>
      <c r="Z551" s="2" t="b" cm="1">
        <f t="array" ref="Z551">SUMPRODUCT(--ISNUMBER(SEARCH({"dimensional analysis","dimensionless coefficients","Π","Pi","theorem","software","design","tools","development","architecture","similar"}, LOWER(Table1938[[#This Row],[Title]]))))&gt;0</f>
        <v>0</v>
      </c>
      <c r="AA551" s="2" t="b" cm="1">
        <f t="array" ref="AA551">SUMPRODUCT(--ISNUMBER(SEARCH({"dimensional analysis","dimensionless coefficients","Π","Pi","theorem","software","design","tools","development","architecture","similar"}, LOWER(Table1938[[#This Row],[Abstract]]))))&gt;0</f>
        <v>1</v>
      </c>
      <c r="AB551" s="2" t="b">
        <f>AND(OR(Table1938[[#This Row],[IC-01 @2024]:[IC-01 @2020]])=TRUE,Table1938[[#This Row],[IC-02]]=TRUE,Table1938[[#This Row],[IC-03]]=TRUE,Table1938[[#This Row],[IC-04]]=TRUE,Table1938[[#This Row],[IC-05]]=TRUE)</f>
        <v>0</v>
      </c>
      <c r="AC551" s="2" t="b">
        <f>AND(Table1938[[#This Row],[Pass-IC]]=TRUE,Table1938[[#This Row],[Pass-EC]]=TRUE)</f>
        <v>0</v>
      </c>
      <c r="AD551" s="2" t="b">
        <f>COUNTIF($D$25:D551, Table1938[[#This Row],[Title]]) = 1</f>
        <v>1</v>
      </c>
      <c r="AE551" s="2" t="b">
        <f>AND(Table1938[[#This Row],[IC + EC]:[Unique]])</f>
        <v>0</v>
      </c>
      <c r="AF551" s="2" t="b">
        <v>0</v>
      </c>
      <c r="AG551" s="2" t="b">
        <v>0</v>
      </c>
      <c r="AH551" s="2" t="b">
        <v>0</v>
      </c>
      <c r="AI551" s="2" t="b">
        <f>IF(AND(Table1938[[#This Row],[Double Check]]=TRUE,Table1938[[#This Row],[Inspected]]=TRUE,Table1938[[#This Row],[Relevant]]=TRUE),TRUE,FALSE)</f>
        <v>0</v>
      </c>
    </row>
    <row r="552" spans="1:35" ht="57.35" x14ac:dyDescent="0.5">
      <c r="A552" s="2">
        <v>551</v>
      </c>
      <c r="B552" s="20" t="s">
        <v>3</v>
      </c>
      <c r="C552" s="20" t="s">
        <v>3834</v>
      </c>
      <c r="D552" s="20" t="s">
        <v>1507</v>
      </c>
      <c r="E552" s="20" t="s">
        <v>1506</v>
      </c>
      <c r="F552" s="2" t="s">
        <v>1509</v>
      </c>
      <c r="G552" s="20" t="s">
        <v>953</v>
      </c>
      <c r="H552" s="36">
        <v>45017</v>
      </c>
      <c r="I552" s="20">
        <v>2023</v>
      </c>
      <c r="J552" s="20" t="s">
        <v>61</v>
      </c>
      <c r="K552" s="20" t="s">
        <v>3835</v>
      </c>
      <c r="L552" s="20" t="s">
        <v>2515</v>
      </c>
      <c r="M552" s="20" t="s">
        <v>1508</v>
      </c>
      <c r="N552" s="20" t="b">
        <v>1</v>
      </c>
      <c r="O552" s="2" t="b">
        <f>IF(Table1938[[#This Row],[Title]]="",TRUE,FALSE)</f>
        <v>0</v>
      </c>
      <c r="P552" s="2" t="b">
        <f>IF(Table1938[[#This Row],[Author]]="",TRUE,FALSE)</f>
        <v>0</v>
      </c>
      <c r="Q552" s="2" t="b">
        <f>IF(Table1938[[#This Row],[DOI]]&lt;&gt;"", FALSE,TRUE)</f>
        <v>0</v>
      </c>
      <c r="R552" s="2" t="b">
        <f>IF(Table1938[[#This Row],[Abstract]]="",TRUE,FALSE)</f>
        <v>0</v>
      </c>
      <c r="S552" s="2" t="b">
        <f>IF(OR(Table1938[[#This Row],[Document Type]]="book",Table1938[[#This Row],[Document Type]]="bookSection"),TRUE,FALSE)</f>
        <v>0</v>
      </c>
      <c r="T552" s="2" t="b">
        <f>NOT(IF(OR(Table1938[[#This Row],[Language]]&lt;&gt;"en",Table1938[[#This Row],[Language]]&lt;&gt;"EN",Table1938[[#This Row],[Language]]&lt;&gt;"spa",Table1938[[#This Row],[Language]]&lt;&gt;"SPA"),TRUE,FALSE))</f>
        <v>0</v>
      </c>
      <c r="U552" s="2" t="b">
        <f>IF(AND(Table1938[[#This Row],[EC-01]]=FALSE,Table1938[[#This Row],[EC-02]]=FALSE,Table1938[[#This Row],[EC-03]]=FALSE,Table1938[[#This Row],[EC-04]]=FALSE,Table1938[[#This Row],[EC-05]]=FALSE,Table1938[[#This Row],[EC-06]]=FALSE),TRUE,FALSE)</f>
        <v>1</v>
      </c>
      <c r="V552" s="2" t="b">
        <f>IF(Table1938[[#This Row],[Date]]&lt;&gt;"",AND(YEAR(Table1938[[#This Row],[Date]])&gt;=2010, YEAR(Table1938[[#This Row],[Date]])&lt;=2024),FALSE)</f>
        <v>1</v>
      </c>
      <c r="W552" s="2" t="b">
        <f>IF(Table1938[[#This Row],[Date]]&lt;&gt;"",AND(YEAR(Table1938[[#This Row],[Date]])&gt;=2010, YEAR(Table1938[[#This Row],[Date]])&lt;=2020),FALSE)</f>
        <v>0</v>
      </c>
      <c r="X552" s="2" t="b">
        <f>IF(AND(Table1938[[#This Row],[Accesible]]=TRUE,Table1938[[#This Row],[DOI]]&lt;&gt;""),TRUE,FALSE)</f>
        <v>1</v>
      </c>
      <c r="Y552" s="2" t="b">
        <f>OR(Table1938[[#This Row],[Document Type]]="journalArticle",Table1938[[#This Row],[Document Type]]="conferencePaper",Table1938[[#This Row],[Document Type]]="review")</f>
        <v>1</v>
      </c>
      <c r="Z552" s="2" t="b" cm="1">
        <f t="array" ref="Z552">SUMPRODUCT(--ISNUMBER(SEARCH({"dimensional analysis","dimensionless coefficients","Π","Pi","theorem","software","design","tools","development","architecture","similar"}, LOWER(Table1938[[#This Row],[Title]]))))&gt;0</f>
        <v>0</v>
      </c>
      <c r="AA552" s="2" t="b" cm="1">
        <f t="array" ref="AA552">SUMPRODUCT(--ISNUMBER(SEARCH({"dimensional analysis","dimensionless coefficients","Π","Pi","theorem","software","design","tools","development","architecture","similar"}, LOWER(Table1938[[#This Row],[Abstract]]))))&gt;0</f>
        <v>1</v>
      </c>
      <c r="AB552" s="2" t="b">
        <f>AND(OR(Table1938[[#This Row],[IC-01 @2024]:[IC-01 @2020]])=TRUE,Table1938[[#This Row],[IC-02]]=TRUE,Table1938[[#This Row],[IC-03]]=TRUE,Table1938[[#This Row],[IC-04]]=TRUE,Table1938[[#This Row],[IC-05]]=TRUE)</f>
        <v>0</v>
      </c>
      <c r="AC552" s="2" t="b">
        <f>AND(Table1938[[#This Row],[Pass-IC]]=TRUE,Table1938[[#This Row],[Pass-EC]]=TRUE)</f>
        <v>0</v>
      </c>
      <c r="AD552" s="2" t="b">
        <f>COUNTIF($D$25:D552, Table1938[[#This Row],[Title]]) = 1</f>
        <v>1</v>
      </c>
      <c r="AE552" s="2" t="b">
        <f>AND(Table1938[[#This Row],[IC + EC]:[Unique]])</f>
        <v>0</v>
      </c>
      <c r="AF552" s="2" t="b">
        <v>0</v>
      </c>
      <c r="AG552" s="2" t="b">
        <v>0</v>
      </c>
      <c r="AH552" s="2" t="b">
        <v>0</v>
      </c>
      <c r="AI552" s="2" t="b">
        <f>IF(AND(Table1938[[#This Row],[Double Check]]=TRUE,Table1938[[#This Row],[Inspected]]=TRUE,Table1938[[#This Row],[Relevant]]=TRUE),TRUE,FALSE)</f>
        <v>0</v>
      </c>
    </row>
    <row r="553" spans="1:35" ht="57.35" x14ac:dyDescent="0.5">
      <c r="A553" s="2">
        <v>552</v>
      </c>
      <c r="B553" s="20" t="s">
        <v>3</v>
      </c>
      <c r="C553" s="20" t="s">
        <v>3836</v>
      </c>
      <c r="D553" s="20" t="s">
        <v>988</v>
      </c>
      <c r="E553" s="20" t="s">
        <v>989</v>
      </c>
      <c r="F553" s="2" t="s">
        <v>986</v>
      </c>
      <c r="G553" s="20" t="s">
        <v>985</v>
      </c>
      <c r="H553" s="36">
        <v>45474</v>
      </c>
      <c r="I553" s="20">
        <v>2024</v>
      </c>
      <c r="J553" s="20" t="s">
        <v>61</v>
      </c>
      <c r="K553" s="20" t="s">
        <v>3837</v>
      </c>
      <c r="L553" s="20" t="s">
        <v>2515</v>
      </c>
      <c r="M553" s="20" t="s">
        <v>987</v>
      </c>
      <c r="N553" s="20" t="b">
        <v>1</v>
      </c>
      <c r="O553" s="2" t="b">
        <f>IF(Table1938[[#This Row],[Title]]="",TRUE,FALSE)</f>
        <v>0</v>
      </c>
      <c r="P553" s="2" t="b">
        <f>IF(Table1938[[#This Row],[Author]]="",TRUE,FALSE)</f>
        <v>0</v>
      </c>
      <c r="Q553" s="2" t="b">
        <f>IF(Table1938[[#This Row],[DOI]]&lt;&gt;"", FALSE,TRUE)</f>
        <v>0</v>
      </c>
      <c r="R553" s="2" t="b">
        <f>IF(Table1938[[#This Row],[Abstract]]="",TRUE,FALSE)</f>
        <v>0</v>
      </c>
      <c r="S553" s="2" t="b">
        <f>IF(OR(Table1938[[#This Row],[Document Type]]="book",Table1938[[#This Row],[Document Type]]="bookSection"),TRUE,FALSE)</f>
        <v>0</v>
      </c>
      <c r="T553" s="2" t="b">
        <f>NOT(IF(OR(Table1938[[#This Row],[Language]]&lt;&gt;"en",Table1938[[#This Row],[Language]]&lt;&gt;"EN",Table1938[[#This Row],[Language]]&lt;&gt;"spa",Table1938[[#This Row],[Language]]&lt;&gt;"SPA"),TRUE,FALSE))</f>
        <v>0</v>
      </c>
      <c r="U553" s="2" t="b">
        <f>IF(AND(Table1938[[#This Row],[EC-01]]=FALSE,Table1938[[#This Row],[EC-02]]=FALSE,Table1938[[#This Row],[EC-03]]=FALSE,Table1938[[#This Row],[EC-04]]=FALSE,Table1938[[#This Row],[EC-05]]=FALSE,Table1938[[#This Row],[EC-06]]=FALSE),TRUE,FALSE)</f>
        <v>1</v>
      </c>
      <c r="V553" s="2" t="b">
        <f>IF(Table1938[[#This Row],[Date]]&lt;&gt;"",AND(YEAR(Table1938[[#This Row],[Date]])&gt;=2010, YEAR(Table1938[[#This Row],[Date]])&lt;=2024),FALSE)</f>
        <v>1</v>
      </c>
      <c r="W553" s="2" t="b">
        <f>IF(Table1938[[#This Row],[Date]]&lt;&gt;"",AND(YEAR(Table1938[[#This Row],[Date]])&gt;=2010, YEAR(Table1938[[#This Row],[Date]])&lt;=2020),FALSE)</f>
        <v>0</v>
      </c>
      <c r="X553" s="2" t="b">
        <f>IF(AND(Table1938[[#This Row],[Accesible]]=TRUE,Table1938[[#This Row],[DOI]]&lt;&gt;""),TRUE,FALSE)</f>
        <v>1</v>
      </c>
      <c r="Y553" s="2" t="b">
        <f>OR(Table1938[[#This Row],[Document Type]]="journalArticle",Table1938[[#This Row],[Document Type]]="conferencePaper",Table1938[[#This Row],[Document Type]]="review")</f>
        <v>1</v>
      </c>
      <c r="Z553" s="2" t="b" cm="1">
        <f t="array" ref="Z553">SUMPRODUCT(--ISNUMBER(SEARCH({"dimensional analysis","dimensionless coefficients","Π","Pi","theorem","software","design","tools","development","architecture","similar"}, LOWER(Table1938[[#This Row],[Title]]))))&gt;0</f>
        <v>0</v>
      </c>
      <c r="AA553" s="2" t="b" cm="1">
        <f t="array" ref="AA553">SUMPRODUCT(--ISNUMBER(SEARCH({"dimensional analysis","dimensionless coefficients","Π","Pi","theorem","software","design","tools","development","architecture","similar"}, LOWER(Table1938[[#This Row],[Abstract]]))))&gt;0</f>
        <v>1</v>
      </c>
      <c r="AB553" s="2" t="b">
        <f>AND(OR(Table1938[[#This Row],[IC-01 @2024]:[IC-01 @2020]])=TRUE,Table1938[[#This Row],[IC-02]]=TRUE,Table1938[[#This Row],[IC-03]]=TRUE,Table1938[[#This Row],[IC-04]]=TRUE,Table1938[[#This Row],[IC-05]]=TRUE)</f>
        <v>0</v>
      </c>
      <c r="AC553" s="2" t="b">
        <f>AND(Table1938[[#This Row],[Pass-IC]]=TRUE,Table1938[[#This Row],[Pass-EC]]=TRUE)</f>
        <v>0</v>
      </c>
      <c r="AD553" s="2" t="b">
        <f>COUNTIF($D$25:D553, Table1938[[#This Row],[Title]]) = 1</f>
        <v>1</v>
      </c>
      <c r="AE553" s="2" t="b">
        <f>AND(Table1938[[#This Row],[IC + EC]:[Unique]])</f>
        <v>0</v>
      </c>
      <c r="AF553" s="2" t="b">
        <v>0</v>
      </c>
      <c r="AG553" s="2" t="b">
        <v>0</v>
      </c>
      <c r="AH553" s="2" t="b">
        <v>0</v>
      </c>
      <c r="AI553" s="2" t="b">
        <f>IF(AND(Table1938[[#This Row],[Double Check]]=TRUE,Table1938[[#This Row],[Inspected]]=TRUE,Table1938[[#This Row],[Relevant]]=TRUE),TRUE,FALSE)</f>
        <v>0</v>
      </c>
    </row>
    <row r="554" spans="1:35" ht="100.35" x14ac:dyDescent="0.5">
      <c r="A554" s="2">
        <v>553</v>
      </c>
      <c r="B554" s="20" t="s">
        <v>3</v>
      </c>
      <c r="C554" s="20" t="s">
        <v>3838</v>
      </c>
      <c r="D554" s="20" t="s">
        <v>2076</v>
      </c>
      <c r="E554" s="20" t="s">
        <v>2075</v>
      </c>
      <c r="F554" s="2" t="s">
        <v>2078</v>
      </c>
      <c r="G554" s="20" t="s">
        <v>920</v>
      </c>
      <c r="H554" s="36">
        <v>41791</v>
      </c>
      <c r="I554" s="20">
        <v>2014</v>
      </c>
      <c r="J554" s="20" t="s">
        <v>61</v>
      </c>
      <c r="K554" s="20" t="s">
        <v>3839</v>
      </c>
      <c r="L554" s="20" t="s">
        <v>2515</v>
      </c>
      <c r="M554" s="20" t="s">
        <v>2077</v>
      </c>
      <c r="N554" s="20" t="b">
        <v>1</v>
      </c>
      <c r="O554" s="2" t="b">
        <f>IF(Table1938[[#This Row],[Title]]="",TRUE,FALSE)</f>
        <v>0</v>
      </c>
      <c r="P554" s="2" t="b">
        <f>IF(Table1938[[#This Row],[Author]]="",TRUE,FALSE)</f>
        <v>0</v>
      </c>
      <c r="Q554" s="2" t="b">
        <f>IF(Table1938[[#This Row],[DOI]]&lt;&gt;"", FALSE,TRUE)</f>
        <v>0</v>
      </c>
      <c r="R554" s="2" t="b">
        <f>IF(Table1938[[#This Row],[Abstract]]="",TRUE,FALSE)</f>
        <v>0</v>
      </c>
      <c r="S554" s="2" t="b">
        <f>IF(OR(Table1938[[#This Row],[Document Type]]="book",Table1938[[#This Row],[Document Type]]="bookSection"),TRUE,FALSE)</f>
        <v>0</v>
      </c>
      <c r="T554" s="2" t="b">
        <f>NOT(IF(OR(Table1938[[#This Row],[Language]]&lt;&gt;"en",Table1938[[#This Row],[Language]]&lt;&gt;"EN",Table1938[[#This Row],[Language]]&lt;&gt;"spa",Table1938[[#This Row],[Language]]&lt;&gt;"SPA"),TRUE,FALSE))</f>
        <v>0</v>
      </c>
      <c r="U554" s="2" t="b">
        <f>IF(AND(Table1938[[#This Row],[EC-01]]=FALSE,Table1938[[#This Row],[EC-02]]=FALSE,Table1938[[#This Row],[EC-03]]=FALSE,Table1938[[#This Row],[EC-04]]=FALSE,Table1938[[#This Row],[EC-05]]=FALSE,Table1938[[#This Row],[EC-06]]=FALSE),TRUE,FALSE)</f>
        <v>1</v>
      </c>
      <c r="V554" s="2" t="b">
        <f>IF(Table1938[[#This Row],[Date]]&lt;&gt;"",AND(YEAR(Table1938[[#This Row],[Date]])&gt;=2010, YEAR(Table1938[[#This Row],[Date]])&lt;=2024),FALSE)</f>
        <v>1</v>
      </c>
      <c r="W554" s="2" t="b">
        <f>IF(Table1938[[#This Row],[Date]]&lt;&gt;"",AND(YEAR(Table1938[[#This Row],[Date]])&gt;=2010, YEAR(Table1938[[#This Row],[Date]])&lt;=2020),FALSE)</f>
        <v>1</v>
      </c>
      <c r="X554" s="2" t="b">
        <f>IF(AND(Table1938[[#This Row],[Accesible]]=TRUE,Table1938[[#This Row],[DOI]]&lt;&gt;""),TRUE,FALSE)</f>
        <v>1</v>
      </c>
      <c r="Y554" s="2" t="b">
        <f>OR(Table1938[[#This Row],[Document Type]]="journalArticle",Table1938[[#This Row],[Document Type]]="conferencePaper",Table1938[[#This Row],[Document Type]]="review")</f>
        <v>1</v>
      </c>
      <c r="Z554" s="2" t="b" cm="1">
        <f t="array" ref="Z554">SUMPRODUCT(--ISNUMBER(SEARCH({"dimensional analysis","dimensionless coefficients","Π","Pi","theorem","software","design","tools","development","architecture","similar"}, LOWER(Table1938[[#This Row],[Title]]))))&gt;0</f>
        <v>0</v>
      </c>
      <c r="AA554" s="2" t="b" cm="1">
        <f t="array" ref="AA554">SUMPRODUCT(--ISNUMBER(SEARCH({"dimensional analysis","dimensionless coefficients","Π","Pi","theorem","software","design","tools","development","architecture","similar"}, LOWER(Table1938[[#This Row],[Abstract]]))))&gt;0</f>
        <v>1</v>
      </c>
      <c r="AB554" s="2" t="b">
        <f>AND(OR(Table1938[[#This Row],[IC-01 @2024]:[IC-01 @2020]])=TRUE,Table1938[[#This Row],[IC-02]]=TRUE,Table1938[[#This Row],[IC-03]]=TRUE,Table1938[[#This Row],[IC-04]]=TRUE,Table1938[[#This Row],[IC-05]]=TRUE)</f>
        <v>0</v>
      </c>
      <c r="AC554" s="2" t="b">
        <f>AND(Table1938[[#This Row],[Pass-IC]]=TRUE,Table1938[[#This Row],[Pass-EC]]=TRUE)</f>
        <v>0</v>
      </c>
      <c r="AD554" s="2" t="b">
        <f>COUNTIF($D$25:D554, Table1938[[#This Row],[Title]]) = 1</f>
        <v>1</v>
      </c>
      <c r="AE554" s="2" t="b">
        <f>AND(Table1938[[#This Row],[IC + EC]:[Unique]])</f>
        <v>0</v>
      </c>
      <c r="AF554" s="2" t="b">
        <v>0</v>
      </c>
      <c r="AG554" s="2" t="b">
        <v>0</v>
      </c>
      <c r="AH554" s="2" t="b">
        <v>0</v>
      </c>
      <c r="AI554" s="2" t="b">
        <f>IF(AND(Table1938[[#This Row],[Double Check]]=TRUE,Table1938[[#This Row],[Inspected]]=TRUE,Table1938[[#This Row],[Relevant]]=TRUE),TRUE,FALSE)</f>
        <v>0</v>
      </c>
    </row>
    <row r="555" spans="1:35" ht="71.7" x14ac:dyDescent="0.5">
      <c r="A555" s="2">
        <v>554</v>
      </c>
      <c r="B555" s="20" t="s">
        <v>3</v>
      </c>
      <c r="C555" s="20" t="s">
        <v>3840</v>
      </c>
      <c r="D555" s="20" t="s">
        <v>1820</v>
      </c>
      <c r="E555" s="20" t="s">
        <v>1819</v>
      </c>
      <c r="F555" s="2" t="s">
        <v>1822</v>
      </c>
      <c r="G555" s="20" t="s">
        <v>996</v>
      </c>
      <c r="H555" s="36">
        <v>44713</v>
      </c>
      <c r="I555" s="20">
        <v>2022</v>
      </c>
      <c r="J555" s="20" t="s">
        <v>61</v>
      </c>
      <c r="K555" s="20" t="s">
        <v>3841</v>
      </c>
      <c r="L555" s="20" t="s">
        <v>2515</v>
      </c>
      <c r="M555" s="20" t="s">
        <v>1821</v>
      </c>
      <c r="N555" s="20" t="b">
        <v>1</v>
      </c>
      <c r="O555" s="2" t="b">
        <f>IF(Table1938[[#This Row],[Title]]="",TRUE,FALSE)</f>
        <v>0</v>
      </c>
      <c r="P555" s="2" t="b">
        <f>IF(Table1938[[#This Row],[Author]]="",TRUE,FALSE)</f>
        <v>0</v>
      </c>
      <c r="Q555" s="2" t="b">
        <f>IF(Table1938[[#This Row],[DOI]]&lt;&gt;"", FALSE,TRUE)</f>
        <v>0</v>
      </c>
      <c r="R555" s="2" t="b">
        <f>IF(Table1938[[#This Row],[Abstract]]="",TRUE,FALSE)</f>
        <v>0</v>
      </c>
      <c r="S555" s="2" t="b">
        <f>IF(OR(Table1938[[#This Row],[Document Type]]="book",Table1938[[#This Row],[Document Type]]="bookSection"),TRUE,FALSE)</f>
        <v>0</v>
      </c>
      <c r="T555" s="2" t="b">
        <f>NOT(IF(OR(Table1938[[#This Row],[Language]]&lt;&gt;"en",Table1938[[#This Row],[Language]]&lt;&gt;"EN",Table1938[[#This Row],[Language]]&lt;&gt;"spa",Table1938[[#This Row],[Language]]&lt;&gt;"SPA"),TRUE,FALSE))</f>
        <v>0</v>
      </c>
      <c r="U555" s="2" t="b">
        <f>IF(AND(Table1938[[#This Row],[EC-01]]=FALSE,Table1938[[#This Row],[EC-02]]=FALSE,Table1938[[#This Row],[EC-03]]=FALSE,Table1938[[#This Row],[EC-04]]=FALSE,Table1938[[#This Row],[EC-05]]=FALSE,Table1938[[#This Row],[EC-06]]=FALSE),TRUE,FALSE)</f>
        <v>1</v>
      </c>
      <c r="V555" s="2" t="b">
        <f>IF(Table1938[[#This Row],[Date]]&lt;&gt;"",AND(YEAR(Table1938[[#This Row],[Date]])&gt;=2010, YEAR(Table1938[[#This Row],[Date]])&lt;=2024),FALSE)</f>
        <v>1</v>
      </c>
      <c r="W555" s="2" t="b">
        <f>IF(Table1938[[#This Row],[Date]]&lt;&gt;"",AND(YEAR(Table1938[[#This Row],[Date]])&gt;=2010, YEAR(Table1938[[#This Row],[Date]])&lt;=2020),FALSE)</f>
        <v>0</v>
      </c>
      <c r="X555" s="2" t="b">
        <f>IF(AND(Table1938[[#This Row],[Accesible]]=TRUE,Table1938[[#This Row],[DOI]]&lt;&gt;""),TRUE,FALSE)</f>
        <v>1</v>
      </c>
      <c r="Y555" s="2" t="b">
        <f>OR(Table1938[[#This Row],[Document Type]]="journalArticle",Table1938[[#This Row],[Document Type]]="conferencePaper",Table1938[[#This Row],[Document Type]]="review")</f>
        <v>1</v>
      </c>
      <c r="Z555" s="2" t="b" cm="1">
        <f t="array" ref="Z555">SUMPRODUCT(--ISNUMBER(SEARCH({"dimensional analysis","dimensionless coefficients","Π","Pi","theorem","software","design","tools","development","architecture","similar"}, LOWER(Table1938[[#This Row],[Title]]))))&gt;0</f>
        <v>1</v>
      </c>
      <c r="AA555" s="2" t="b" cm="1">
        <f t="array" ref="AA555">SUMPRODUCT(--ISNUMBER(SEARCH({"dimensional analysis","dimensionless coefficients","Π","Pi","theorem","software","design","tools","development","architecture","similar"}, LOWER(Table1938[[#This Row],[Abstract]]))))&gt;0</f>
        <v>1</v>
      </c>
      <c r="AB555" s="2" t="b">
        <f>AND(OR(Table1938[[#This Row],[IC-01 @2024]:[IC-01 @2020]])=TRUE,Table1938[[#This Row],[IC-02]]=TRUE,Table1938[[#This Row],[IC-03]]=TRUE,Table1938[[#This Row],[IC-04]]=TRUE,Table1938[[#This Row],[IC-05]]=TRUE)</f>
        <v>1</v>
      </c>
      <c r="AC555" s="2" t="b">
        <f>AND(Table1938[[#This Row],[Pass-IC]]=TRUE,Table1938[[#This Row],[Pass-EC]]=TRUE)</f>
        <v>1</v>
      </c>
      <c r="AD555" s="2" t="b">
        <f>COUNTIF($D$25:D555, Table1938[[#This Row],[Title]]) = 1</f>
        <v>1</v>
      </c>
      <c r="AE555" s="2" t="b">
        <f>AND(Table1938[[#This Row],[IC + EC]:[Unique]])</f>
        <v>1</v>
      </c>
      <c r="AF555" s="2" t="b">
        <v>1</v>
      </c>
      <c r="AG555" s="2" t="b">
        <v>0</v>
      </c>
      <c r="AH555" s="2" t="b">
        <v>0</v>
      </c>
      <c r="AI555" s="2" t="b">
        <f>IF(AND(Table1938[[#This Row],[Double Check]]=TRUE,Table1938[[#This Row],[Inspected]]=TRUE,Table1938[[#This Row],[Relevant]]=TRUE),TRUE,FALSE)</f>
        <v>0</v>
      </c>
    </row>
    <row r="556" spans="1:35" ht="57.35" x14ac:dyDescent="0.5">
      <c r="A556" s="2">
        <v>555</v>
      </c>
      <c r="B556" s="20" t="s">
        <v>3</v>
      </c>
      <c r="C556" s="20" t="s">
        <v>3842</v>
      </c>
      <c r="D556" s="20" t="s">
        <v>2122</v>
      </c>
      <c r="E556" s="20" t="s">
        <v>2121</v>
      </c>
      <c r="F556" s="2" t="s">
        <v>2124</v>
      </c>
      <c r="G556" s="20" t="s">
        <v>950</v>
      </c>
      <c r="H556" s="36">
        <v>43539</v>
      </c>
      <c r="I556" s="20">
        <v>2019</v>
      </c>
      <c r="J556" s="20" t="s">
        <v>61</v>
      </c>
      <c r="K556" s="20" t="s">
        <v>3843</v>
      </c>
      <c r="L556" s="20" t="s">
        <v>2515</v>
      </c>
      <c r="M556" s="20" t="s">
        <v>2123</v>
      </c>
      <c r="N556" s="20" t="b">
        <v>1</v>
      </c>
      <c r="O556" s="2" t="b">
        <f>IF(Table1938[[#This Row],[Title]]="",TRUE,FALSE)</f>
        <v>0</v>
      </c>
      <c r="P556" s="2" t="b">
        <f>IF(Table1938[[#This Row],[Author]]="",TRUE,FALSE)</f>
        <v>0</v>
      </c>
      <c r="Q556" s="2" t="b">
        <f>IF(Table1938[[#This Row],[DOI]]&lt;&gt;"", FALSE,TRUE)</f>
        <v>0</v>
      </c>
      <c r="R556" s="2" t="b">
        <f>IF(Table1938[[#This Row],[Abstract]]="",TRUE,FALSE)</f>
        <v>0</v>
      </c>
      <c r="S556" s="2" t="b">
        <f>IF(OR(Table1938[[#This Row],[Document Type]]="book",Table1938[[#This Row],[Document Type]]="bookSection"),TRUE,FALSE)</f>
        <v>0</v>
      </c>
      <c r="T556" s="2" t="b">
        <f>NOT(IF(OR(Table1938[[#This Row],[Language]]&lt;&gt;"en",Table1938[[#This Row],[Language]]&lt;&gt;"EN",Table1938[[#This Row],[Language]]&lt;&gt;"spa",Table1938[[#This Row],[Language]]&lt;&gt;"SPA"),TRUE,FALSE))</f>
        <v>0</v>
      </c>
      <c r="U556" s="2" t="b">
        <f>IF(AND(Table1938[[#This Row],[EC-01]]=FALSE,Table1938[[#This Row],[EC-02]]=FALSE,Table1938[[#This Row],[EC-03]]=FALSE,Table1938[[#This Row],[EC-04]]=FALSE,Table1938[[#This Row],[EC-05]]=FALSE,Table1938[[#This Row],[EC-06]]=FALSE),TRUE,FALSE)</f>
        <v>1</v>
      </c>
      <c r="V556" s="2" t="b">
        <f>IF(Table1938[[#This Row],[Date]]&lt;&gt;"",AND(YEAR(Table1938[[#This Row],[Date]])&gt;=2010, YEAR(Table1938[[#This Row],[Date]])&lt;=2024),FALSE)</f>
        <v>1</v>
      </c>
      <c r="W556" s="2" t="b">
        <f>IF(Table1938[[#This Row],[Date]]&lt;&gt;"",AND(YEAR(Table1938[[#This Row],[Date]])&gt;=2010, YEAR(Table1938[[#This Row],[Date]])&lt;=2020),FALSE)</f>
        <v>1</v>
      </c>
      <c r="X556" s="2" t="b">
        <f>IF(AND(Table1938[[#This Row],[Accesible]]=TRUE,Table1938[[#This Row],[DOI]]&lt;&gt;""),TRUE,FALSE)</f>
        <v>1</v>
      </c>
      <c r="Y556" s="2" t="b">
        <f>OR(Table1938[[#This Row],[Document Type]]="journalArticle",Table1938[[#This Row],[Document Type]]="conferencePaper",Table1938[[#This Row],[Document Type]]="review")</f>
        <v>1</v>
      </c>
      <c r="Z556" s="2" t="b" cm="1">
        <f t="array" ref="Z556">SUMPRODUCT(--ISNUMBER(SEARCH({"dimensional analysis","dimensionless coefficients","Π","Pi","theorem","software","design","tools","development","architecture","similar"}, LOWER(Table1938[[#This Row],[Title]]))))&gt;0</f>
        <v>0</v>
      </c>
      <c r="AA556" s="2" t="b" cm="1">
        <f t="array" ref="AA556">SUMPRODUCT(--ISNUMBER(SEARCH({"dimensional analysis","dimensionless coefficients","Π","Pi","theorem","software","design","tools","development","architecture","similar"}, LOWER(Table1938[[#This Row],[Abstract]]))))&gt;0</f>
        <v>1</v>
      </c>
      <c r="AB556" s="2" t="b">
        <f>AND(OR(Table1938[[#This Row],[IC-01 @2024]:[IC-01 @2020]])=TRUE,Table1938[[#This Row],[IC-02]]=TRUE,Table1938[[#This Row],[IC-03]]=TRUE,Table1938[[#This Row],[IC-04]]=TRUE,Table1938[[#This Row],[IC-05]]=TRUE)</f>
        <v>0</v>
      </c>
      <c r="AC556" s="2" t="b">
        <f>AND(Table1938[[#This Row],[Pass-IC]]=TRUE,Table1938[[#This Row],[Pass-EC]]=TRUE)</f>
        <v>0</v>
      </c>
      <c r="AD556" s="2" t="b">
        <f>COUNTIF($D$25:D556, Table1938[[#This Row],[Title]]) = 1</f>
        <v>1</v>
      </c>
      <c r="AE556" s="2" t="b">
        <f>AND(Table1938[[#This Row],[IC + EC]:[Unique]])</f>
        <v>0</v>
      </c>
      <c r="AF556" s="2" t="b">
        <v>0</v>
      </c>
      <c r="AG556" s="2" t="b">
        <v>0</v>
      </c>
      <c r="AH556" s="2" t="b">
        <v>0</v>
      </c>
      <c r="AI556" s="2" t="b">
        <f>IF(AND(Table1938[[#This Row],[Double Check]]=TRUE,Table1938[[#This Row],[Inspected]]=TRUE,Table1938[[#This Row],[Relevant]]=TRUE),TRUE,FALSE)</f>
        <v>0</v>
      </c>
    </row>
    <row r="557" spans="1:35" ht="57.35" x14ac:dyDescent="0.5">
      <c r="A557" s="39">
        <v>556</v>
      </c>
      <c r="B557" s="40" t="s">
        <v>1</v>
      </c>
      <c r="C557" s="40" t="s">
        <v>2922</v>
      </c>
      <c r="D557" s="40" t="s">
        <v>51</v>
      </c>
      <c r="E557" s="40" t="s">
        <v>640</v>
      </c>
      <c r="F557" s="2" t="s">
        <v>52</v>
      </c>
      <c r="G557" s="20" t="s">
        <v>53</v>
      </c>
      <c r="H557" s="36">
        <v>41671</v>
      </c>
      <c r="I557" s="20">
        <v>2014</v>
      </c>
      <c r="J557" s="20" t="s">
        <v>61</v>
      </c>
      <c r="K557" s="20" t="s">
        <v>2923</v>
      </c>
      <c r="L557" s="20" t="s">
        <v>2515</v>
      </c>
      <c r="M557" s="20" t="s">
        <v>54</v>
      </c>
      <c r="N557" s="20" t="b">
        <v>1</v>
      </c>
      <c r="O557" s="2" t="b">
        <f>IF(Table1938[[#This Row],[Title]]="",TRUE,FALSE)</f>
        <v>0</v>
      </c>
      <c r="P557" s="2" t="b">
        <f>IF(Table1938[[#This Row],[Author]]="",TRUE,FALSE)</f>
        <v>0</v>
      </c>
      <c r="Q557" s="2" t="b">
        <f>IF(Table1938[[#This Row],[DOI]]&lt;&gt;"", FALSE,TRUE)</f>
        <v>0</v>
      </c>
      <c r="R557" s="2" t="b">
        <f>IF(Table1938[[#This Row],[Abstract]]="",TRUE,FALSE)</f>
        <v>0</v>
      </c>
      <c r="S557" s="2" t="b">
        <f>IF(OR(Table1938[[#This Row],[Document Type]]="book",Table1938[[#This Row],[Document Type]]="bookSection"),TRUE,FALSE)</f>
        <v>0</v>
      </c>
      <c r="T557" s="2" t="b">
        <f>NOT(IF(OR(Table1938[[#This Row],[Language]]&lt;&gt;"en",Table1938[[#This Row],[Language]]&lt;&gt;"EN",Table1938[[#This Row],[Language]]&lt;&gt;"spa",Table1938[[#This Row],[Language]]&lt;&gt;"SPA"),TRUE,FALSE))</f>
        <v>0</v>
      </c>
      <c r="U557" s="2" t="b">
        <f>IF(AND(Table1938[[#This Row],[EC-01]]=FALSE,Table1938[[#This Row],[EC-02]]=FALSE,Table1938[[#This Row],[EC-03]]=FALSE,Table1938[[#This Row],[EC-04]]=FALSE,Table1938[[#This Row],[EC-05]]=FALSE,Table1938[[#This Row],[EC-06]]=FALSE),TRUE,FALSE)</f>
        <v>1</v>
      </c>
      <c r="V557" s="2" t="b">
        <f>IF(Table1938[[#This Row],[Date]]&lt;&gt;"",AND(YEAR(Table1938[[#This Row],[Date]])&gt;=2010, YEAR(Table1938[[#This Row],[Date]])&lt;=2024),FALSE)</f>
        <v>1</v>
      </c>
      <c r="W557" s="2" t="b">
        <f>IF(Table1938[[#This Row],[Date]]&lt;&gt;"",AND(YEAR(Table1938[[#This Row],[Date]])&gt;=2010, YEAR(Table1938[[#This Row],[Date]])&lt;=2020),FALSE)</f>
        <v>1</v>
      </c>
      <c r="X557" s="2" t="b">
        <f>IF(AND(Table1938[[#This Row],[Accesible]]=TRUE,Table1938[[#This Row],[DOI]]&lt;&gt;""),TRUE,FALSE)</f>
        <v>1</v>
      </c>
      <c r="Y557" s="2" t="b">
        <f>OR(Table1938[[#This Row],[Document Type]]="journalArticle",Table1938[[#This Row],[Document Type]]="conferencePaper",Table1938[[#This Row],[Document Type]]="review")</f>
        <v>1</v>
      </c>
      <c r="Z557" s="2" t="b" cm="1">
        <f t="array" ref="Z557">SUMPRODUCT(--ISNUMBER(SEARCH({"dimensional analysis","dimensionless coefficients","Π","Pi","theorem","software","design","tools","development","architecture","similar"}, LOWER(Table1938[[#This Row],[Title]]))))&gt;0</f>
        <v>1</v>
      </c>
      <c r="AA557" s="2" t="b" cm="1">
        <f t="array" ref="AA557">SUMPRODUCT(--ISNUMBER(SEARCH({"dimensional analysis","dimensionless coefficients","Π","Pi","theorem","software","design","tools","development","architecture","similar"}, LOWER(Table1938[[#This Row],[Abstract]]))))&gt;0</f>
        <v>1</v>
      </c>
      <c r="AB557" s="2" t="b">
        <f>AND(OR(Table1938[[#This Row],[IC-01 @2024]:[IC-01 @2020]])=TRUE,Table1938[[#This Row],[IC-02]]=TRUE,Table1938[[#This Row],[IC-03]]=TRUE,Table1938[[#This Row],[IC-04]]=TRUE,Table1938[[#This Row],[IC-05]]=TRUE)</f>
        <v>1</v>
      </c>
      <c r="AC557" s="2" t="b">
        <f>AND(Table1938[[#This Row],[Pass-IC]]=TRUE,Table1938[[#This Row],[Pass-EC]]=TRUE)</f>
        <v>1</v>
      </c>
      <c r="AD557" s="2" t="b">
        <f>COUNTIF($D$25:D557, Table1938[[#This Row],[Title]]) = 1</f>
        <v>0</v>
      </c>
      <c r="AE557" s="2" t="b">
        <f>AND(Table1938[[#This Row],[IC + EC]:[Unique]])</f>
        <v>0</v>
      </c>
      <c r="AF557" s="2" t="b">
        <v>0</v>
      </c>
      <c r="AG557" s="2" t="b">
        <v>0</v>
      </c>
      <c r="AH557" s="2" t="b">
        <v>0</v>
      </c>
      <c r="AI557" s="2" t="b">
        <f>IF(AND(Table1938[[#This Row],[Double Check]]=TRUE,Table1938[[#This Row],[Inspected]]=TRUE,Table1938[[#This Row],[Relevant]]=TRUE),TRUE,FALSE)</f>
        <v>0</v>
      </c>
    </row>
    <row r="558" spans="1:35" ht="86" x14ac:dyDescent="0.5">
      <c r="A558" s="2">
        <v>557</v>
      </c>
      <c r="B558" s="20" t="s">
        <v>1</v>
      </c>
      <c r="C558" s="20" t="s">
        <v>2621</v>
      </c>
      <c r="D558" s="20" t="s">
        <v>131</v>
      </c>
      <c r="E558" s="20" t="s">
        <v>641</v>
      </c>
      <c r="F558" s="2" t="s">
        <v>301</v>
      </c>
      <c r="G558" s="20" t="s">
        <v>132</v>
      </c>
      <c r="H558" s="36">
        <v>44075</v>
      </c>
      <c r="I558" s="20">
        <v>2020</v>
      </c>
      <c r="J558" s="20" t="s">
        <v>61</v>
      </c>
      <c r="K558" s="20" t="s">
        <v>2622</v>
      </c>
      <c r="L558" s="20" t="s">
        <v>642</v>
      </c>
      <c r="M558" s="20" t="s">
        <v>133</v>
      </c>
      <c r="N558" s="20" t="b">
        <v>1</v>
      </c>
      <c r="O558" s="2" t="b">
        <f>IF(Table1938[[#This Row],[Title]]="",TRUE,FALSE)</f>
        <v>0</v>
      </c>
      <c r="P558" s="2" t="b">
        <f>IF(Table1938[[#This Row],[Author]]="",TRUE,FALSE)</f>
        <v>0</v>
      </c>
      <c r="Q558" s="2" t="b">
        <f>IF(Table1938[[#This Row],[DOI]]&lt;&gt;"", FALSE,TRUE)</f>
        <v>0</v>
      </c>
      <c r="R558" s="2" t="b">
        <f>IF(Table1938[[#This Row],[Abstract]]="",TRUE,FALSE)</f>
        <v>0</v>
      </c>
      <c r="S558" s="2" t="b">
        <f>IF(OR(Table1938[[#This Row],[Document Type]]="book",Table1938[[#This Row],[Document Type]]="bookSection"),TRUE,FALSE)</f>
        <v>0</v>
      </c>
      <c r="T558" s="2" t="b">
        <f>NOT(IF(OR(Table1938[[#This Row],[Language]]&lt;&gt;"en",Table1938[[#This Row],[Language]]&lt;&gt;"EN",Table1938[[#This Row],[Language]]&lt;&gt;"spa",Table1938[[#This Row],[Language]]&lt;&gt;"SPA"),TRUE,FALSE))</f>
        <v>0</v>
      </c>
      <c r="U558" s="2" t="b">
        <f>IF(AND(Table1938[[#This Row],[EC-01]]=FALSE,Table1938[[#This Row],[EC-02]]=FALSE,Table1938[[#This Row],[EC-03]]=FALSE,Table1938[[#This Row],[EC-04]]=FALSE,Table1938[[#This Row],[EC-05]]=FALSE,Table1938[[#This Row],[EC-06]]=FALSE),TRUE,FALSE)</f>
        <v>1</v>
      </c>
      <c r="V558" s="2" t="b">
        <f>IF(Table1938[[#This Row],[Date]]&lt;&gt;"",AND(YEAR(Table1938[[#This Row],[Date]])&gt;=2010, YEAR(Table1938[[#This Row],[Date]])&lt;=2024),FALSE)</f>
        <v>1</v>
      </c>
      <c r="W558" s="2" t="b">
        <f>IF(Table1938[[#This Row],[Date]]&lt;&gt;"",AND(YEAR(Table1938[[#This Row],[Date]])&gt;=2010, YEAR(Table1938[[#This Row],[Date]])&lt;=2020),FALSE)</f>
        <v>1</v>
      </c>
      <c r="X558" s="2" t="b">
        <f>IF(AND(Table1938[[#This Row],[Accesible]]=TRUE,Table1938[[#This Row],[DOI]]&lt;&gt;""),TRUE,FALSE)</f>
        <v>1</v>
      </c>
      <c r="Y558" s="2" t="b">
        <f>OR(Table1938[[#This Row],[Document Type]]="journalArticle",Table1938[[#This Row],[Document Type]]="conferencePaper",Table1938[[#This Row],[Document Type]]="review")</f>
        <v>1</v>
      </c>
      <c r="Z558" s="2" t="b" cm="1">
        <f t="array" ref="Z558">SUMPRODUCT(--ISNUMBER(SEARCH({"dimensional analysis","dimensionless coefficients","Π","Pi","theorem","software","design","tools","development","architecture","similar"}, LOWER(Table1938[[#This Row],[Title]]))))&gt;0</f>
        <v>1</v>
      </c>
      <c r="AA558" s="2" t="b" cm="1">
        <f t="array" ref="AA558">SUMPRODUCT(--ISNUMBER(SEARCH({"dimensional analysis","dimensionless coefficients","Π","Pi","theorem","software","design","tools","development","architecture","similar"}, LOWER(Table1938[[#This Row],[Abstract]]))))&gt;0</f>
        <v>1</v>
      </c>
      <c r="AB558" s="2" t="b">
        <f>AND(OR(Table1938[[#This Row],[IC-01 @2024]:[IC-01 @2020]])=TRUE,Table1938[[#This Row],[IC-02]]=TRUE,Table1938[[#This Row],[IC-03]]=TRUE,Table1938[[#This Row],[IC-04]]=TRUE,Table1938[[#This Row],[IC-05]]=TRUE)</f>
        <v>1</v>
      </c>
      <c r="AC558" s="2" t="b">
        <f>AND(Table1938[[#This Row],[Pass-IC]]=TRUE,Table1938[[#This Row],[Pass-EC]]=TRUE)</f>
        <v>1</v>
      </c>
      <c r="AD558" s="2" t="b">
        <f>COUNTIF($D$25:D558, Table1938[[#This Row],[Title]]) = 1</f>
        <v>0</v>
      </c>
      <c r="AE558" s="2" t="b">
        <f>AND(Table1938[[#This Row],[IC + EC]:[Unique]])</f>
        <v>0</v>
      </c>
      <c r="AF558" s="2" t="b">
        <v>0</v>
      </c>
      <c r="AG558" s="2" t="b">
        <v>0</v>
      </c>
      <c r="AH558" s="2" t="b">
        <v>0</v>
      </c>
      <c r="AI558" s="2" t="b">
        <f>IF(AND(Table1938[[#This Row],[Double Check]]=TRUE,Table1938[[#This Row],[Inspected]]=TRUE,Table1938[[#This Row],[Relevant]]=TRUE),TRUE,FALSE)</f>
        <v>0</v>
      </c>
    </row>
    <row r="559" spans="1:35" ht="57.35" x14ac:dyDescent="0.5">
      <c r="A559" s="2">
        <v>558</v>
      </c>
      <c r="B559" s="20" t="s">
        <v>1</v>
      </c>
      <c r="C559" s="20" t="s">
        <v>3265</v>
      </c>
      <c r="D559" s="20" t="s">
        <v>156</v>
      </c>
      <c r="E559" s="20" t="s">
        <v>643</v>
      </c>
      <c r="F559" s="2" t="s">
        <v>258</v>
      </c>
      <c r="G559" s="20" t="s">
        <v>157</v>
      </c>
      <c r="H559" s="36">
        <v>42614</v>
      </c>
      <c r="I559" s="20">
        <v>2016</v>
      </c>
      <c r="J559" s="20" t="s">
        <v>61</v>
      </c>
      <c r="K559" s="20" t="s">
        <v>3266</v>
      </c>
      <c r="L559" s="20" t="s">
        <v>642</v>
      </c>
      <c r="M559" s="20" t="s">
        <v>158</v>
      </c>
      <c r="N559" s="20" t="b">
        <v>1</v>
      </c>
      <c r="O559" s="2" t="b">
        <f>IF(Table1938[[#This Row],[Title]]="",TRUE,FALSE)</f>
        <v>0</v>
      </c>
      <c r="P559" s="2" t="b">
        <f>IF(Table1938[[#This Row],[Author]]="",TRUE,FALSE)</f>
        <v>0</v>
      </c>
      <c r="Q559" s="2" t="b">
        <f>IF(Table1938[[#This Row],[DOI]]&lt;&gt;"", FALSE,TRUE)</f>
        <v>0</v>
      </c>
      <c r="R559" s="2" t="b">
        <f>IF(Table1938[[#This Row],[Abstract]]="",TRUE,FALSE)</f>
        <v>0</v>
      </c>
      <c r="S559" s="2" t="b">
        <f>IF(OR(Table1938[[#This Row],[Document Type]]="book",Table1938[[#This Row],[Document Type]]="bookSection"),TRUE,FALSE)</f>
        <v>0</v>
      </c>
      <c r="T559" s="2" t="b">
        <f>NOT(IF(OR(Table1938[[#This Row],[Language]]&lt;&gt;"en",Table1938[[#This Row],[Language]]&lt;&gt;"EN",Table1938[[#This Row],[Language]]&lt;&gt;"spa",Table1938[[#This Row],[Language]]&lt;&gt;"SPA"),TRUE,FALSE))</f>
        <v>0</v>
      </c>
      <c r="U559" s="2" t="b">
        <f>IF(AND(Table1938[[#This Row],[EC-01]]=FALSE,Table1938[[#This Row],[EC-02]]=FALSE,Table1938[[#This Row],[EC-03]]=FALSE,Table1938[[#This Row],[EC-04]]=FALSE,Table1938[[#This Row],[EC-05]]=FALSE,Table1938[[#This Row],[EC-06]]=FALSE),TRUE,FALSE)</f>
        <v>1</v>
      </c>
      <c r="V559" s="2" t="b">
        <f>IF(Table1938[[#This Row],[Date]]&lt;&gt;"",AND(YEAR(Table1938[[#This Row],[Date]])&gt;=2010, YEAR(Table1938[[#This Row],[Date]])&lt;=2024),FALSE)</f>
        <v>1</v>
      </c>
      <c r="W559" s="2" t="b">
        <f>IF(Table1938[[#This Row],[Date]]&lt;&gt;"",AND(YEAR(Table1938[[#This Row],[Date]])&gt;=2010, YEAR(Table1938[[#This Row],[Date]])&lt;=2020),FALSE)</f>
        <v>1</v>
      </c>
      <c r="X559" s="2" t="b">
        <f>IF(AND(Table1938[[#This Row],[Accesible]]=TRUE,Table1938[[#This Row],[DOI]]&lt;&gt;""),TRUE,FALSE)</f>
        <v>1</v>
      </c>
      <c r="Y559" s="2" t="b">
        <f>OR(Table1938[[#This Row],[Document Type]]="journalArticle",Table1938[[#This Row],[Document Type]]="conferencePaper",Table1938[[#This Row],[Document Type]]="review")</f>
        <v>1</v>
      </c>
      <c r="Z559" s="2" t="b" cm="1">
        <f t="array" ref="Z559">SUMPRODUCT(--ISNUMBER(SEARCH({"dimensional analysis","dimensionless coefficients","Π","Pi","theorem","software","design","tools","development","architecture","similar"}, LOWER(Table1938[[#This Row],[Title]]))))&gt;0</f>
        <v>1</v>
      </c>
      <c r="AA559" s="2" t="b" cm="1">
        <f t="array" ref="AA559">SUMPRODUCT(--ISNUMBER(SEARCH({"dimensional analysis","dimensionless coefficients","Π","Pi","theorem","software","design","tools","development","architecture","similar"}, LOWER(Table1938[[#This Row],[Abstract]]))))&gt;0</f>
        <v>1</v>
      </c>
      <c r="AB559" s="2" t="b">
        <f>AND(OR(Table1938[[#This Row],[IC-01 @2024]:[IC-01 @2020]])=TRUE,Table1938[[#This Row],[IC-02]]=TRUE,Table1938[[#This Row],[IC-03]]=TRUE,Table1938[[#This Row],[IC-04]]=TRUE,Table1938[[#This Row],[IC-05]]=TRUE)</f>
        <v>1</v>
      </c>
      <c r="AC559" s="2" t="b">
        <f>AND(Table1938[[#This Row],[Pass-IC]]=TRUE,Table1938[[#This Row],[Pass-EC]]=TRUE)</f>
        <v>1</v>
      </c>
      <c r="AD559" s="2" t="b">
        <f>COUNTIF($D$25:D559, Table1938[[#This Row],[Title]]) = 1</f>
        <v>1</v>
      </c>
      <c r="AE559" s="2" t="b">
        <f>AND(Table1938[[#This Row],[IC + EC]:[Unique]])</f>
        <v>1</v>
      </c>
      <c r="AF559" s="2" t="b">
        <v>1</v>
      </c>
      <c r="AG559" s="2" t="b">
        <v>0</v>
      </c>
      <c r="AH559" s="2" t="b">
        <v>0</v>
      </c>
      <c r="AI559" s="2" t="b">
        <f>IF(AND(Table1938[[#This Row],[Double Check]]=TRUE,Table1938[[#This Row],[Inspected]]=TRUE,Table1938[[#This Row],[Relevant]]=TRUE),TRUE,FALSE)</f>
        <v>0</v>
      </c>
    </row>
    <row r="560" spans="1:35" ht="57.35" x14ac:dyDescent="0.5">
      <c r="A560" s="2">
        <v>559</v>
      </c>
      <c r="B560" s="20" t="s">
        <v>1</v>
      </c>
      <c r="C560" s="20" t="s">
        <v>2521</v>
      </c>
      <c r="D560" s="20" t="s">
        <v>645</v>
      </c>
      <c r="E560" s="20" t="s">
        <v>644</v>
      </c>
      <c r="F560" s="2" t="s">
        <v>300</v>
      </c>
      <c r="G560" s="20" t="s">
        <v>169</v>
      </c>
      <c r="H560" s="36">
        <v>40544</v>
      </c>
      <c r="I560" s="20">
        <v>2011</v>
      </c>
      <c r="J560" s="20" t="s">
        <v>61</v>
      </c>
      <c r="K560" s="20" t="s">
        <v>2522</v>
      </c>
      <c r="L560" s="20" t="s">
        <v>642</v>
      </c>
      <c r="M560" s="20" t="s">
        <v>170</v>
      </c>
      <c r="N560" s="20" t="b">
        <v>1</v>
      </c>
      <c r="O560" s="2" t="b">
        <f>IF(Table1938[[#This Row],[Title]]="",TRUE,FALSE)</f>
        <v>0</v>
      </c>
      <c r="P560" s="2" t="b">
        <f>IF(Table1938[[#This Row],[Author]]="",TRUE,FALSE)</f>
        <v>0</v>
      </c>
      <c r="Q560" s="2" t="b">
        <f>IF(Table1938[[#This Row],[DOI]]&lt;&gt;"", FALSE,TRUE)</f>
        <v>0</v>
      </c>
      <c r="R560" s="2" t="b">
        <f>IF(Table1938[[#This Row],[Abstract]]="",TRUE,FALSE)</f>
        <v>0</v>
      </c>
      <c r="S560" s="2" t="b">
        <f>IF(OR(Table1938[[#This Row],[Document Type]]="book",Table1938[[#This Row],[Document Type]]="bookSection"),TRUE,FALSE)</f>
        <v>0</v>
      </c>
      <c r="T560" s="2" t="b">
        <f>NOT(IF(OR(Table1938[[#This Row],[Language]]&lt;&gt;"en",Table1938[[#This Row],[Language]]&lt;&gt;"EN",Table1938[[#This Row],[Language]]&lt;&gt;"spa",Table1938[[#This Row],[Language]]&lt;&gt;"SPA"),TRUE,FALSE))</f>
        <v>0</v>
      </c>
      <c r="U560" s="2" t="b">
        <f>IF(AND(Table1938[[#This Row],[EC-01]]=FALSE,Table1938[[#This Row],[EC-02]]=FALSE,Table1938[[#This Row],[EC-03]]=FALSE,Table1938[[#This Row],[EC-04]]=FALSE,Table1938[[#This Row],[EC-05]]=FALSE,Table1938[[#This Row],[EC-06]]=FALSE),TRUE,FALSE)</f>
        <v>1</v>
      </c>
      <c r="V560" s="2" t="b">
        <f>IF(Table1938[[#This Row],[Date]]&lt;&gt;"",AND(YEAR(Table1938[[#This Row],[Date]])&gt;=2010, YEAR(Table1938[[#This Row],[Date]])&lt;=2024),FALSE)</f>
        <v>1</v>
      </c>
      <c r="W560" s="2" t="b">
        <f>IF(Table1938[[#This Row],[Date]]&lt;&gt;"",AND(YEAR(Table1938[[#This Row],[Date]])&gt;=2010, YEAR(Table1938[[#This Row],[Date]])&lt;=2020),FALSE)</f>
        <v>1</v>
      </c>
      <c r="X560" s="2" t="b">
        <f>IF(AND(Table1938[[#This Row],[Accesible]]=TRUE,Table1938[[#This Row],[DOI]]&lt;&gt;""),TRUE,FALSE)</f>
        <v>1</v>
      </c>
      <c r="Y560" s="2" t="b">
        <f>OR(Table1938[[#This Row],[Document Type]]="journalArticle",Table1938[[#This Row],[Document Type]]="conferencePaper",Table1938[[#This Row],[Document Type]]="review")</f>
        <v>1</v>
      </c>
      <c r="Z560" s="2" t="b" cm="1">
        <f t="array" ref="Z560">SUMPRODUCT(--ISNUMBER(SEARCH({"dimensional analysis","dimensionless coefficients","Π","Pi","theorem","software","design","tools","development","architecture","similar"}, LOWER(Table1938[[#This Row],[Title]]))))&gt;0</f>
        <v>0</v>
      </c>
      <c r="AA560" s="2" t="b" cm="1">
        <f t="array" ref="AA560">SUMPRODUCT(--ISNUMBER(SEARCH({"dimensional analysis","dimensionless coefficients","Π","Pi","theorem","software","design","tools","development","architecture","similar"}, LOWER(Table1938[[#This Row],[Abstract]]))))&gt;0</f>
        <v>1</v>
      </c>
      <c r="AB560" s="2" t="b">
        <f>AND(OR(Table1938[[#This Row],[IC-01 @2024]:[IC-01 @2020]])=TRUE,Table1938[[#This Row],[IC-02]]=TRUE,Table1938[[#This Row],[IC-03]]=TRUE,Table1938[[#This Row],[IC-04]]=TRUE,Table1938[[#This Row],[IC-05]]=TRUE)</f>
        <v>0</v>
      </c>
      <c r="AC560" s="2" t="b">
        <f>AND(Table1938[[#This Row],[Pass-IC]]=TRUE,Table1938[[#This Row],[Pass-EC]]=TRUE)</f>
        <v>0</v>
      </c>
      <c r="AD560" s="2" t="b">
        <f>COUNTIF($D$25:D560, Table1938[[#This Row],[Title]]) = 1</f>
        <v>1</v>
      </c>
      <c r="AE560" s="2" t="b">
        <f>AND(Table1938[[#This Row],[IC + EC]:[Unique]])</f>
        <v>0</v>
      </c>
      <c r="AF560" s="2" t="b">
        <v>0</v>
      </c>
      <c r="AG560" s="2" t="b">
        <v>0</v>
      </c>
      <c r="AH560" s="2" t="b">
        <v>0</v>
      </c>
      <c r="AI560" s="2" t="b">
        <f>IF(AND(Table1938[[#This Row],[Double Check]]=TRUE,Table1938[[#This Row],[Inspected]]=TRUE,Table1938[[#This Row],[Relevant]]=TRUE),TRUE,FALSE)</f>
        <v>0</v>
      </c>
    </row>
    <row r="561" spans="1:35" ht="57.35" x14ac:dyDescent="0.5">
      <c r="A561" s="2">
        <v>560</v>
      </c>
      <c r="B561" s="20" t="s">
        <v>1</v>
      </c>
      <c r="C561" s="20" t="s">
        <v>3267</v>
      </c>
      <c r="D561" s="20" t="s">
        <v>179</v>
      </c>
      <c r="E561" s="20" t="s">
        <v>646</v>
      </c>
      <c r="F561" s="2" t="s">
        <v>196</v>
      </c>
      <c r="G561" s="20" t="s">
        <v>180</v>
      </c>
      <c r="H561" s="36">
        <v>44531</v>
      </c>
      <c r="I561" s="20">
        <v>2021</v>
      </c>
      <c r="J561" s="20" t="s">
        <v>61</v>
      </c>
      <c r="K561" s="20" t="s">
        <v>3268</v>
      </c>
      <c r="L561" s="20" t="s">
        <v>642</v>
      </c>
      <c r="M561" s="20" t="s">
        <v>181</v>
      </c>
      <c r="N561" s="20" t="b">
        <v>1</v>
      </c>
      <c r="O561" s="2" t="b">
        <f>IF(Table1938[[#This Row],[Title]]="",TRUE,FALSE)</f>
        <v>0</v>
      </c>
      <c r="P561" s="2" t="b">
        <f>IF(Table1938[[#This Row],[Author]]="",TRUE,FALSE)</f>
        <v>0</v>
      </c>
      <c r="Q561" s="2" t="b">
        <f>IF(Table1938[[#This Row],[DOI]]&lt;&gt;"", FALSE,TRUE)</f>
        <v>0</v>
      </c>
      <c r="R561" s="2" t="b">
        <f>IF(Table1938[[#This Row],[Abstract]]="",TRUE,FALSE)</f>
        <v>0</v>
      </c>
      <c r="S561" s="2" t="b">
        <f>IF(OR(Table1938[[#This Row],[Document Type]]="book",Table1938[[#This Row],[Document Type]]="bookSection"),TRUE,FALSE)</f>
        <v>0</v>
      </c>
      <c r="T561" s="2" t="b">
        <f>NOT(IF(OR(Table1938[[#This Row],[Language]]&lt;&gt;"en",Table1938[[#This Row],[Language]]&lt;&gt;"EN",Table1938[[#This Row],[Language]]&lt;&gt;"spa",Table1938[[#This Row],[Language]]&lt;&gt;"SPA"),TRUE,FALSE))</f>
        <v>0</v>
      </c>
      <c r="U561" s="2" t="b">
        <f>IF(AND(Table1938[[#This Row],[EC-01]]=FALSE,Table1938[[#This Row],[EC-02]]=FALSE,Table1938[[#This Row],[EC-03]]=FALSE,Table1938[[#This Row],[EC-04]]=FALSE,Table1938[[#This Row],[EC-05]]=FALSE,Table1938[[#This Row],[EC-06]]=FALSE),TRUE,FALSE)</f>
        <v>1</v>
      </c>
      <c r="V561" s="2" t="b">
        <f>IF(Table1938[[#This Row],[Date]]&lt;&gt;"",AND(YEAR(Table1938[[#This Row],[Date]])&gt;=2010, YEAR(Table1938[[#This Row],[Date]])&lt;=2024),FALSE)</f>
        <v>1</v>
      </c>
      <c r="W561" s="2" t="b">
        <f>IF(Table1938[[#This Row],[Date]]&lt;&gt;"",AND(YEAR(Table1938[[#This Row],[Date]])&gt;=2010, YEAR(Table1938[[#This Row],[Date]])&lt;=2020),FALSE)</f>
        <v>0</v>
      </c>
      <c r="X561" s="2" t="b">
        <f>IF(AND(Table1938[[#This Row],[Accesible]]=TRUE,Table1938[[#This Row],[DOI]]&lt;&gt;""),TRUE,FALSE)</f>
        <v>1</v>
      </c>
      <c r="Y561" s="2" t="b">
        <f>OR(Table1938[[#This Row],[Document Type]]="journalArticle",Table1938[[#This Row],[Document Type]]="conferencePaper",Table1938[[#This Row],[Document Type]]="review")</f>
        <v>1</v>
      </c>
      <c r="Z561" s="2" t="b" cm="1">
        <f t="array" ref="Z561">SUMPRODUCT(--ISNUMBER(SEARCH({"dimensional analysis","dimensionless coefficients","Π","Pi","theorem","software","design","tools","development","architecture","similar"}, LOWER(Table1938[[#This Row],[Title]]))))&gt;0</f>
        <v>0</v>
      </c>
      <c r="AA561" s="2" t="b" cm="1">
        <f t="array" ref="AA561">SUMPRODUCT(--ISNUMBER(SEARCH({"dimensional analysis","dimensionless coefficients","Π","Pi","theorem","software","design","tools","development","architecture","similar"}, LOWER(Table1938[[#This Row],[Abstract]]))))&gt;0</f>
        <v>1</v>
      </c>
      <c r="AB561" s="2" t="b">
        <f>AND(OR(Table1938[[#This Row],[IC-01 @2024]:[IC-01 @2020]])=TRUE,Table1938[[#This Row],[IC-02]]=TRUE,Table1938[[#This Row],[IC-03]]=TRUE,Table1938[[#This Row],[IC-04]]=TRUE,Table1938[[#This Row],[IC-05]]=TRUE)</f>
        <v>0</v>
      </c>
      <c r="AC561" s="2" t="b">
        <f>AND(Table1938[[#This Row],[Pass-IC]]=TRUE,Table1938[[#This Row],[Pass-EC]]=TRUE)</f>
        <v>0</v>
      </c>
      <c r="AD561" s="2" t="b">
        <f>COUNTIF($D$25:D561, Table1938[[#This Row],[Title]]) = 1</f>
        <v>1</v>
      </c>
      <c r="AE561" s="2" t="b">
        <f>AND(Table1938[[#This Row],[IC + EC]:[Unique]])</f>
        <v>0</v>
      </c>
      <c r="AF561" s="2" t="b">
        <v>0</v>
      </c>
      <c r="AG561" s="2" t="b">
        <v>0</v>
      </c>
      <c r="AH561" s="2" t="b">
        <v>0</v>
      </c>
      <c r="AI561" s="2" t="b">
        <f>IF(AND(Table1938[[#This Row],[Double Check]]=TRUE,Table1938[[#This Row],[Inspected]]=TRUE,Table1938[[#This Row],[Relevant]]=TRUE),TRUE,FALSE)</f>
        <v>0</v>
      </c>
    </row>
    <row r="562" spans="1:35" ht="43" x14ac:dyDescent="0.5">
      <c r="A562" s="2">
        <v>561</v>
      </c>
      <c r="B562" s="20" t="s">
        <v>1</v>
      </c>
      <c r="C562" s="20" t="s">
        <v>3269</v>
      </c>
      <c r="D562" s="20" t="s">
        <v>187</v>
      </c>
      <c r="E562" s="20" t="s">
        <v>647</v>
      </c>
      <c r="F562" s="2" t="s">
        <v>298</v>
      </c>
      <c r="G562" s="20" t="s">
        <v>188</v>
      </c>
      <c r="H562" s="36">
        <v>40768</v>
      </c>
      <c r="I562" s="20">
        <v>2011</v>
      </c>
      <c r="J562" s="20" t="s">
        <v>61</v>
      </c>
      <c r="K562" s="20" t="s">
        <v>3270</v>
      </c>
      <c r="L562" s="20" t="s">
        <v>642</v>
      </c>
      <c r="M562" s="20" t="s">
        <v>189</v>
      </c>
      <c r="N562" s="20" t="b">
        <v>1</v>
      </c>
      <c r="O562" s="2" t="b">
        <f>IF(Table1938[[#This Row],[Title]]="",TRUE,FALSE)</f>
        <v>0</v>
      </c>
      <c r="P562" s="2" t="b">
        <f>IF(Table1938[[#This Row],[Author]]="",TRUE,FALSE)</f>
        <v>0</v>
      </c>
      <c r="Q562" s="2" t="b">
        <f>IF(Table1938[[#This Row],[DOI]]&lt;&gt;"", FALSE,TRUE)</f>
        <v>0</v>
      </c>
      <c r="R562" s="2" t="b">
        <f>IF(Table1938[[#This Row],[Abstract]]="",TRUE,FALSE)</f>
        <v>0</v>
      </c>
      <c r="S562" s="2" t="b">
        <f>IF(OR(Table1938[[#This Row],[Document Type]]="book",Table1938[[#This Row],[Document Type]]="bookSection"),TRUE,FALSE)</f>
        <v>0</v>
      </c>
      <c r="T562" s="2" t="b">
        <f>NOT(IF(OR(Table1938[[#This Row],[Language]]&lt;&gt;"en",Table1938[[#This Row],[Language]]&lt;&gt;"EN",Table1938[[#This Row],[Language]]&lt;&gt;"spa",Table1938[[#This Row],[Language]]&lt;&gt;"SPA"),TRUE,FALSE))</f>
        <v>0</v>
      </c>
      <c r="U562" s="2" t="b">
        <f>IF(AND(Table1938[[#This Row],[EC-01]]=FALSE,Table1938[[#This Row],[EC-02]]=FALSE,Table1938[[#This Row],[EC-03]]=FALSE,Table1938[[#This Row],[EC-04]]=FALSE,Table1938[[#This Row],[EC-05]]=FALSE,Table1938[[#This Row],[EC-06]]=FALSE),TRUE,FALSE)</f>
        <v>1</v>
      </c>
      <c r="V562" s="2" t="b">
        <f>IF(Table1938[[#This Row],[Date]]&lt;&gt;"",AND(YEAR(Table1938[[#This Row],[Date]])&gt;=2010, YEAR(Table1938[[#This Row],[Date]])&lt;=2024),FALSE)</f>
        <v>1</v>
      </c>
      <c r="W562" s="2" t="b">
        <f>IF(Table1938[[#This Row],[Date]]&lt;&gt;"",AND(YEAR(Table1938[[#This Row],[Date]])&gt;=2010, YEAR(Table1938[[#This Row],[Date]])&lt;=2020),FALSE)</f>
        <v>1</v>
      </c>
      <c r="X562" s="2" t="b">
        <f>IF(AND(Table1938[[#This Row],[Accesible]]=TRUE,Table1938[[#This Row],[DOI]]&lt;&gt;""),TRUE,FALSE)</f>
        <v>1</v>
      </c>
      <c r="Y562" s="2" t="b">
        <f>OR(Table1938[[#This Row],[Document Type]]="journalArticle",Table1938[[#This Row],[Document Type]]="conferencePaper",Table1938[[#This Row],[Document Type]]="review")</f>
        <v>1</v>
      </c>
      <c r="Z562" s="2" t="b" cm="1">
        <f t="array" ref="Z562">SUMPRODUCT(--ISNUMBER(SEARCH({"dimensional analysis","dimensionless coefficients","Π","Pi","theorem","software","design","tools","development","architecture","similar"}, LOWER(Table1938[[#This Row],[Title]]))))&gt;0</f>
        <v>0</v>
      </c>
      <c r="AA562" s="2" t="b" cm="1">
        <f t="array" ref="AA562">SUMPRODUCT(--ISNUMBER(SEARCH({"dimensional analysis","dimensionless coefficients","Π","Pi","theorem","software","design","tools","development","architecture","similar"}, LOWER(Table1938[[#This Row],[Abstract]]))))&gt;0</f>
        <v>0</v>
      </c>
      <c r="AB562" s="2" t="b">
        <f>AND(OR(Table1938[[#This Row],[IC-01 @2024]:[IC-01 @2020]])=TRUE,Table1938[[#This Row],[IC-02]]=TRUE,Table1938[[#This Row],[IC-03]]=TRUE,Table1938[[#This Row],[IC-04]]=TRUE,Table1938[[#This Row],[IC-05]]=TRUE)</f>
        <v>0</v>
      </c>
      <c r="AC562" s="2" t="b">
        <f>AND(Table1938[[#This Row],[Pass-IC]]=TRUE,Table1938[[#This Row],[Pass-EC]]=TRUE)</f>
        <v>0</v>
      </c>
      <c r="AD562" s="2" t="b">
        <f>COUNTIF($D$25:D562, Table1938[[#This Row],[Title]]) = 1</f>
        <v>1</v>
      </c>
      <c r="AE562" s="2" t="b">
        <f>AND(Table1938[[#This Row],[IC + EC]:[Unique]])</f>
        <v>0</v>
      </c>
      <c r="AF562" s="2" t="b">
        <v>0</v>
      </c>
      <c r="AG562" s="2" t="b">
        <v>0</v>
      </c>
      <c r="AH562" s="2" t="b">
        <v>0</v>
      </c>
      <c r="AI562" s="2" t="b">
        <f>IF(AND(Table1938[[#This Row],[Double Check]]=TRUE,Table1938[[#This Row],[Inspected]]=TRUE,Table1938[[#This Row],[Relevant]]=TRUE),TRUE,FALSE)</f>
        <v>0</v>
      </c>
    </row>
    <row r="563" spans="1:35" ht="43" x14ac:dyDescent="0.5">
      <c r="A563" s="2">
        <v>562</v>
      </c>
      <c r="B563" s="20" t="s">
        <v>1</v>
      </c>
      <c r="C563" s="20" t="s">
        <v>2637</v>
      </c>
      <c r="D563" s="20" t="s">
        <v>190</v>
      </c>
      <c r="E563" s="20" t="s">
        <v>648</v>
      </c>
      <c r="F563" s="2" t="s">
        <v>297</v>
      </c>
      <c r="G563" s="20" t="s">
        <v>191</v>
      </c>
      <c r="H563" s="36">
        <v>41699</v>
      </c>
      <c r="I563" s="20">
        <v>2014</v>
      </c>
      <c r="J563" s="20" t="s">
        <v>61</v>
      </c>
      <c r="K563" s="20" t="s">
        <v>2638</v>
      </c>
      <c r="L563" s="20" t="s">
        <v>642</v>
      </c>
      <c r="M563" s="20" t="s">
        <v>192</v>
      </c>
      <c r="N563" s="20" t="b">
        <v>1</v>
      </c>
      <c r="O563" s="2" t="b">
        <f>IF(Table1938[[#This Row],[Title]]="",TRUE,FALSE)</f>
        <v>0</v>
      </c>
      <c r="P563" s="2" t="b">
        <f>IF(Table1938[[#This Row],[Author]]="",TRUE,FALSE)</f>
        <v>0</v>
      </c>
      <c r="Q563" s="2" t="b">
        <f>IF(Table1938[[#This Row],[DOI]]&lt;&gt;"", FALSE,TRUE)</f>
        <v>0</v>
      </c>
      <c r="R563" s="2" t="b">
        <f>IF(Table1938[[#This Row],[Abstract]]="",TRUE,FALSE)</f>
        <v>0</v>
      </c>
      <c r="S563" s="2" t="b">
        <f>IF(OR(Table1938[[#This Row],[Document Type]]="book",Table1938[[#This Row],[Document Type]]="bookSection"),TRUE,FALSE)</f>
        <v>0</v>
      </c>
      <c r="T563" s="2" t="b">
        <f>NOT(IF(OR(Table1938[[#This Row],[Language]]&lt;&gt;"en",Table1938[[#This Row],[Language]]&lt;&gt;"EN",Table1938[[#This Row],[Language]]&lt;&gt;"spa",Table1938[[#This Row],[Language]]&lt;&gt;"SPA"),TRUE,FALSE))</f>
        <v>0</v>
      </c>
      <c r="U563" s="2" t="b">
        <f>IF(AND(Table1938[[#This Row],[EC-01]]=FALSE,Table1938[[#This Row],[EC-02]]=FALSE,Table1938[[#This Row],[EC-03]]=FALSE,Table1938[[#This Row],[EC-04]]=FALSE,Table1938[[#This Row],[EC-05]]=FALSE,Table1938[[#This Row],[EC-06]]=FALSE),TRUE,FALSE)</f>
        <v>1</v>
      </c>
      <c r="V563" s="2" t="b">
        <f>IF(Table1938[[#This Row],[Date]]&lt;&gt;"",AND(YEAR(Table1938[[#This Row],[Date]])&gt;=2010, YEAR(Table1938[[#This Row],[Date]])&lt;=2024),FALSE)</f>
        <v>1</v>
      </c>
      <c r="W563" s="2" t="b">
        <f>IF(Table1938[[#This Row],[Date]]&lt;&gt;"",AND(YEAR(Table1938[[#This Row],[Date]])&gt;=2010, YEAR(Table1938[[#This Row],[Date]])&lt;=2020),FALSE)</f>
        <v>1</v>
      </c>
      <c r="X563" s="2" t="b">
        <f>IF(AND(Table1938[[#This Row],[Accesible]]=TRUE,Table1938[[#This Row],[DOI]]&lt;&gt;""),TRUE,FALSE)</f>
        <v>1</v>
      </c>
      <c r="Y563" s="2" t="b">
        <f>OR(Table1938[[#This Row],[Document Type]]="journalArticle",Table1938[[#This Row],[Document Type]]="conferencePaper",Table1938[[#This Row],[Document Type]]="review")</f>
        <v>1</v>
      </c>
      <c r="Z563" s="2" t="b" cm="1">
        <f t="array" ref="Z563">SUMPRODUCT(--ISNUMBER(SEARCH({"dimensional analysis","dimensionless coefficients","Π","Pi","theorem","software","design","tools","development","architecture","similar"}, LOWER(Table1938[[#This Row],[Title]]))))&gt;0</f>
        <v>0</v>
      </c>
      <c r="AA563" s="2" t="b" cm="1">
        <f t="array" ref="AA563">SUMPRODUCT(--ISNUMBER(SEARCH({"dimensional analysis","dimensionless coefficients","Π","Pi","theorem","software","design","tools","development","architecture","similar"}, LOWER(Table1938[[#This Row],[Abstract]]))))&gt;0</f>
        <v>1</v>
      </c>
      <c r="AB563" s="2" t="b">
        <f>AND(OR(Table1938[[#This Row],[IC-01 @2024]:[IC-01 @2020]])=TRUE,Table1938[[#This Row],[IC-02]]=TRUE,Table1938[[#This Row],[IC-03]]=TRUE,Table1938[[#This Row],[IC-04]]=TRUE,Table1938[[#This Row],[IC-05]]=TRUE)</f>
        <v>0</v>
      </c>
      <c r="AC563" s="2" t="b">
        <f>AND(Table1938[[#This Row],[Pass-IC]]=TRUE,Table1938[[#This Row],[Pass-EC]]=TRUE)</f>
        <v>0</v>
      </c>
      <c r="AD563" s="2" t="b">
        <f>COUNTIF($D$25:D563, Table1938[[#This Row],[Title]]) = 1</f>
        <v>0</v>
      </c>
      <c r="AE563" s="2" t="b">
        <f>AND(Table1938[[#This Row],[IC + EC]:[Unique]])</f>
        <v>0</v>
      </c>
      <c r="AF563" s="2" t="b">
        <v>0</v>
      </c>
      <c r="AG563" s="2" t="b">
        <v>0</v>
      </c>
      <c r="AH563" s="2" t="b">
        <v>0</v>
      </c>
      <c r="AI563" s="2" t="b">
        <f>IF(AND(Table1938[[#This Row],[Double Check]]=TRUE,Table1938[[#This Row],[Inspected]]=TRUE,Table1938[[#This Row],[Relevant]]=TRUE),TRUE,FALSE)</f>
        <v>0</v>
      </c>
    </row>
    <row r="564" spans="1:35" ht="43" x14ac:dyDescent="0.5">
      <c r="A564" s="2">
        <v>563</v>
      </c>
      <c r="B564" s="20" t="s">
        <v>1</v>
      </c>
      <c r="C564" s="20" t="s">
        <v>2689</v>
      </c>
      <c r="D564" s="20" t="s">
        <v>193</v>
      </c>
      <c r="E564" s="20" t="s">
        <v>649</v>
      </c>
      <c r="F564" s="2" t="s">
        <v>250</v>
      </c>
      <c r="G564" s="20" t="s">
        <v>194</v>
      </c>
      <c r="H564" s="36">
        <v>44652</v>
      </c>
      <c r="I564" s="20">
        <v>2022</v>
      </c>
      <c r="J564" s="20" t="s">
        <v>61</v>
      </c>
      <c r="K564" s="20" t="s">
        <v>2690</v>
      </c>
      <c r="L564" s="20" t="s">
        <v>642</v>
      </c>
      <c r="M564" s="20" t="s">
        <v>195</v>
      </c>
      <c r="N564" s="20" t="b">
        <v>1</v>
      </c>
      <c r="O564" s="2" t="b">
        <f>IF(Table1938[[#This Row],[Title]]="",TRUE,FALSE)</f>
        <v>0</v>
      </c>
      <c r="P564" s="2" t="b">
        <f>IF(Table1938[[#This Row],[Author]]="",TRUE,FALSE)</f>
        <v>0</v>
      </c>
      <c r="Q564" s="2" t="b">
        <f>IF(Table1938[[#This Row],[DOI]]&lt;&gt;"", FALSE,TRUE)</f>
        <v>0</v>
      </c>
      <c r="R564" s="2" t="b">
        <f>IF(Table1938[[#This Row],[Abstract]]="",TRUE,FALSE)</f>
        <v>0</v>
      </c>
      <c r="S564" s="2" t="b">
        <f>IF(OR(Table1938[[#This Row],[Document Type]]="book",Table1938[[#This Row],[Document Type]]="bookSection"),TRUE,FALSE)</f>
        <v>0</v>
      </c>
      <c r="T564" s="2" t="b">
        <f>NOT(IF(OR(Table1938[[#This Row],[Language]]&lt;&gt;"en",Table1938[[#This Row],[Language]]&lt;&gt;"EN",Table1938[[#This Row],[Language]]&lt;&gt;"spa",Table1938[[#This Row],[Language]]&lt;&gt;"SPA"),TRUE,FALSE))</f>
        <v>0</v>
      </c>
      <c r="U564" s="2" t="b">
        <f>IF(AND(Table1938[[#This Row],[EC-01]]=FALSE,Table1938[[#This Row],[EC-02]]=FALSE,Table1938[[#This Row],[EC-03]]=FALSE,Table1938[[#This Row],[EC-04]]=FALSE,Table1938[[#This Row],[EC-05]]=FALSE,Table1938[[#This Row],[EC-06]]=FALSE),TRUE,FALSE)</f>
        <v>1</v>
      </c>
      <c r="V564" s="2" t="b">
        <f>IF(Table1938[[#This Row],[Date]]&lt;&gt;"",AND(YEAR(Table1938[[#This Row],[Date]])&gt;=2010, YEAR(Table1938[[#This Row],[Date]])&lt;=2024),FALSE)</f>
        <v>1</v>
      </c>
      <c r="W564" s="2" t="b">
        <f>IF(Table1938[[#This Row],[Date]]&lt;&gt;"",AND(YEAR(Table1938[[#This Row],[Date]])&gt;=2010, YEAR(Table1938[[#This Row],[Date]])&lt;=2020),FALSE)</f>
        <v>0</v>
      </c>
      <c r="X564" s="2" t="b">
        <f>IF(AND(Table1938[[#This Row],[Accesible]]=TRUE,Table1938[[#This Row],[DOI]]&lt;&gt;""),TRUE,FALSE)</f>
        <v>1</v>
      </c>
      <c r="Y564" s="2" t="b">
        <f>OR(Table1938[[#This Row],[Document Type]]="journalArticle",Table1938[[#This Row],[Document Type]]="conferencePaper",Table1938[[#This Row],[Document Type]]="review")</f>
        <v>1</v>
      </c>
      <c r="Z564" s="2" t="b" cm="1">
        <f t="array" ref="Z564">SUMPRODUCT(--ISNUMBER(SEARCH({"dimensional analysis","dimensionless coefficients","Π","Pi","theorem","software","design","tools","development","architecture","similar"}, LOWER(Table1938[[#This Row],[Title]]))))&gt;0</f>
        <v>0</v>
      </c>
      <c r="AA564" s="2" t="b" cm="1">
        <f t="array" ref="AA564">SUMPRODUCT(--ISNUMBER(SEARCH({"dimensional analysis","dimensionless coefficients","Π","Pi","theorem","software","design","tools","development","architecture","similar"}, LOWER(Table1938[[#This Row],[Abstract]]))))&gt;0</f>
        <v>1</v>
      </c>
      <c r="AB564" s="2" t="b">
        <f>AND(OR(Table1938[[#This Row],[IC-01 @2024]:[IC-01 @2020]])=TRUE,Table1938[[#This Row],[IC-02]]=TRUE,Table1938[[#This Row],[IC-03]]=TRUE,Table1938[[#This Row],[IC-04]]=TRUE,Table1938[[#This Row],[IC-05]]=TRUE)</f>
        <v>0</v>
      </c>
      <c r="AC564" s="2" t="b">
        <f>AND(Table1938[[#This Row],[Pass-IC]]=TRUE,Table1938[[#This Row],[Pass-EC]]=TRUE)</f>
        <v>0</v>
      </c>
      <c r="AD564" s="2" t="b">
        <f>COUNTIF($D$25:D564, Table1938[[#This Row],[Title]]) = 1</f>
        <v>0</v>
      </c>
      <c r="AE564" s="2" t="b">
        <f>AND(Table1938[[#This Row],[IC + EC]:[Unique]])</f>
        <v>0</v>
      </c>
      <c r="AF564" s="2" t="b">
        <v>0</v>
      </c>
      <c r="AG564" s="2" t="b">
        <v>0</v>
      </c>
      <c r="AH564" s="2" t="b">
        <v>0</v>
      </c>
      <c r="AI564" s="2" t="b">
        <f>IF(AND(Table1938[[#This Row],[Double Check]]=TRUE,Table1938[[#This Row],[Inspected]]=TRUE,Table1938[[#This Row],[Relevant]]=TRUE),TRUE,FALSE)</f>
        <v>0</v>
      </c>
    </row>
    <row r="565" spans="1:35" x14ac:dyDescent="0.5">
      <c r="A565" s="2">
        <v>564</v>
      </c>
      <c r="B565" s="20" t="s">
        <v>1</v>
      </c>
      <c r="C565" s="20" t="s">
        <v>3271</v>
      </c>
      <c r="D565" s="20" t="s">
        <v>208</v>
      </c>
      <c r="E565" s="20" t="s">
        <v>650</v>
      </c>
      <c r="F565" s="2" t="s">
        <v>232</v>
      </c>
      <c r="G565" s="20" t="s">
        <v>209</v>
      </c>
      <c r="H565" s="36">
        <v>43617</v>
      </c>
      <c r="I565" s="20">
        <v>2019</v>
      </c>
      <c r="J565" s="20" t="s">
        <v>61</v>
      </c>
      <c r="K565" s="20" t="s">
        <v>3272</v>
      </c>
      <c r="L565" s="20" t="s">
        <v>642</v>
      </c>
      <c r="M565" s="20" t="s">
        <v>210</v>
      </c>
      <c r="N565" s="20" t="b">
        <v>1</v>
      </c>
      <c r="O565" s="2" t="b">
        <f>IF(Table1938[[#This Row],[Title]]="",TRUE,FALSE)</f>
        <v>0</v>
      </c>
      <c r="P565" s="2" t="b">
        <f>IF(Table1938[[#This Row],[Author]]="",TRUE,FALSE)</f>
        <v>0</v>
      </c>
      <c r="Q565" s="2" t="b">
        <f>IF(Table1938[[#This Row],[DOI]]&lt;&gt;"", FALSE,TRUE)</f>
        <v>0</v>
      </c>
      <c r="R565" s="2" t="b">
        <f>IF(Table1938[[#This Row],[Abstract]]="",TRUE,FALSE)</f>
        <v>0</v>
      </c>
      <c r="S565" s="2" t="b">
        <f>IF(OR(Table1938[[#This Row],[Document Type]]="book",Table1938[[#This Row],[Document Type]]="bookSection"),TRUE,FALSE)</f>
        <v>0</v>
      </c>
      <c r="T565" s="2" t="b">
        <f>NOT(IF(OR(Table1938[[#This Row],[Language]]&lt;&gt;"en",Table1938[[#This Row],[Language]]&lt;&gt;"EN",Table1938[[#This Row],[Language]]&lt;&gt;"spa",Table1938[[#This Row],[Language]]&lt;&gt;"SPA"),TRUE,FALSE))</f>
        <v>0</v>
      </c>
      <c r="U565" s="2" t="b">
        <f>IF(AND(Table1938[[#This Row],[EC-01]]=FALSE,Table1938[[#This Row],[EC-02]]=FALSE,Table1938[[#This Row],[EC-03]]=FALSE,Table1938[[#This Row],[EC-04]]=FALSE,Table1938[[#This Row],[EC-05]]=FALSE,Table1938[[#This Row],[EC-06]]=FALSE),TRUE,FALSE)</f>
        <v>1</v>
      </c>
      <c r="V565" s="2" t="b">
        <f>IF(Table1938[[#This Row],[Date]]&lt;&gt;"",AND(YEAR(Table1938[[#This Row],[Date]])&gt;=2010, YEAR(Table1938[[#This Row],[Date]])&lt;=2024),FALSE)</f>
        <v>1</v>
      </c>
      <c r="W565" s="2" t="b">
        <f>IF(Table1938[[#This Row],[Date]]&lt;&gt;"",AND(YEAR(Table1938[[#This Row],[Date]])&gt;=2010, YEAR(Table1938[[#This Row],[Date]])&lt;=2020),FALSE)</f>
        <v>1</v>
      </c>
      <c r="X565" s="2" t="b">
        <f>IF(AND(Table1938[[#This Row],[Accesible]]=TRUE,Table1938[[#This Row],[DOI]]&lt;&gt;""),TRUE,FALSE)</f>
        <v>1</v>
      </c>
      <c r="Y565" s="2" t="b">
        <f>OR(Table1938[[#This Row],[Document Type]]="journalArticle",Table1938[[#This Row],[Document Type]]="conferencePaper",Table1938[[#This Row],[Document Type]]="review")</f>
        <v>1</v>
      </c>
      <c r="Z565" s="2" t="b" cm="1">
        <f t="array" ref="Z565">SUMPRODUCT(--ISNUMBER(SEARCH({"dimensional analysis","dimensionless coefficients","Π","Pi","theorem","software","design","tools","development","architecture","similar"}, LOWER(Table1938[[#This Row],[Title]]))))&gt;0</f>
        <v>0</v>
      </c>
      <c r="AA565" s="2" t="b" cm="1">
        <f t="array" ref="AA565">SUMPRODUCT(--ISNUMBER(SEARCH({"dimensional analysis","dimensionless coefficients","Π","Pi","theorem","software","design","tools","development","architecture","similar"}, LOWER(Table1938[[#This Row],[Abstract]]))))&gt;0</f>
        <v>1</v>
      </c>
      <c r="AB565" s="2" t="b">
        <f>AND(OR(Table1938[[#This Row],[IC-01 @2024]:[IC-01 @2020]])=TRUE,Table1938[[#This Row],[IC-02]]=TRUE,Table1938[[#This Row],[IC-03]]=TRUE,Table1938[[#This Row],[IC-04]]=TRUE,Table1938[[#This Row],[IC-05]]=TRUE)</f>
        <v>0</v>
      </c>
      <c r="AC565" s="2" t="b">
        <f>AND(Table1938[[#This Row],[Pass-IC]]=TRUE,Table1938[[#This Row],[Pass-EC]]=TRUE)</f>
        <v>0</v>
      </c>
      <c r="AD565" s="2" t="b">
        <f>COUNTIF($D$25:D565, Table1938[[#This Row],[Title]]) = 1</f>
        <v>1</v>
      </c>
      <c r="AE565" s="2" t="b">
        <f>AND(Table1938[[#This Row],[IC + EC]:[Unique]])</f>
        <v>0</v>
      </c>
      <c r="AF565" s="2" t="b">
        <v>0</v>
      </c>
      <c r="AG565" s="2" t="b">
        <v>0</v>
      </c>
      <c r="AH565" s="2" t="b">
        <v>0</v>
      </c>
      <c r="AI565" s="2" t="b">
        <f>IF(AND(Table1938[[#This Row],[Double Check]]=TRUE,Table1938[[#This Row],[Inspected]]=TRUE,Table1938[[#This Row],[Relevant]]=TRUE),TRUE,FALSE)</f>
        <v>0</v>
      </c>
    </row>
    <row r="566" spans="1:35" ht="43" x14ac:dyDescent="0.5">
      <c r="A566" s="2">
        <v>565</v>
      </c>
      <c r="B566" s="20" t="s">
        <v>1</v>
      </c>
      <c r="C566" s="20" t="s">
        <v>3273</v>
      </c>
      <c r="D566" s="20" t="s">
        <v>197</v>
      </c>
      <c r="E566" s="20" t="s">
        <v>651</v>
      </c>
      <c r="F566" s="2" t="s">
        <v>296</v>
      </c>
      <c r="G566" s="20" t="s">
        <v>198</v>
      </c>
      <c r="H566" s="36">
        <v>44734</v>
      </c>
      <c r="I566" s="20">
        <v>2022</v>
      </c>
      <c r="J566" s="20" t="s">
        <v>61</v>
      </c>
      <c r="K566" s="20" t="s">
        <v>3274</v>
      </c>
      <c r="L566" s="20" t="s">
        <v>642</v>
      </c>
      <c r="M566" s="20" t="s">
        <v>199</v>
      </c>
      <c r="N566" s="20" t="b">
        <v>1</v>
      </c>
      <c r="O566" s="2" t="b">
        <f>IF(Table1938[[#This Row],[Title]]="",TRUE,FALSE)</f>
        <v>0</v>
      </c>
      <c r="P566" s="2" t="b">
        <f>IF(Table1938[[#This Row],[Author]]="",TRUE,FALSE)</f>
        <v>0</v>
      </c>
      <c r="Q566" s="2" t="b">
        <f>IF(Table1938[[#This Row],[DOI]]&lt;&gt;"", FALSE,TRUE)</f>
        <v>0</v>
      </c>
      <c r="R566" s="2" t="b">
        <f>IF(Table1938[[#This Row],[Abstract]]="",TRUE,FALSE)</f>
        <v>0</v>
      </c>
      <c r="S566" s="2" t="b">
        <f>IF(OR(Table1938[[#This Row],[Document Type]]="book",Table1938[[#This Row],[Document Type]]="bookSection"),TRUE,FALSE)</f>
        <v>0</v>
      </c>
      <c r="T566" s="2" t="b">
        <f>NOT(IF(OR(Table1938[[#This Row],[Language]]&lt;&gt;"en",Table1938[[#This Row],[Language]]&lt;&gt;"EN",Table1938[[#This Row],[Language]]&lt;&gt;"spa",Table1938[[#This Row],[Language]]&lt;&gt;"SPA"),TRUE,FALSE))</f>
        <v>0</v>
      </c>
      <c r="U566" s="2" t="b">
        <f>IF(AND(Table1938[[#This Row],[EC-01]]=FALSE,Table1938[[#This Row],[EC-02]]=FALSE,Table1938[[#This Row],[EC-03]]=FALSE,Table1938[[#This Row],[EC-04]]=FALSE,Table1938[[#This Row],[EC-05]]=FALSE,Table1938[[#This Row],[EC-06]]=FALSE),TRUE,FALSE)</f>
        <v>1</v>
      </c>
      <c r="V566" s="2" t="b">
        <f>IF(Table1938[[#This Row],[Date]]&lt;&gt;"",AND(YEAR(Table1938[[#This Row],[Date]])&gt;=2010, YEAR(Table1938[[#This Row],[Date]])&lt;=2024),FALSE)</f>
        <v>1</v>
      </c>
      <c r="W566" s="2" t="b">
        <f>IF(Table1938[[#This Row],[Date]]&lt;&gt;"",AND(YEAR(Table1938[[#This Row],[Date]])&gt;=2010, YEAR(Table1938[[#This Row],[Date]])&lt;=2020),FALSE)</f>
        <v>0</v>
      </c>
      <c r="X566" s="2" t="b">
        <f>IF(AND(Table1938[[#This Row],[Accesible]]=TRUE,Table1938[[#This Row],[DOI]]&lt;&gt;""),TRUE,FALSE)</f>
        <v>1</v>
      </c>
      <c r="Y566" s="2" t="b">
        <f>OR(Table1938[[#This Row],[Document Type]]="journalArticle",Table1938[[#This Row],[Document Type]]="conferencePaper",Table1938[[#This Row],[Document Type]]="review")</f>
        <v>1</v>
      </c>
      <c r="Z566" s="2" t="b" cm="1">
        <f t="array" ref="Z566">SUMPRODUCT(--ISNUMBER(SEARCH({"dimensional analysis","dimensionless coefficients","Π","Pi","theorem","software","design","tools","development","architecture","similar"}, LOWER(Table1938[[#This Row],[Title]]))))&gt;0</f>
        <v>0</v>
      </c>
      <c r="AA566" s="2" t="b" cm="1">
        <f t="array" ref="AA566">SUMPRODUCT(--ISNUMBER(SEARCH({"dimensional analysis","dimensionless coefficients","Π","Pi","theorem","software","design","tools","development","architecture","similar"}, LOWER(Table1938[[#This Row],[Abstract]]))))&gt;0</f>
        <v>1</v>
      </c>
      <c r="AB566" s="2" t="b">
        <f>AND(OR(Table1938[[#This Row],[IC-01 @2024]:[IC-01 @2020]])=TRUE,Table1938[[#This Row],[IC-02]]=TRUE,Table1938[[#This Row],[IC-03]]=TRUE,Table1938[[#This Row],[IC-04]]=TRUE,Table1938[[#This Row],[IC-05]]=TRUE)</f>
        <v>0</v>
      </c>
      <c r="AC566" s="2" t="b">
        <f>AND(Table1938[[#This Row],[Pass-IC]]=TRUE,Table1938[[#This Row],[Pass-EC]]=TRUE)</f>
        <v>0</v>
      </c>
      <c r="AD566" s="2" t="b">
        <f>COUNTIF($D$25:D566, Table1938[[#This Row],[Title]]) = 1</f>
        <v>1</v>
      </c>
      <c r="AE566" s="2" t="b">
        <f>AND(Table1938[[#This Row],[IC + EC]:[Unique]])</f>
        <v>0</v>
      </c>
      <c r="AF566" s="2" t="b">
        <v>0</v>
      </c>
      <c r="AG566" s="2" t="b">
        <v>0</v>
      </c>
      <c r="AH566" s="2" t="b">
        <v>0</v>
      </c>
      <c r="AI566" s="2" t="b">
        <f>IF(AND(Table1938[[#This Row],[Double Check]]=TRUE,Table1938[[#This Row],[Inspected]]=TRUE,Table1938[[#This Row],[Relevant]]=TRUE),TRUE,FALSE)</f>
        <v>0</v>
      </c>
    </row>
    <row r="567" spans="1:35" ht="43" x14ac:dyDescent="0.5">
      <c r="A567" s="2">
        <v>566</v>
      </c>
      <c r="B567" s="20" t="s">
        <v>1</v>
      </c>
      <c r="C567" s="20" t="s">
        <v>2765</v>
      </c>
      <c r="D567" s="20" t="s">
        <v>231</v>
      </c>
      <c r="E567" s="20" t="s">
        <v>652</v>
      </c>
      <c r="F567" s="2" t="s">
        <v>243</v>
      </c>
      <c r="G567" s="20" t="s">
        <v>233</v>
      </c>
      <c r="H567" s="36">
        <v>43435</v>
      </c>
      <c r="I567" s="20">
        <v>2018</v>
      </c>
      <c r="J567" s="20" t="s">
        <v>61</v>
      </c>
      <c r="K567" s="20" t="s">
        <v>2766</v>
      </c>
      <c r="L567" s="20" t="s">
        <v>642</v>
      </c>
      <c r="M567" s="20" t="s">
        <v>234</v>
      </c>
      <c r="N567" s="20" t="b">
        <v>1</v>
      </c>
      <c r="O567" s="2" t="b">
        <f>IF(Table1938[[#This Row],[Title]]="",TRUE,FALSE)</f>
        <v>0</v>
      </c>
      <c r="P567" s="2" t="b">
        <f>IF(Table1938[[#This Row],[Author]]="",TRUE,FALSE)</f>
        <v>0</v>
      </c>
      <c r="Q567" s="2" t="b">
        <f>IF(Table1938[[#This Row],[DOI]]&lt;&gt;"", FALSE,TRUE)</f>
        <v>0</v>
      </c>
      <c r="R567" s="2" t="b">
        <f>IF(Table1938[[#This Row],[Abstract]]="",TRUE,FALSE)</f>
        <v>0</v>
      </c>
      <c r="S567" s="2" t="b">
        <f>IF(OR(Table1938[[#This Row],[Document Type]]="book",Table1938[[#This Row],[Document Type]]="bookSection"),TRUE,FALSE)</f>
        <v>0</v>
      </c>
      <c r="T567" s="2" t="b">
        <f>NOT(IF(OR(Table1938[[#This Row],[Language]]&lt;&gt;"en",Table1938[[#This Row],[Language]]&lt;&gt;"EN",Table1938[[#This Row],[Language]]&lt;&gt;"spa",Table1938[[#This Row],[Language]]&lt;&gt;"SPA"),TRUE,FALSE))</f>
        <v>0</v>
      </c>
      <c r="U567" s="2" t="b">
        <f>IF(AND(Table1938[[#This Row],[EC-01]]=FALSE,Table1938[[#This Row],[EC-02]]=FALSE,Table1938[[#This Row],[EC-03]]=FALSE,Table1938[[#This Row],[EC-04]]=FALSE,Table1938[[#This Row],[EC-05]]=FALSE,Table1938[[#This Row],[EC-06]]=FALSE),TRUE,FALSE)</f>
        <v>1</v>
      </c>
      <c r="V567" s="2" t="b">
        <f>IF(Table1938[[#This Row],[Date]]&lt;&gt;"",AND(YEAR(Table1938[[#This Row],[Date]])&gt;=2010, YEAR(Table1938[[#This Row],[Date]])&lt;=2024),FALSE)</f>
        <v>1</v>
      </c>
      <c r="W567" s="2" t="b">
        <f>IF(Table1938[[#This Row],[Date]]&lt;&gt;"",AND(YEAR(Table1938[[#This Row],[Date]])&gt;=2010, YEAR(Table1938[[#This Row],[Date]])&lt;=2020),FALSE)</f>
        <v>1</v>
      </c>
      <c r="X567" s="2" t="b">
        <f>IF(AND(Table1938[[#This Row],[Accesible]]=TRUE,Table1938[[#This Row],[DOI]]&lt;&gt;""),TRUE,FALSE)</f>
        <v>1</v>
      </c>
      <c r="Y567" s="2" t="b">
        <f>OR(Table1938[[#This Row],[Document Type]]="journalArticle",Table1938[[#This Row],[Document Type]]="conferencePaper",Table1938[[#This Row],[Document Type]]="review")</f>
        <v>1</v>
      </c>
      <c r="Z567" s="2" t="b" cm="1">
        <f t="array" ref="Z567">SUMPRODUCT(--ISNUMBER(SEARCH({"dimensional analysis","dimensionless coefficients","Π","Pi","theorem","software","design","tools","development","architecture","similar"}, LOWER(Table1938[[#This Row],[Title]]))))&gt;0</f>
        <v>0</v>
      </c>
      <c r="AA567" s="2" t="b" cm="1">
        <f t="array" ref="AA567">SUMPRODUCT(--ISNUMBER(SEARCH({"dimensional analysis","dimensionless coefficients","Π","Pi","theorem","software","design","tools","development","architecture","similar"}, LOWER(Table1938[[#This Row],[Abstract]]))))&gt;0</f>
        <v>1</v>
      </c>
      <c r="AB567" s="2" t="b">
        <f>AND(OR(Table1938[[#This Row],[IC-01 @2024]:[IC-01 @2020]])=TRUE,Table1938[[#This Row],[IC-02]]=TRUE,Table1938[[#This Row],[IC-03]]=TRUE,Table1938[[#This Row],[IC-04]]=TRUE,Table1938[[#This Row],[IC-05]]=TRUE)</f>
        <v>0</v>
      </c>
      <c r="AC567" s="2" t="b">
        <f>AND(Table1938[[#This Row],[Pass-IC]]=TRUE,Table1938[[#This Row],[Pass-EC]]=TRUE)</f>
        <v>0</v>
      </c>
      <c r="AD567" s="2" t="b">
        <f>COUNTIF($D$25:D567, Table1938[[#This Row],[Title]]) = 1</f>
        <v>0</v>
      </c>
      <c r="AE567" s="2" t="b">
        <f>AND(Table1938[[#This Row],[IC + EC]:[Unique]])</f>
        <v>0</v>
      </c>
      <c r="AF567" s="2" t="b">
        <v>0</v>
      </c>
      <c r="AG567" s="2" t="b">
        <v>0</v>
      </c>
      <c r="AH567" s="2" t="b">
        <v>0</v>
      </c>
      <c r="AI567" s="2" t="b">
        <f>IF(AND(Table1938[[#This Row],[Double Check]]=TRUE,Table1938[[#This Row],[Inspected]]=TRUE,Table1938[[#This Row],[Relevant]]=TRUE),TRUE,FALSE)</f>
        <v>0</v>
      </c>
    </row>
    <row r="568" spans="1:35" ht="43" x14ac:dyDescent="0.5">
      <c r="A568" s="2">
        <v>567</v>
      </c>
      <c r="B568" s="20" t="s">
        <v>1</v>
      </c>
      <c r="C568" s="20" t="s">
        <v>2669</v>
      </c>
      <c r="D568" s="20" t="s">
        <v>235</v>
      </c>
      <c r="E568" s="20" t="s">
        <v>653</v>
      </c>
      <c r="F568" s="2" t="s">
        <v>154</v>
      </c>
      <c r="G568" s="20" t="s">
        <v>91</v>
      </c>
      <c r="H568" s="36">
        <v>44593</v>
      </c>
      <c r="I568" s="20">
        <v>2022</v>
      </c>
      <c r="J568" s="20" t="s">
        <v>61</v>
      </c>
      <c r="K568" s="20" t="s">
        <v>2670</v>
      </c>
      <c r="L568" s="20" t="s">
        <v>642</v>
      </c>
      <c r="M568" s="20" t="s">
        <v>236</v>
      </c>
      <c r="N568" s="20" t="b">
        <v>1</v>
      </c>
      <c r="O568" s="2" t="b">
        <f>IF(Table1938[[#This Row],[Title]]="",TRUE,FALSE)</f>
        <v>0</v>
      </c>
      <c r="P568" s="2" t="b">
        <f>IF(Table1938[[#This Row],[Author]]="",TRUE,FALSE)</f>
        <v>0</v>
      </c>
      <c r="Q568" s="2" t="b">
        <f>IF(Table1938[[#This Row],[DOI]]&lt;&gt;"", FALSE,TRUE)</f>
        <v>0</v>
      </c>
      <c r="R568" s="2" t="b">
        <f>IF(Table1938[[#This Row],[Abstract]]="",TRUE,FALSE)</f>
        <v>0</v>
      </c>
      <c r="S568" s="2" t="b">
        <f>IF(OR(Table1938[[#This Row],[Document Type]]="book",Table1938[[#This Row],[Document Type]]="bookSection"),TRUE,FALSE)</f>
        <v>0</v>
      </c>
      <c r="T568" s="2" t="b">
        <f>NOT(IF(OR(Table1938[[#This Row],[Language]]&lt;&gt;"en",Table1938[[#This Row],[Language]]&lt;&gt;"EN",Table1938[[#This Row],[Language]]&lt;&gt;"spa",Table1938[[#This Row],[Language]]&lt;&gt;"SPA"),TRUE,FALSE))</f>
        <v>0</v>
      </c>
      <c r="U568" s="2" t="b">
        <f>IF(AND(Table1938[[#This Row],[EC-01]]=FALSE,Table1938[[#This Row],[EC-02]]=FALSE,Table1938[[#This Row],[EC-03]]=FALSE,Table1938[[#This Row],[EC-04]]=FALSE,Table1938[[#This Row],[EC-05]]=FALSE,Table1938[[#This Row],[EC-06]]=FALSE),TRUE,FALSE)</f>
        <v>1</v>
      </c>
      <c r="V568" s="2" t="b">
        <f>IF(Table1938[[#This Row],[Date]]&lt;&gt;"",AND(YEAR(Table1938[[#This Row],[Date]])&gt;=2010, YEAR(Table1938[[#This Row],[Date]])&lt;=2024),FALSE)</f>
        <v>1</v>
      </c>
      <c r="W568" s="2" t="b">
        <f>IF(Table1938[[#This Row],[Date]]&lt;&gt;"",AND(YEAR(Table1938[[#This Row],[Date]])&gt;=2010, YEAR(Table1938[[#This Row],[Date]])&lt;=2020),FALSE)</f>
        <v>0</v>
      </c>
      <c r="X568" s="2" t="b">
        <f>IF(AND(Table1938[[#This Row],[Accesible]]=TRUE,Table1938[[#This Row],[DOI]]&lt;&gt;""),TRUE,FALSE)</f>
        <v>1</v>
      </c>
      <c r="Y568" s="2" t="b">
        <f>OR(Table1938[[#This Row],[Document Type]]="journalArticle",Table1938[[#This Row],[Document Type]]="conferencePaper",Table1938[[#This Row],[Document Type]]="review")</f>
        <v>1</v>
      </c>
      <c r="Z568" s="2" t="b" cm="1">
        <f t="array" ref="Z568">SUMPRODUCT(--ISNUMBER(SEARCH({"dimensional analysis","dimensionless coefficients","Π","Pi","theorem","software","design","tools","development","architecture","similar"}, LOWER(Table1938[[#This Row],[Title]]))))&gt;0</f>
        <v>0</v>
      </c>
      <c r="AA568" s="2" t="b" cm="1">
        <f t="array" ref="AA568">SUMPRODUCT(--ISNUMBER(SEARCH({"dimensional analysis","dimensionless coefficients","Π","Pi","theorem","software","design","tools","development","architecture","similar"}, LOWER(Table1938[[#This Row],[Abstract]]))))&gt;0</f>
        <v>1</v>
      </c>
      <c r="AB568" s="2" t="b">
        <f>AND(OR(Table1938[[#This Row],[IC-01 @2024]:[IC-01 @2020]])=TRUE,Table1938[[#This Row],[IC-02]]=TRUE,Table1938[[#This Row],[IC-03]]=TRUE,Table1938[[#This Row],[IC-04]]=TRUE,Table1938[[#This Row],[IC-05]]=TRUE)</f>
        <v>0</v>
      </c>
      <c r="AC568" s="2" t="b">
        <f>AND(Table1938[[#This Row],[Pass-IC]]=TRUE,Table1938[[#This Row],[Pass-EC]]=TRUE)</f>
        <v>0</v>
      </c>
      <c r="AD568" s="2" t="b">
        <f>COUNTIF($D$25:D568, Table1938[[#This Row],[Title]]) = 1</f>
        <v>0</v>
      </c>
      <c r="AE568" s="2" t="b">
        <f>AND(Table1938[[#This Row],[IC + EC]:[Unique]])</f>
        <v>0</v>
      </c>
      <c r="AF568" s="2" t="b">
        <v>0</v>
      </c>
      <c r="AG568" s="2" t="b">
        <v>0</v>
      </c>
      <c r="AH568" s="2" t="b">
        <v>0</v>
      </c>
      <c r="AI568" s="2" t="b">
        <f>IF(AND(Table1938[[#This Row],[Double Check]]=TRUE,Table1938[[#This Row],[Inspected]]=TRUE,Table1938[[#This Row],[Relevant]]=TRUE),TRUE,FALSE)</f>
        <v>0</v>
      </c>
    </row>
    <row r="569" spans="1:35" ht="43" x14ac:dyDescent="0.5">
      <c r="A569" s="2">
        <v>568</v>
      </c>
      <c r="B569" s="20" t="s">
        <v>1</v>
      </c>
      <c r="C569" s="20" t="s">
        <v>3275</v>
      </c>
      <c r="D569" s="20" t="s">
        <v>263</v>
      </c>
      <c r="E569" s="20" t="s">
        <v>654</v>
      </c>
      <c r="F569" s="2" t="s">
        <v>230</v>
      </c>
      <c r="G569" s="20" t="s">
        <v>264</v>
      </c>
      <c r="H569" s="36">
        <v>44831</v>
      </c>
      <c r="I569" s="20">
        <v>2022</v>
      </c>
      <c r="J569" s="20" t="s">
        <v>61</v>
      </c>
      <c r="K569" s="20" t="s">
        <v>3276</v>
      </c>
      <c r="L569" s="20" t="s">
        <v>642</v>
      </c>
      <c r="M569" s="20" t="s">
        <v>265</v>
      </c>
      <c r="N569" s="20" t="b">
        <v>1</v>
      </c>
      <c r="O569" s="2" t="b">
        <f>IF(Table1938[[#This Row],[Title]]="",TRUE,FALSE)</f>
        <v>0</v>
      </c>
      <c r="P569" s="2" t="b">
        <f>IF(Table1938[[#This Row],[Author]]="",TRUE,FALSE)</f>
        <v>0</v>
      </c>
      <c r="Q569" s="2" t="b">
        <f>IF(Table1938[[#This Row],[DOI]]&lt;&gt;"", FALSE,TRUE)</f>
        <v>0</v>
      </c>
      <c r="R569" s="2" t="b">
        <f>IF(Table1938[[#This Row],[Abstract]]="",TRUE,FALSE)</f>
        <v>0</v>
      </c>
      <c r="S569" s="2" t="b">
        <f>IF(OR(Table1938[[#This Row],[Document Type]]="book",Table1938[[#This Row],[Document Type]]="bookSection"),TRUE,FALSE)</f>
        <v>0</v>
      </c>
      <c r="T569" s="2" t="b">
        <f>NOT(IF(OR(Table1938[[#This Row],[Language]]&lt;&gt;"en",Table1938[[#This Row],[Language]]&lt;&gt;"EN",Table1938[[#This Row],[Language]]&lt;&gt;"spa",Table1938[[#This Row],[Language]]&lt;&gt;"SPA"),TRUE,FALSE))</f>
        <v>0</v>
      </c>
      <c r="U569" s="2" t="b">
        <f>IF(AND(Table1938[[#This Row],[EC-01]]=FALSE,Table1938[[#This Row],[EC-02]]=FALSE,Table1938[[#This Row],[EC-03]]=FALSE,Table1938[[#This Row],[EC-04]]=FALSE,Table1938[[#This Row],[EC-05]]=FALSE,Table1938[[#This Row],[EC-06]]=FALSE),TRUE,FALSE)</f>
        <v>1</v>
      </c>
      <c r="V569" s="2" t="b">
        <f>IF(Table1938[[#This Row],[Date]]&lt;&gt;"",AND(YEAR(Table1938[[#This Row],[Date]])&gt;=2010, YEAR(Table1938[[#This Row],[Date]])&lt;=2024),FALSE)</f>
        <v>1</v>
      </c>
      <c r="W569" s="2" t="b">
        <f>IF(Table1938[[#This Row],[Date]]&lt;&gt;"",AND(YEAR(Table1938[[#This Row],[Date]])&gt;=2010, YEAR(Table1938[[#This Row],[Date]])&lt;=2020),FALSE)</f>
        <v>0</v>
      </c>
      <c r="X569" s="2" t="b">
        <f>IF(AND(Table1938[[#This Row],[Accesible]]=TRUE,Table1938[[#This Row],[DOI]]&lt;&gt;""),TRUE,FALSE)</f>
        <v>1</v>
      </c>
      <c r="Y569" s="2" t="b">
        <f>OR(Table1938[[#This Row],[Document Type]]="journalArticle",Table1938[[#This Row],[Document Type]]="conferencePaper",Table1938[[#This Row],[Document Type]]="review")</f>
        <v>1</v>
      </c>
      <c r="Z569" s="2" t="b" cm="1">
        <f t="array" ref="Z569">SUMPRODUCT(--ISNUMBER(SEARCH({"dimensional analysis","dimensionless coefficients","Π","Pi","theorem","software","design","tools","development","architecture","similar"}, LOWER(Table1938[[#This Row],[Title]]))))&gt;0</f>
        <v>0</v>
      </c>
      <c r="AA569" s="2" t="b" cm="1">
        <f t="array" ref="AA569">SUMPRODUCT(--ISNUMBER(SEARCH({"dimensional analysis","dimensionless coefficients","Π","Pi","theorem","software","design","tools","development","architecture","similar"}, LOWER(Table1938[[#This Row],[Abstract]]))))&gt;0</f>
        <v>1</v>
      </c>
      <c r="AB569" s="2" t="b">
        <f>AND(OR(Table1938[[#This Row],[IC-01 @2024]:[IC-01 @2020]])=TRUE,Table1938[[#This Row],[IC-02]]=TRUE,Table1938[[#This Row],[IC-03]]=TRUE,Table1938[[#This Row],[IC-04]]=TRUE,Table1938[[#This Row],[IC-05]]=TRUE)</f>
        <v>0</v>
      </c>
      <c r="AC569" s="2" t="b">
        <f>AND(Table1938[[#This Row],[Pass-IC]]=TRUE,Table1938[[#This Row],[Pass-EC]]=TRUE)</f>
        <v>0</v>
      </c>
      <c r="AD569" s="2" t="b">
        <f>COUNTIF($D$25:D569, Table1938[[#This Row],[Title]]) = 1</f>
        <v>1</v>
      </c>
      <c r="AE569" s="2" t="b">
        <f>AND(Table1938[[#This Row],[IC + EC]:[Unique]])</f>
        <v>0</v>
      </c>
      <c r="AF569" s="2" t="b">
        <v>0</v>
      </c>
      <c r="AG569" s="2" t="b">
        <v>0</v>
      </c>
      <c r="AH569" s="2" t="b">
        <v>0</v>
      </c>
      <c r="AI569" s="2" t="b">
        <f>IF(AND(Table1938[[#This Row],[Double Check]]=TRUE,Table1938[[#This Row],[Inspected]]=TRUE,Table1938[[#This Row],[Relevant]]=TRUE),TRUE,FALSE)</f>
        <v>0</v>
      </c>
    </row>
    <row r="570" spans="1:35" ht="57.35" x14ac:dyDescent="0.5">
      <c r="A570" s="2">
        <v>569</v>
      </c>
      <c r="B570" s="20" t="s">
        <v>1</v>
      </c>
      <c r="C570" s="20" t="s">
        <v>3277</v>
      </c>
      <c r="D570" s="20" t="s">
        <v>255</v>
      </c>
      <c r="E570" s="20" t="s">
        <v>655</v>
      </c>
      <c r="F570" s="2" t="s">
        <v>136</v>
      </c>
      <c r="G570" s="20" t="s">
        <v>256</v>
      </c>
      <c r="H570" s="36">
        <v>41487</v>
      </c>
      <c r="I570" s="20">
        <v>2013</v>
      </c>
      <c r="J570" s="20" t="s">
        <v>61</v>
      </c>
      <c r="K570" s="20" t="s">
        <v>3278</v>
      </c>
      <c r="L570" s="20" t="s">
        <v>642</v>
      </c>
      <c r="M570" s="20" t="s">
        <v>257</v>
      </c>
      <c r="N570" s="20" t="b">
        <v>1</v>
      </c>
      <c r="O570" s="2" t="b">
        <f>IF(Table1938[[#This Row],[Title]]="",TRUE,FALSE)</f>
        <v>0</v>
      </c>
      <c r="P570" s="2" t="b">
        <f>IF(Table1938[[#This Row],[Author]]="",TRUE,FALSE)</f>
        <v>0</v>
      </c>
      <c r="Q570" s="2" t="b">
        <f>IF(Table1938[[#This Row],[DOI]]&lt;&gt;"", FALSE,TRUE)</f>
        <v>0</v>
      </c>
      <c r="R570" s="2" t="b">
        <f>IF(Table1938[[#This Row],[Abstract]]="",TRUE,FALSE)</f>
        <v>0</v>
      </c>
      <c r="S570" s="2" t="b">
        <f>IF(OR(Table1938[[#This Row],[Document Type]]="book",Table1938[[#This Row],[Document Type]]="bookSection"),TRUE,FALSE)</f>
        <v>0</v>
      </c>
      <c r="T570" s="2" t="b">
        <f>NOT(IF(OR(Table1938[[#This Row],[Language]]&lt;&gt;"en",Table1938[[#This Row],[Language]]&lt;&gt;"EN",Table1938[[#This Row],[Language]]&lt;&gt;"spa",Table1938[[#This Row],[Language]]&lt;&gt;"SPA"),TRUE,FALSE))</f>
        <v>0</v>
      </c>
      <c r="U570" s="2" t="b">
        <f>IF(AND(Table1938[[#This Row],[EC-01]]=FALSE,Table1938[[#This Row],[EC-02]]=FALSE,Table1938[[#This Row],[EC-03]]=FALSE,Table1938[[#This Row],[EC-04]]=FALSE,Table1938[[#This Row],[EC-05]]=FALSE,Table1938[[#This Row],[EC-06]]=FALSE),TRUE,FALSE)</f>
        <v>1</v>
      </c>
      <c r="V570" s="2" t="b">
        <f>IF(Table1938[[#This Row],[Date]]&lt;&gt;"",AND(YEAR(Table1938[[#This Row],[Date]])&gt;=2010, YEAR(Table1938[[#This Row],[Date]])&lt;=2024),FALSE)</f>
        <v>1</v>
      </c>
      <c r="W570" s="2" t="b">
        <f>IF(Table1938[[#This Row],[Date]]&lt;&gt;"",AND(YEAR(Table1938[[#This Row],[Date]])&gt;=2010, YEAR(Table1938[[#This Row],[Date]])&lt;=2020),FALSE)</f>
        <v>1</v>
      </c>
      <c r="X570" s="2" t="b">
        <f>IF(AND(Table1938[[#This Row],[Accesible]]=TRUE,Table1938[[#This Row],[DOI]]&lt;&gt;""),TRUE,FALSE)</f>
        <v>1</v>
      </c>
      <c r="Y570" s="2" t="b">
        <f>OR(Table1938[[#This Row],[Document Type]]="journalArticle",Table1938[[#This Row],[Document Type]]="conferencePaper",Table1938[[#This Row],[Document Type]]="review")</f>
        <v>1</v>
      </c>
      <c r="Z570" s="2" t="b" cm="1">
        <f t="array" ref="Z570">SUMPRODUCT(--ISNUMBER(SEARCH({"dimensional analysis","dimensionless coefficients","Π","Pi","theorem","software","design","tools","development","architecture","similar"}, LOWER(Table1938[[#This Row],[Title]]))))&gt;0</f>
        <v>0</v>
      </c>
      <c r="AA570" s="2" t="b" cm="1">
        <f t="array" ref="AA570">SUMPRODUCT(--ISNUMBER(SEARCH({"dimensional analysis","dimensionless coefficients","Π","Pi","theorem","software","design","tools","development","architecture","similar"}, LOWER(Table1938[[#This Row],[Abstract]]))))&gt;0</f>
        <v>1</v>
      </c>
      <c r="AB570" s="2" t="b">
        <f>AND(OR(Table1938[[#This Row],[IC-01 @2024]:[IC-01 @2020]])=TRUE,Table1938[[#This Row],[IC-02]]=TRUE,Table1938[[#This Row],[IC-03]]=TRUE,Table1938[[#This Row],[IC-04]]=TRUE,Table1938[[#This Row],[IC-05]]=TRUE)</f>
        <v>0</v>
      </c>
      <c r="AC570" s="2" t="b">
        <f>AND(Table1938[[#This Row],[Pass-IC]]=TRUE,Table1938[[#This Row],[Pass-EC]]=TRUE)</f>
        <v>0</v>
      </c>
      <c r="AD570" s="2" t="b">
        <f>COUNTIF($D$25:D570, Table1938[[#This Row],[Title]]) = 1</f>
        <v>1</v>
      </c>
      <c r="AE570" s="2" t="b">
        <f>AND(Table1938[[#This Row],[IC + EC]:[Unique]])</f>
        <v>0</v>
      </c>
      <c r="AF570" s="2" t="b">
        <v>0</v>
      </c>
      <c r="AG570" s="2" t="b">
        <v>0</v>
      </c>
      <c r="AH570" s="2" t="b">
        <v>0</v>
      </c>
      <c r="AI570" s="2" t="b">
        <f>IF(AND(Table1938[[#This Row],[Double Check]]=TRUE,Table1938[[#This Row],[Inspected]]=TRUE,Table1938[[#This Row],[Relevant]]=TRUE),TRUE,FALSE)</f>
        <v>0</v>
      </c>
    </row>
    <row r="571" spans="1:35" ht="57.35" x14ac:dyDescent="0.5">
      <c r="A571" s="2">
        <v>570</v>
      </c>
      <c r="B571" s="20" t="s">
        <v>1</v>
      </c>
      <c r="C571" s="20" t="s">
        <v>3279</v>
      </c>
      <c r="D571" s="20" t="s">
        <v>287</v>
      </c>
      <c r="E571" s="20" t="s">
        <v>656</v>
      </c>
      <c r="F571" s="2" t="s">
        <v>144</v>
      </c>
      <c r="G571" s="20" t="s">
        <v>155</v>
      </c>
      <c r="H571" s="36">
        <v>44805</v>
      </c>
      <c r="I571" s="20">
        <v>2022</v>
      </c>
      <c r="J571" s="20" t="s">
        <v>61</v>
      </c>
      <c r="K571" s="20" t="s">
        <v>3280</v>
      </c>
      <c r="L571" s="20" t="s">
        <v>642</v>
      </c>
      <c r="M571" s="20" t="s">
        <v>288</v>
      </c>
      <c r="N571" s="20" t="b">
        <v>1</v>
      </c>
      <c r="O571" s="2" t="b">
        <f>IF(Table1938[[#This Row],[Title]]="",TRUE,FALSE)</f>
        <v>0</v>
      </c>
      <c r="P571" s="2" t="b">
        <f>IF(Table1938[[#This Row],[Author]]="",TRUE,FALSE)</f>
        <v>0</v>
      </c>
      <c r="Q571" s="2" t="b">
        <f>IF(Table1938[[#This Row],[DOI]]&lt;&gt;"", FALSE,TRUE)</f>
        <v>0</v>
      </c>
      <c r="R571" s="2" t="b">
        <f>IF(Table1938[[#This Row],[Abstract]]="",TRUE,FALSE)</f>
        <v>0</v>
      </c>
      <c r="S571" s="2" t="b">
        <f>IF(OR(Table1938[[#This Row],[Document Type]]="book",Table1938[[#This Row],[Document Type]]="bookSection"),TRUE,FALSE)</f>
        <v>0</v>
      </c>
      <c r="T571" s="2" t="b">
        <f>NOT(IF(OR(Table1938[[#This Row],[Language]]&lt;&gt;"en",Table1938[[#This Row],[Language]]&lt;&gt;"EN",Table1938[[#This Row],[Language]]&lt;&gt;"spa",Table1938[[#This Row],[Language]]&lt;&gt;"SPA"),TRUE,FALSE))</f>
        <v>0</v>
      </c>
      <c r="U571" s="2" t="b">
        <f>IF(AND(Table1938[[#This Row],[EC-01]]=FALSE,Table1938[[#This Row],[EC-02]]=FALSE,Table1938[[#This Row],[EC-03]]=FALSE,Table1938[[#This Row],[EC-04]]=FALSE,Table1938[[#This Row],[EC-05]]=FALSE,Table1938[[#This Row],[EC-06]]=FALSE),TRUE,FALSE)</f>
        <v>1</v>
      </c>
      <c r="V571" s="2" t="b">
        <f>IF(Table1938[[#This Row],[Date]]&lt;&gt;"",AND(YEAR(Table1938[[#This Row],[Date]])&gt;=2010, YEAR(Table1938[[#This Row],[Date]])&lt;=2024),FALSE)</f>
        <v>1</v>
      </c>
      <c r="W571" s="2" t="b">
        <f>IF(Table1938[[#This Row],[Date]]&lt;&gt;"",AND(YEAR(Table1938[[#This Row],[Date]])&gt;=2010, YEAR(Table1938[[#This Row],[Date]])&lt;=2020),FALSE)</f>
        <v>0</v>
      </c>
      <c r="X571" s="2" t="b">
        <f>IF(AND(Table1938[[#This Row],[Accesible]]=TRUE,Table1938[[#This Row],[DOI]]&lt;&gt;""),TRUE,FALSE)</f>
        <v>1</v>
      </c>
      <c r="Y571" s="2" t="b">
        <f>OR(Table1938[[#This Row],[Document Type]]="journalArticle",Table1938[[#This Row],[Document Type]]="conferencePaper",Table1938[[#This Row],[Document Type]]="review")</f>
        <v>1</v>
      </c>
      <c r="Z571" s="2" t="b" cm="1">
        <f t="array" ref="Z571">SUMPRODUCT(--ISNUMBER(SEARCH({"dimensional analysis","dimensionless coefficients","Π","Pi","theorem","software","design","tools","development","architecture","similar"}, LOWER(Table1938[[#This Row],[Title]]))))&gt;0</f>
        <v>0</v>
      </c>
      <c r="AA571" s="2" t="b" cm="1">
        <f t="array" ref="AA571">SUMPRODUCT(--ISNUMBER(SEARCH({"dimensional analysis","dimensionless coefficients","Π","Pi","theorem","software","design","tools","development","architecture","similar"}, LOWER(Table1938[[#This Row],[Abstract]]))))&gt;0</f>
        <v>1</v>
      </c>
      <c r="AB571" s="2" t="b">
        <f>AND(OR(Table1938[[#This Row],[IC-01 @2024]:[IC-01 @2020]])=TRUE,Table1938[[#This Row],[IC-02]]=TRUE,Table1938[[#This Row],[IC-03]]=TRUE,Table1938[[#This Row],[IC-04]]=TRUE,Table1938[[#This Row],[IC-05]]=TRUE)</f>
        <v>0</v>
      </c>
      <c r="AC571" s="2" t="b">
        <f>AND(Table1938[[#This Row],[Pass-IC]]=TRUE,Table1938[[#This Row],[Pass-EC]]=TRUE)</f>
        <v>0</v>
      </c>
      <c r="AD571" s="2" t="b">
        <f>COUNTIF($D$25:D571, Table1938[[#This Row],[Title]]) = 1</f>
        <v>1</v>
      </c>
      <c r="AE571" s="2" t="b">
        <f>AND(Table1938[[#This Row],[IC + EC]:[Unique]])</f>
        <v>0</v>
      </c>
      <c r="AF571" s="2" t="b">
        <v>0</v>
      </c>
      <c r="AG571" s="2" t="b">
        <v>0</v>
      </c>
      <c r="AH571" s="2" t="b">
        <v>0</v>
      </c>
      <c r="AI571" s="2" t="b">
        <f>IF(AND(Table1938[[#This Row],[Double Check]]=TRUE,Table1938[[#This Row],[Inspected]]=TRUE,Table1938[[#This Row],[Relevant]]=TRUE),TRUE,FALSE)</f>
        <v>0</v>
      </c>
    </row>
    <row r="572" spans="1:35" ht="43" x14ac:dyDescent="0.5">
      <c r="A572" s="2">
        <v>571</v>
      </c>
      <c r="B572" s="20" t="s">
        <v>1</v>
      </c>
      <c r="C572" s="20" t="s">
        <v>3281</v>
      </c>
      <c r="D572" s="20" t="s">
        <v>274</v>
      </c>
      <c r="E572" s="20" t="s">
        <v>657</v>
      </c>
      <c r="F572" s="2" t="s">
        <v>146</v>
      </c>
      <c r="G572" s="20" t="s">
        <v>163</v>
      </c>
      <c r="H572" s="36">
        <v>42370</v>
      </c>
      <c r="I572" s="20">
        <v>2016</v>
      </c>
      <c r="J572" s="20" t="s">
        <v>61</v>
      </c>
      <c r="K572" s="20" t="s">
        <v>3282</v>
      </c>
      <c r="L572" s="20" t="s">
        <v>2515</v>
      </c>
      <c r="M572" s="20" t="s">
        <v>275</v>
      </c>
      <c r="N572" s="20" t="b">
        <v>0</v>
      </c>
      <c r="O572" s="2" t="b">
        <f>IF(Table1938[[#This Row],[Title]]="",TRUE,FALSE)</f>
        <v>0</v>
      </c>
      <c r="P572" s="2" t="b">
        <f>IF(Table1938[[#This Row],[Author]]="",TRUE,FALSE)</f>
        <v>0</v>
      </c>
      <c r="Q572" s="2" t="b">
        <f>IF(Table1938[[#This Row],[DOI]]&lt;&gt;"", FALSE,TRUE)</f>
        <v>0</v>
      </c>
      <c r="R572" s="2" t="b">
        <f>IF(Table1938[[#This Row],[Abstract]]="",TRUE,FALSE)</f>
        <v>0</v>
      </c>
      <c r="S572" s="2" t="b">
        <f>IF(OR(Table1938[[#This Row],[Document Type]]="book",Table1938[[#This Row],[Document Type]]="bookSection"),TRUE,FALSE)</f>
        <v>0</v>
      </c>
      <c r="T572" s="2" t="b">
        <f>NOT(IF(OR(Table1938[[#This Row],[Language]]&lt;&gt;"en",Table1938[[#This Row],[Language]]&lt;&gt;"EN",Table1938[[#This Row],[Language]]&lt;&gt;"spa",Table1938[[#This Row],[Language]]&lt;&gt;"SPA"),TRUE,FALSE))</f>
        <v>0</v>
      </c>
      <c r="U572" s="2" t="b">
        <f>IF(AND(Table1938[[#This Row],[EC-01]]=FALSE,Table1938[[#This Row],[EC-02]]=FALSE,Table1938[[#This Row],[EC-03]]=FALSE,Table1938[[#This Row],[EC-04]]=FALSE,Table1938[[#This Row],[EC-05]]=FALSE,Table1938[[#This Row],[EC-06]]=FALSE),TRUE,FALSE)</f>
        <v>1</v>
      </c>
      <c r="V572" s="2" t="b">
        <f>IF(Table1938[[#This Row],[Date]]&lt;&gt;"",AND(YEAR(Table1938[[#This Row],[Date]])&gt;=2010, YEAR(Table1938[[#This Row],[Date]])&lt;=2024),FALSE)</f>
        <v>1</v>
      </c>
      <c r="W572" s="2" t="b">
        <f>IF(Table1938[[#This Row],[Date]]&lt;&gt;"",AND(YEAR(Table1938[[#This Row],[Date]])&gt;=2010, YEAR(Table1938[[#This Row],[Date]])&lt;=2020),FALSE)</f>
        <v>1</v>
      </c>
      <c r="X572" s="2" t="b">
        <f>IF(AND(Table1938[[#This Row],[Accesible]]=TRUE,Table1938[[#This Row],[DOI]]&lt;&gt;""),TRUE,FALSE)</f>
        <v>0</v>
      </c>
      <c r="Y572" s="2" t="b">
        <f>OR(Table1938[[#This Row],[Document Type]]="journalArticle",Table1938[[#This Row],[Document Type]]="conferencePaper",Table1938[[#This Row],[Document Type]]="review")</f>
        <v>1</v>
      </c>
      <c r="Z572" s="2" t="b" cm="1">
        <f t="array" ref="Z572">SUMPRODUCT(--ISNUMBER(SEARCH({"dimensional analysis","dimensionless coefficients","Π","Pi","theorem","software","design","tools","development","architecture","similar"}, LOWER(Table1938[[#This Row],[Title]]))))&gt;0</f>
        <v>0</v>
      </c>
      <c r="AA572" s="2" t="b" cm="1">
        <f t="array" ref="AA572">SUMPRODUCT(--ISNUMBER(SEARCH({"dimensional analysis","dimensionless coefficients","Π","Pi","theorem","software","design","tools","development","architecture","similar"}, LOWER(Table1938[[#This Row],[Abstract]]))))&gt;0</f>
        <v>1</v>
      </c>
      <c r="AB572" s="2" t="b">
        <f>AND(OR(Table1938[[#This Row],[IC-01 @2024]:[IC-01 @2020]])=TRUE,Table1938[[#This Row],[IC-02]]=TRUE,Table1938[[#This Row],[IC-03]]=TRUE,Table1938[[#This Row],[IC-04]]=TRUE,Table1938[[#This Row],[IC-05]]=TRUE)</f>
        <v>0</v>
      </c>
      <c r="AC572" s="2" t="b">
        <f>AND(Table1938[[#This Row],[Pass-IC]]=TRUE,Table1938[[#This Row],[Pass-EC]]=TRUE)</f>
        <v>0</v>
      </c>
      <c r="AD572" s="2" t="b">
        <f>COUNTIF($D$25:D572, Table1938[[#This Row],[Title]]) = 1</f>
        <v>1</v>
      </c>
      <c r="AE572" s="2" t="b">
        <f>AND(Table1938[[#This Row],[IC + EC]:[Unique]])</f>
        <v>0</v>
      </c>
      <c r="AF572" s="2" t="b">
        <v>0</v>
      </c>
      <c r="AG572" s="2" t="b">
        <v>0</v>
      </c>
      <c r="AH572" s="2" t="b">
        <v>0</v>
      </c>
      <c r="AI572" s="2" t="b">
        <f>IF(AND(Table1938[[#This Row],[Double Check]]=TRUE,Table1938[[#This Row],[Inspected]]=TRUE,Table1938[[#This Row],[Relevant]]=TRUE),TRUE,FALSE)</f>
        <v>0</v>
      </c>
    </row>
    <row r="573" spans="1:35" ht="28.7" x14ac:dyDescent="0.5">
      <c r="A573" s="2">
        <v>572</v>
      </c>
      <c r="B573" s="20" t="s">
        <v>1</v>
      </c>
      <c r="C573" s="20" t="s">
        <v>3283</v>
      </c>
      <c r="D573" s="20" t="s">
        <v>237</v>
      </c>
      <c r="E573" s="20" t="s">
        <v>350</v>
      </c>
      <c r="F573" s="2" t="s">
        <v>248</v>
      </c>
      <c r="G573" s="20" t="s">
        <v>658</v>
      </c>
      <c r="H573" s="36">
        <v>42522</v>
      </c>
      <c r="I573" s="20">
        <v>2016</v>
      </c>
      <c r="J573" s="20" t="s">
        <v>61</v>
      </c>
      <c r="K573" s="20" t="s">
        <v>3284</v>
      </c>
      <c r="L573" s="20" t="s">
        <v>2515</v>
      </c>
      <c r="M573" s="20" t="s">
        <v>238</v>
      </c>
      <c r="N573" s="20" t="b">
        <v>0</v>
      </c>
      <c r="O573" s="2" t="b">
        <f>IF(Table1938[[#This Row],[Title]]="",TRUE,FALSE)</f>
        <v>0</v>
      </c>
      <c r="P573" s="2" t="b">
        <f>IF(Table1938[[#This Row],[Author]]="",TRUE,FALSE)</f>
        <v>0</v>
      </c>
      <c r="Q573" s="2" t="b">
        <f>IF(Table1938[[#This Row],[DOI]]&lt;&gt;"", FALSE,TRUE)</f>
        <v>0</v>
      </c>
      <c r="R573" s="2" t="b">
        <f>IF(Table1938[[#This Row],[Abstract]]="",TRUE,FALSE)</f>
        <v>0</v>
      </c>
      <c r="S573" s="2" t="b">
        <f>IF(OR(Table1938[[#This Row],[Document Type]]="book",Table1938[[#This Row],[Document Type]]="bookSection"),TRUE,FALSE)</f>
        <v>0</v>
      </c>
      <c r="T573" s="2" t="b">
        <f>NOT(IF(OR(Table1938[[#This Row],[Language]]&lt;&gt;"en",Table1938[[#This Row],[Language]]&lt;&gt;"EN",Table1938[[#This Row],[Language]]&lt;&gt;"spa",Table1938[[#This Row],[Language]]&lt;&gt;"SPA"),TRUE,FALSE))</f>
        <v>0</v>
      </c>
      <c r="U573" s="2" t="b">
        <f>IF(AND(Table1938[[#This Row],[EC-01]]=FALSE,Table1938[[#This Row],[EC-02]]=FALSE,Table1938[[#This Row],[EC-03]]=FALSE,Table1938[[#This Row],[EC-04]]=FALSE,Table1938[[#This Row],[EC-05]]=FALSE,Table1938[[#This Row],[EC-06]]=FALSE),TRUE,FALSE)</f>
        <v>1</v>
      </c>
      <c r="V573" s="2" t="b">
        <f>IF(Table1938[[#This Row],[Date]]&lt;&gt;"",AND(YEAR(Table1938[[#This Row],[Date]])&gt;=2010, YEAR(Table1938[[#This Row],[Date]])&lt;=2024),FALSE)</f>
        <v>1</v>
      </c>
      <c r="W573" s="2" t="b">
        <f>IF(Table1938[[#This Row],[Date]]&lt;&gt;"",AND(YEAR(Table1938[[#This Row],[Date]])&gt;=2010, YEAR(Table1938[[#This Row],[Date]])&lt;=2020),FALSE)</f>
        <v>1</v>
      </c>
      <c r="X573" s="2" t="b">
        <f>IF(AND(Table1938[[#This Row],[Accesible]]=TRUE,Table1938[[#This Row],[DOI]]&lt;&gt;""),TRUE,FALSE)</f>
        <v>0</v>
      </c>
      <c r="Y573" s="2" t="b">
        <f>OR(Table1938[[#This Row],[Document Type]]="journalArticle",Table1938[[#This Row],[Document Type]]="conferencePaper",Table1938[[#This Row],[Document Type]]="review")</f>
        <v>1</v>
      </c>
      <c r="Z573" s="2" t="b" cm="1">
        <f t="array" ref="Z573">SUMPRODUCT(--ISNUMBER(SEARCH({"dimensional analysis","dimensionless coefficients","Π","Pi","theorem","software","design","tools","development","architecture","similar"}, LOWER(Table1938[[#This Row],[Title]]))))&gt;0</f>
        <v>0</v>
      </c>
      <c r="AA573" s="2" t="b" cm="1">
        <f t="array" ref="AA573">SUMPRODUCT(--ISNUMBER(SEARCH({"dimensional analysis","dimensionless coefficients","Π","Pi","theorem","software","design","tools","development","architecture","similar"}, LOWER(Table1938[[#This Row],[Abstract]]))))&gt;0</f>
        <v>1</v>
      </c>
      <c r="AB573" s="2" t="b">
        <f>AND(OR(Table1938[[#This Row],[IC-01 @2024]:[IC-01 @2020]])=TRUE,Table1938[[#This Row],[IC-02]]=TRUE,Table1938[[#This Row],[IC-03]]=TRUE,Table1938[[#This Row],[IC-04]]=TRUE,Table1938[[#This Row],[IC-05]]=TRUE)</f>
        <v>0</v>
      </c>
      <c r="AC573" s="2" t="b">
        <f>AND(Table1938[[#This Row],[Pass-IC]]=TRUE,Table1938[[#This Row],[Pass-EC]]=TRUE)</f>
        <v>0</v>
      </c>
      <c r="AD573" s="2" t="b">
        <f>COUNTIF($D$25:D573, Table1938[[#This Row],[Title]]) = 1</f>
        <v>1</v>
      </c>
      <c r="AE573" s="2" t="b">
        <f>AND(Table1938[[#This Row],[IC + EC]:[Unique]])</f>
        <v>0</v>
      </c>
      <c r="AF573" s="2" t="b">
        <v>0</v>
      </c>
      <c r="AG573" s="2" t="b">
        <v>0</v>
      </c>
      <c r="AH573" s="2" t="b">
        <v>0</v>
      </c>
      <c r="AI573" s="2" t="b">
        <f>IF(AND(Table1938[[#This Row],[Double Check]]=TRUE,Table1938[[#This Row],[Inspected]]=TRUE,Table1938[[#This Row],[Relevant]]=TRUE),TRUE,FALSE)</f>
        <v>0</v>
      </c>
    </row>
    <row r="574" spans="1:35" ht="71.7" x14ac:dyDescent="0.5">
      <c r="A574" s="2">
        <v>573</v>
      </c>
      <c r="B574" s="20" t="s">
        <v>1</v>
      </c>
      <c r="C574" s="20" t="s">
        <v>3285</v>
      </c>
      <c r="D574" s="20" t="s">
        <v>660</v>
      </c>
      <c r="E574" s="20" t="s">
        <v>659</v>
      </c>
      <c r="F574" s="2" t="s">
        <v>662</v>
      </c>
      <c r="G574" s="20" t="s">
        <v>163</v>
      </c>
      <c r="H574" s="36">
        <v>45323</v>
      </c>
      <c r="I574" s="20">
        <v>2024</v>
      </c>
      <c r="J574" s="20" t="s">
        <v>61</v>
      </c>
      <c r="K574" s="20" t="s">
        <v>3286</v>
      </c>
      <c r="L574" s="20" t="s">
        <v>2515</v>
      </c>
      <c r="M574" s="20" t="s">
        <v>661</v>
      </c>
      <c r="N574" s="20" t="b">
        <v>0</v>
      </c>
      <c r="O574" s="2" t="b">
        <f>IF(Table1938[[#This Row],[Title]]="",TRUE,FALSE)</f>
        <v>0</v>
      </c>
      <c r="P574" s="2" t="b">
        <f>IF(Table1938[[#This Row],[Author]]="",TRUE,FALSE)</f>
        <v>0</v>
      </c>
      <c r="Q574" s="2" t="b">
        <f>IF(Table1938[[#This Row],[DOI]]&lt;&gt;"", FALSE,TRUE)</f>
        <v>0</v>
      </c>
      <c r="R574" s="2" t="b">
        <f>IF(Table1938[[#This Row],[Abstract]]="",TRUE,FALSE)</f>
        <v>0</v>
      </c>
      <c r="S574" s="2" t="b">
        <f>IF(OR(Table1938[[#This Row],[Document Type]]="book",Table1938[[#This Row],[Document Type]]="bookSection"),TRUE,FALSE)</f>
        <v>0</v>
      </c>
      <c r="T574" s="2" t="b">
        <f>NOT(IF(OR(Table1938[[#This Row],[Language]]&lt;&gt;"en",Table1938[[#This Row],[Language]]&lt;&gt;"EN",Table1938[[#This Row],[Language]]&lt;&gt;"spa",Table1938[[#This Row],[Language]]&lt;&gt;"SPA"),TRUE,FALSE))</f>
        <v>0</v>
      </c>
      <c r="U574" s="2" t="b">
        <f>IF(AND(Table1938[[#This Row],[EC-01]]=FALSE,Table1938[[#This Row],[EC-02]]=FALSE,Table1938[[#This Row],[EC-03]]=FALSE,Table1938[[#This Row],[EC-04]]=FALSE,Table1938[[#This Row],[EC-05]]=FALSE,Table1938[[#This Row],[EC-06]]=FALSE),TRUE,FALSE)</f>
        <v>1</v>
      </c>
      <c r="V574" s="2" t="b">
        <f>IF(Table1938[[#This Row],[Date]]&lt;&gt;"",AND(YEAR(Table1938[[#This Row],[Date]])&gt;=2010, YEAR(Table1938[[#This Row],[Date]])&lt;=2024),FALSE)</f>
        <v>1</v>
      </c>
      <c r="W574" s="2" t="b">
        <f>IF(Table1938[[#This Row],[Date]]&lt;&gt;"",AND(YEAR(Table1938[[#This Row],[Date]])&gt;=2010, YEAR(Table1938[[#This Row],[Date]])&lt;=2020),FALSE)</f>
        <v>0</v>
      </c>
      <c r="X574" s="2" t="b">
        <f>IF(AND(Table1938[[#This Row],[Accesible]]=TRUE,Table1938[[#This Row],[DOI]]&lt;&gt;""),TRUE,FALSE)</f>
        <v>0</v>
      </c>
      <c r="Y574" s="2" t="b">
        <f>OR(Table1938[[#This Row],[Document Type]]="journalArticle",Table1938[[#This Row],[Document Type]]="conferencePaper",Table1938[[#This Row],[Document Type]]="review")</f>
        <v>1</v>
      </c>
      <c r="Z574" s="2" t="b" cm="1">
        <f t="array" ref="Z574">SUMPRODUCT(--ISNUMBER(SEARCH({"dimensional analysis","dimensionless coefficients","Π","Pi","theorem","software","design","tools","development","architecture","similar"}, LOWER(Table1938[[#This Row],[Title]]))))&gt;0</f>
        <v>0</v>
      </c>
      <c r="AA574" s="2" t="b" cm="1">
        <f t="array" ref="AA574">SUMPRODUCT(--ISNUMBER(SEARCH({"dimensional analysis","dimensionless coefficients","Π","Pi","theorem","software","design","tools","development","architecture","similar"}, LOWER(Table1938[[#This Row],[Abstract]]))))&gt;0</f>
        <v>1</v>
      </c>
      <c r="AB574" s="2" t="b">
        <f>AND(OR(Table1938[[#This Row],[IC-01 @2024]:[IC-01 @2020]])=TRUE,Table1938[[#This Row],[IC-02]]=TRUE,Table1938[[#This Row],[IC-03]]=TRUE,Table1938[[#This Row],[IC-04]]=TRUE,Table1938[[#This Row],[IC-05]]=TRUE)</f>
        <v>0</v>
      </c>
      <c r="AC574" s="2" t="b">
        <f>AND(Table1938[[#This Row],[Pass-IC]]=TRUE,Table1938[[#This Row],[Pass-EC]]=TRUE)</f>
        <v>0</v>
      </c>
      <c r="AD574" s="2" t="b">
        <f>COUNTIF($D$25:D574, Table1938[[#This Row],[Title]]) = 1</f>
        <v>1</v>
      </c>
      <c r="AE574" s="2" t="b">
        <f>AND(Table1938[[#This Row],[IC + EC]:[Unique]])</f>
        <v>0</v>
      </c>
      <c r="AF574" s="2" t="b">
        <v>0</v>
      </c>
      <c r="AG574" s="2" t="b">
        <v>0</v>
      </c>
      <c r="AH574" s="2" t="b">
        <v>0</v>
      </c>
      <c r="AI574" s="2" t="b">
        <f>IF(AND(Table1938[[#This Row],[Double Check]]=TRUE,Table1938[[#This Row],[Inspected]]=TRUE,Table1938[[#This Row],[Relevant]]=TRUE),TRUE,FALSE)</f>
        <v>0</v>
      </c>
    </row>
    <row r="575" spans="1:35" ht="57.35" x14ac:dyDescent="0.5">
      <c r="A575" s="2">
        <v>574</v>
      </c>
      <c r="B575" s="20" t="s">
        <v>1</v>
      </c>
      <c r="C575" s="20" t="s">
        <v>3287</v>
      </c>
      <c r="D575" s="20" t="s">
        <v>664</v>
      </c>
      <c r="E575" s="20" t="s">
        <v>663</v>
      </c>
      <c r="F575" s="2" t="s">
        <v>666</v>
      </c>
      <c r="G575" s="20" t="s">
        <v>163</v>
      </c>
      <c r="H575" s="36">
        <v>45078</v>
      </c>
      <c r="I575" s="20">
        <v>2023</v>
      </c>
      <c r="J575" s="20" t="s">
        <v>61</v>
      </c>
      <c r="K575" s="20" t="s">
        <v>3288</v>
      </c>
      <c r="L575" s="20" t="s">
        <v>2515</v>
      </c>
      <c r="M575" s="20" t="s">
        <v>665</v>
      </c>
      <c r="N575" s="20" t="b">
        <v>0</v>
      </c>
      <c r="O575" s="2" t="b">
        <f>IF(Table1938[[#This Row],[Title]]="",TRUE,FALSE)</f>
        <v>0</v>
      </c>
      <c r="P575" s="2" t="b">
        <f>IF(Table1938[[#This Row],[Author]]="",TRUE,FALSE)</f>
        <v>0</v>
      </c>
      <c r="Q575" s="2" t="b">
        <f>IF(Table1938[[#This Row],[DOI]]&lt;&gt;"", FALSE,TRUE)</f>
        <v>0</v>
      </c>
      <c r="R575" s="2" t="b">
        <f>IF(Table1938[[#This Row],[Abstract]]="",TRUE,FALSE)</f>
        <v>0</v>
      </c>
      <c r="S575" s="2" t="b">
        <f>IF(OR(Table1938[[#This Row],[Document Type]]="book",Table1938[[#This Row],[Document Type]]="bookSection"),TRUE,FALSE)</f>
        <v>0</v>
      </c>
      <c r="T575" s="2" t="b">
        <f>NOT(IF(OR(Table1938[[#This Row],[Language]]&lt;&gt;"en",Table1938[[#This Row],[Language]]&lt;&gt;"EN",Table1938[[#This Row],[Language]]&lt;&gt;"spa",Table1938[[#This Row],[Language]]&lt;&gt;"SPA"),TRUE,FALSE))</f>
        <v>0</v>
      </c>
      <c r="U575" s="2" t="b">
        <f>IF(AND(Table1938[[#This Row],[EC-01]]=FALSE,Table1938[[#This Row],[EC-02]]=FALSE,Table1938[[#This Row],[EC-03]]=FALSE,Table1938[[#This Row],[EC-04]]=FALSE,Table1938[[#This Row],[EC-05]]=FALSE,Table1938[[#This Row],[EC-06]]=FALSE),TRUE,FALSE)</f>
        <v>1</v>
      </c>
      <c r="V575" s="2" t="b">
        <f>IF(Table1938[[#This Row],[Date]]&lt;&gt;"",AND(YEAR(Table1938[[#This Row],[Date]])&gt;=2010, YEAR(Table1938[[#This Row],[Date]])&lt;=2024),FALSE)</f>
        <v>1</v>
      </c>
      <c r="W575" s="2" t="b">
        <f>IF(Table1938[[#This Row],[Date]]&lt;&gt;"",AND(YEAR(Table1938[[#This Row],[Date]])&gt;=2010, YEAR(Table1938[[#This Row],[Date]])&lt;=2020),FALSE)</f>
        <v>0</v>
      </c>
      <c r="X575" s="2" t="b">
        <f>IF(AND(Table1938[[#This Row],[Accesible]]=TRUE,Table1938[[#This Row],[DOI]]&lt;&gt;""),TRUE,FALSE)</f>
        <v>0</v>
      </c>
      <c r="Y575" s="2" t="b">
        <f>OR(Table1938[[#This Row],[Document Type]]="journalArticle",Table1938[[#This Row],[Document Type]]="conferencePaper",Table1938[[#This Row],[Document Type]]="review")</f>
        <v>1</v>
      </c>
      <c r="Z575" s="2" t="b" cm="1">
        <f t="array" ref="Z575">SUMPRODUCT(--ISNUMBER(SEARCH({"dimensional analysis","dimensionless coefficients","Π","Pi","theorem","software","design","tools","development","architecture","similar"}, LOWER(Table1938[[#This Row],[Title]]))))&gt;0</f>
        <v>0</v>
      </c>
      <c r="AA575" s="2" t="b" cm="1">
        <f t="array" ref="AA575">SUMPRODUCT(--ISNUMBER(SEARCH({"dimensional analysis","dimensionless coefficients","Π","Pi","theorem","software","design","tools","development","architecture","similar"}, LOWER(Table1938[[#This Row],[Abstract]]))))&gt;0</f>
        <v>1</v>
      </c>
      <c r="AB575" s="2" t="b">
        <f>AND(OR(Table1938[[#This Row],[IC-01 @2024]:[IC-01 @2020]])=TRUE,Table1938[[#This Row],[IC-02]]=TRUE,Table1938[[#This Row],[IC-03]]=TRUE,Table1938[[#This Row],[IC-04]]=TRUE,Table1938[[#This Row],[IC-05]]=TRUE)</f>
        <v>0</v>
      </c>
      <c r="AC575" s="2" t="b">
        <f>AND(Table1938[[#This Row],[Pass-IC]]=TRUE,Table1938[[#This Row],[Pass-EC]]=TRUE)</f>
        <v>0</v>
      </c>
      <c r="AD575" s="2" t="b">
        <f>COUNTIF($D$25:D575, Table1938[[#This Row],[Title]]) = 1</f>
        <v>1</v>
      </c>
      <c r="AE575" s="2" t="b">
        <f>AND(Table1938[[#This Row],[IC + EC]:[Unique]])</f>
        <v>0</v>
      </c>
      <c r="AF575" s="2" t="b">
        <v>0</v>
      </c>
      <c r="AG575" s="2" t="b">
        <v>0</v>
      </c>
      <c r="AH575" s="2" t="b">
        <v>0</v>
      </c>
      <c r="AI575" s="2" t="b">
        <f>IF(AND(Table1938[[#This Row],[Double Check]]=TRUE,Table1938[[#This Row],[Inspected]]=TRUE,Table1938[[#This Row],[Relevant]]=TRUE),TRUE,FALSE)</f>
        <v>0</v>
      </c>
    </row>
    <row r="576" spans="1:35" ht="57.35" x14ac:dyDescent="0.5">
      <c r="A576" s="2">
        <v>575</v>
      </c>
      <c r="B576" s="20" t="s">
        <v>1</v>
      </c>
      <c r="C576" s="20" t="s">
        <v>2789</v>
      </c>
      <c r="D576" s="20" t="s">
        <v>200</v>
      </c>
      <c r="E576" s="20" t="s">
        <v>667</v>
      </c>
      <c r="F576" s="2" t="s">
        <v>669</v>
      </c>
      <c r="G576" s="20" t="s">
        <v>668</v>
      </c>
      <c r="H576" s="36">
        <v>43009</v>
      </c>
      <c r="I576" s="20">
        <v>2017</v>
      </c>
      <c r="J576" s="20" t="s">
        <v>61</v>
      </c>
      <c r="K576" s="20" t="s">
        <v>123</v>
      </c>
      <c r="L576" s="20" t="s">
        <v>2515</v>
      </c>
      <c r="M576" s="20" t="s">
        <v>202</v>
      </c>
      <c r="N576" s="20" t="b">
        <v>0</v>
      </c>
      <c r="O576" s="2" t="b">
        <f>IF(Table1938[[#This Row],[Title]]="",TRUE,FALSE)</f>
        <v>0</v>
      </c>
      <c r="P576" s="2" t="b">
        <f>IF(Table1938[[#This Row],[Author]]="",TRUE,FALSE)</f>
        <v>0</v>
      </c>
      <c r="Q576" s="2" t="b">
        <f>IF(Table1938[[#This Row],[DOI]]&lt;&gt;"", FALSE,TRUE)</f>
        <v>0</v>
      </c>
      <c r="R576" s="2" t="b">
        <f>IF(Table1938[[#This Row],[Abstract]]="",TRUE,FALSE)</f>
        <v>0</v>
      </c>
      <c r="S576" s="2" t="b">
        <f>IF(OR(Table1938[[#This Row],[Document Type]]="book",Table1938[[#This Row],[Document Type]]="bookSection"),TRUE,FALSE)</f>
        <v>0</v>
      </c>
      <c r="T576" s="2" t="b">
        <f>NOT(IF(OR(Table1938[[#This Row],[Language]]&lt;&gt;"en",Table1938[[#This Row],[Language]]&lt;&gt;"EN",Table1938[[#This Row],[Language]]&lt;&gt;"spa",Table1938[[#This Row],[Language]]&lt;&gt;"SPA"),TRUE,FALSE))</f>
        <v>0</v>
      </c>
      <c r="U576" s="2" t="b">
        <f>IF(AND(Table1938[[#This Row],[EC-01]]=FALSE,Table1938[[#This Row],[EC-02]]=FALSE,Table1938[[#This Row],[EC-03]]=FALSE,Table1938[[#This Row],[EC-04]]=FALSE,Table1938[[#This Row],[EC-05]]=FALSE,Table1938[[#This Row],[EC-06]]=FALSE),TRUE,FALSE)</f>
        <v>1</v>
      </c>
      <c r="V576" s="2" t="b">
        <f>IF(Table1938[[#This Row],[Date]]&lt;&gt;"",AND(YEAR(Table1938[[#This Row],[Date]])&gt;=2010, YEAR(Table1938[[#This Row],[Date]])&lt;=2024),FALSE)</f>
        <v>1</v>
      </c>
      <c r="W576" s="2" t="b">
        <f>IF(Table1938[[#This Row],[Date]]&lt;&gt;"",AND(YEAR(Table1938[[#This Row],[Date]])&gt;=2010, YEAR(Table1938[[#This Row],[Date]])&lt;=2020),FALSE)</f>
        <v>1</v>
      </c>
      <c r="X576" s="2" t="b">
        <f>IF(AND(Table1938[[#This Row],[Accesible]]=TRUE,Table1938[[#This Row],[DOI]]&lt;&gt;""),TRUE,FALSE)</f>
        <v>0</v>
      </c>
      <c r="Y576" s="2" t="b">
        <f>OR(Table1938[[#This Row],[Document Type]]="journalArticle",Table1938[[#This Row],[Document Type]]="conferencePaper",Table1938[[#This Row],[Document Type]]="review")</f>
        <v>1</v>
      </c>
      <c r="Z576" s="2" t="b" cm="1">
        <f t="array" ref="Z576">SUMPRODUCT(--ISNUMBER(SEARCH({"dimensional analysis","dimensionless coefficients","Π","Pi","theorem","software","design","tools","development","architecture","similar"}, LOWER(Table1938[[#This Row],[Title]]))))&gt;0</f>
        <v>0</v>
      </c>
      <c r="AA576" s="2" t="b" cm="1">
        <f t="array" ref="AA576">SUMPRODUCT(--ISNUMBER(SEARCH({"dimensional analysis","dimensionless coefficients","Π","Pi","theorem","software","design","tools","development","architecture","similar"}, LOWER(Table1938[[#This Row],[Abstract]]))))&gt;0</f>
        <v>1</v>
      </c>
      <c r="AB576" s="2" t="b">
        <f>AND(OR(Table1938[[#This Row],[IC-01 @2024]:[IC-01 @2020]])=TRUE,Table1938[[#This Row],[IC-02]]=TRUE,Table1938[[#This Row],[IC-03]]=TRUE,Table1938[[#This Row],[IC-04]]=TRUE,Table1938[[#This Row],[IC-05]]=TRUE)</f>
        <v>0</v>
      </c>
      <c r="AC576" s="2" t="b">
        <f>AND(Table1938[[#This Row],[Pass-IC]]=TRUE,Table1938[[#This Row],[Pass-EC]]=TRUE)</f>
        <v>0</v>
      </c>
      <c r="AD576" s="2" t="b">
        <f>COUNTIF($D$25:D576, Table1938[[#This Row],[Title]]) = 1</f>
        <v>0</v>
      </c>
      <c r="AE576" s="2" t="b">
        <f>AND(Table1938[[#This Row],[IC + EC]:[Unique]])</f>
        <v>0</v>
      </c>
      <c r="AF576" s="2" t="b">
        <v>0</v>
      </c>
      <c r="AG576" s="2" t="b">
        <v>0</v>
      </c>
      <c r="AH576" s="2" t="b">
        <v>0</v>
      </c>
      <c r="AI576" s="2" t="b">
        <f>IF(AND(Table1938[[#This Row],[Double Check]]=TRUE,Table1938[[#This Row],[Inspected]]=TRUE,Table1938[[#This Row],[Relevant]]=TRUE),TRUE,FALSE)</f>
        <v>0</v>
      </c>
    </row>
    <row r="577" spans="1:35" ht="57.35" x14ac:dyDescent="0.5">
      <c r="A577" s="2">
        <v>576</v>
      </c>
      <c r="B577" s="20" t="s">
        <v>1</v>
      </c>
      <c r="C577" s="20" t="s">
        <v>2782</v>
      </c>
      <c r="D577" s="20" t="s">
        <v>165</v>
      </c>
      <c r="E577" s="20" t="s">
        <v>670</v>
      </c>
      <c r="F577" s="2" t="s">
        <v>672</v>
      </c>
      <c r="G577" s="20" t="s">
        <v>671</v>
      </c>
      <c r="H577" s="36">
        <v>43586</v>
      </c>
      <c r="I577" s="20">
        <v>2019</v>
      </c>
      <c r="J577" s="20" t="s">
        <v>61</v>
      </c>
      <c r="K577" s="20" t="s">
        <v>123</v>
      </c>
      <c r="L577" s="20" t="s">
        <v>2515</v>
      </c>
      <c r="M577" s="20" t="s">
        <v>166</v>
      </c>
      <c r="N577" s="20" t="b">
        <v>0</v>
      </c>
      <c r="O577" s="2" t="b">
        <f>IF(Table1938[[#This Row],[Title]]="",TRUE,FALSE)</f>
        <v>0</v>
      </c>
      <c r="P577" s="2" t="b">
        <f>IF(Table1938[[#This Row],[Author]]="",TRUE,FALSE)</f>
        <v>0</v>
      </c>
      <c r="Q577" s="2" t="b">
        <f>IF(Table1938[[#This Row],[DOI]]&lt;&gt;"", FALSE,TRUE)</f>
        <v>0</v>
      </c>
      <c r="R577" s="2" t="b">
        <f>IF(Table1938[[#This Row],[Abstract]]="",TRUE,FALSE)</f>
        <v>0</v>
      </c>
      <c r="S577" s="2" t="b">
        <f>IF(OR(Table1938[[#This Row],[Document Type]]="book",Table1938[[#This Row],[Document Type]]="bookSection"),TRUE,FALSE)</f>
        <v>0</v>
      </c>
      <c r="T577" s="2" t="b">
        <f>NOT(IF(OR(Table1938[[#This Row],[Language]]&lt;&gt;"en",Table1938[[#This Row],[Language]]&lt;&gt;"EN",Table1938[[#This Row],[Language]]&lt;&gt;"spa",Table1938[[#This Row],[Language]]&lt;&gt;"SPA"),TRUE,FALSE))</f>
        <v>0</v>
      </c>
      <c r="U577" s="2" t="b">
        <f>IF(AND(Table1938[[#This Row],[EC-01]]=FALSE,Table1938[[#This Row],[EC-02]]=FALSE,Table1938[[#This Row],[EC-03]]=FALSE,Table1938[[#This Row],[EC-04]]=FALSE,Table1938[[#This Row],[EC-05]]=FALSE,Table1938[[#This Row],[EC-06]]=FALSE),TRUE,FALSE)</f>
        <v>1</v>
      </c>
      <c r="V577" s="2" t="b">
        <f>IF(Table1938[[#This Row],[Date]]&lt;&gt;"",AND(YEAR(Table1938[[#This Row],[Date]])&gt;=2010, YEAR(Table1938[[#This Row],[Date]])&lt;=2024),FALSE)</f>
        <v>1</v>
      </c>
      <c r="W577" s="2" t="b">
        <f>IF(Table1938[[#This Row],[Date]]&lt;&gt;"",AND(YEAR(Table1938[[#This Row],[Date]])&gt;=2010, YEAR(Table1938[[#This Row],[Date]])&lt;=2020),FALSE)</f>
        <v>1</v>
      </c>
      <c r="X577" s="2" t="b">
        <f>IF(AND(Table1938[[#This Row],[Accesible]]=TRUE,Table1938[[#This Row],[DOI]]&lt;&gt;""),TRUE,FALSE)</f>
        <v>0</v>
      </c>
      <c r="Y577" s="2" t="b">
        <f>OR(Table1938[[#This Row],[Document Type]]="journalArticle",Table1938[[#This Row],[Document Type]]="conferencePaper",Table1938[[#This Row],[Document Type]]="review")</f>
        <v>1</v>
      </c>
      <c r="Z577" s="2" t="b" cm="1">
        <f t="array" ref="Z577">SUMPRODUCT(--ISNUMBER(SEARCH({"dimensional analysis","dimensionless coefficients","Π","Pi","theorem","software","design","tools","development","architecture","similar"}, LOWER(Table1938[[#This Row],[Title]]))))&gt;0</f>
        <v>0</v>
      </c>
      <c r="AA577" s="2" t="b" cm="1">
        <f t="array" ref="AA577">SUMPRODUCT(--ISNUMBER(SEARCH({"dimensional analysis","dimensionless coefficients","Π","Pi","theorem","software","design","tools","development","architecture","similar"}, LOWER(Table1938[[#This Row],[Abstract]]))))&gt;0</f>
        <v>1</v>
      </c>
      <c r="AB577" s="2" t="b">
        <f>AND(OR(Table1938[[#This Row],[IC-01 @2024]:[IC-01 @2020]])=TRUE,Table1938[[#This Row],[IC-02]]=TRUE,Table1938[[#This Row],[IC-03]]=TRUE,Table1938[[#This Row],[IC-04]]=TRUE,Table1938[[#This Row],[IC-05]]=TRUE)</f>
        <v>0</v>
      </c>
      <c r="AC577" s="2" t="b">
        <f>AND(Table1938[[#This Row],[Pass-IC]]=TRUE,Table1938[[#This Row],[Pass-EC]]=TRUE)</f>
        <v>0</v>
      </c>
      <c r="AD577" s="2" t="b">
        <f>COUNTIF($D$25:D577, Table1938[[#This Row],[Title]]) = 1</f>
        <v>0</v>
      </c>
      <c r="AE577" s="2" t="b">
        <f>AND(Table1938[[#This Row],[IC + EC]:[Unique]])</f>
        <v>0</v>
      </c>
      <c r="AF577" s="2" t="b">
        <v>0</v>
      </c>
      <c r="AG577" s="2" t="b">
        <v>0</v>
      </c>
      <c r="AH577" s="2" t="b">
        <v>0</v>
      </c>
      <c r="AI577" s="2" t="b">
        <f>IF(AND(Table1938[[#This Row],[Double Check]]=TRUE,Table1938[[#This Row],[Inspected]]=TRUE,Table1938[[#This Row],[Relevant]]=TRUE),TRUE,FALSE)</f>
        <v>0</v>
      </c>
    </row>
    <row r="578" spans="1:35" ht="57.35" x14ac:dyDescent="0.5">
      <c r="A578" s="2">
        <v>577</v>
      </c>
      <c r="B578" s="20" t="s">
        <v>1</v>
      </c>
      <c r="C578" s="20" t="s">
        <v>2547</v>
      </c>
      <c r="D578" s="20" t="s">
        <v>247</v>
      </c>
      <c r="E578" s="20" t="s">
        <v>673</v>
      </c>
      <c r="F578" s="2" t="s">
        <v>135</v>
      </c>
      <c r="G578" s="20" t="s">
        <v>674</v>
      </c>
      <c r="H578" s="36">
        <v>42644</v>
      </c>
      <c r="I578" s="20">
        <v>2016</v>
      </c>
      <c r="J578" s="20" t="s">
        <v>61</v>
      </c>
      <c r="K578" s="20" t="s">
        <v>123</v>
      </c>
      <c r="L578" s="20" t="s">
        <v>2515</v>
      </c>
      <c r="M578" s="20" t="s">
        <v>249</v>
      </c>
      <c r="N578" s="20" t="b">
        <v>1</v>
      </c>
      <c r="O578" s="2" t="b">
        <f>IF(Table1938[[#This Row],[Title]]="",TRUE,FALSE)</f>
        <v>0</v>
      </c>
      <c r="P578" s="2" t="b">
        <f>IF(Table1938[[#This Row],[Author]]="",TRUE,FALSE)</f>
        <v>0</v>
      </c>
      <c r="Q578" s="2" t="b">
        <f>IF(Table1938[[#This Row],[DOI]]&lt;&gt;"", FALSE,TRUE)</f>
        <v>0</v>
      </c>
      <c r="R578" s="2" t="b">
        <f>IF(Table1938[[#This Row],[Abstract]]="",TRUE,FALSE)</f>
        <v>0</v>
      </c>
      <c r="S578" s="2" t="b">
        <f>IF(OR(Table1938[[#This Row],[Document Type]]="book",Table1938[[#This Row],[Document Type]]="bookSection"),TRUE,FALSE)</f>
        <v>0</v>
      </c>
      <c r="T578" s="2" t="b">
        <f>NOT(IF(OR(Table1938[[#This Row],[Language]]&lt;&gt;"en",Table1938[[#This Row],[Language]]&lt;&gt;"EN",Table1938[[#This Row],[Language]]&lt;&gt;"spa",Table1938[[#This Row],[Language]]&lt;&gt;"SPA"),TRUE,FALSE))</f>
        <v>0</v>
      </c>
      <c r="U578" s="2" t="b">
        <f>IF(AND(Table1938[[#This Row],[EC-01]]=FALSE,Table1938[[#This Row],[EC-02]]=FALSE,Table1938[[#This Row],[EC-03]]=FALSE,Table1938[[#This Row],[EC-04]]=FALSE,Table1938[[#This Row],[EC-05]]=FALSE,Table1938[[#This Row],[EC-06]]=FALSE),TRUE,FALSE)</f>
        <v>1</v>
      </c>
      <c r="V578" s="2" t="b">
        <f>IF(Table1938[[#This Row],[Date]]&lt;&gt;"",AND(YEAR(Table1938[[#This Row],[Date]])&gt;=2010, YEAR(Table1938[[#This Row],[Date]])&lt;=2024),FALSE)</f>
        <v>1</v>
      </c>
      <c r="W578" s="2" t="b">
        <f>IF(Table1938[[#This Row],[Date]]&lt;&gt;"",AND(YEAR(Table1938[[#This Row],[Date]])&gt;=2010, YEAR(Table1938[[#This Row],[Date]])&lt;=2020),FALSE)</f>
        <v>1</v>
      </c>
      <c r="X578" s="2" t="b">
        <f>IF(AND(Table1938[[#This Row],[Accesible]]=TRUE,Table1938[[#This Row],[DOI]]&lt;&gt;""),TRUE,FALSE)</f>
        <v>1</v>
      </c>
      <c r="Y578" s="2" t="b">
        <f>OR(Table1938[[#This Row],[Document Type]]="journalArticle",Table1938[[#This Row],[Document Type]]="conferencePaper",Table1938[[#This Row],[Document Type]]="review")</f>
        <v>1</v>
      </c>
      <c r="Z578" s="2" t="b" cm="1">
        <f t="array" ref="Z578">SUMPRODUCT(--ISNUMBER(SEARCH({"dimensional analysis","dimensionless coefficients","Π","Pi","theorem","software","design","tools","development","architecture","similar"}, LOWER(Table1938[[#This Row],[Title]]))))&gt;0</f>
        <v>0</v>
      </c>
      <c r="AA578" s="2" t="b" cm="1">
        <f t="array" ref="AA578">SUMPRODUCT(--ISNUMBER(SEARCH({"dimensional analysis","dimensionless coefficients","Π","Pi","theorem","software","design","tools","development","architecture","similar"}, LOWER(Table1938[[#This Row],[Abstract]]))))&gt;0</f>
        <v>1</v>
      </c>
      <c r="AB578" s="2" t="b">
        <f>AND(OR(Table1938[[#This Row],[IC-01 @2024]:[IC-01 @2020]])=TRUE,Table1938[[#This Row],[IC-02]]=TRUE,Table1938[[#This Row],[IC-03]]=TRUE,Table1938[[#This Row],[IC-04]]=TRUE,Table1938[[#This Row],[IC-05]]=TRUE)</f>
        <v>0</v>
      </c>
      <c r="AC578" s="2" t="b">
        <f>AND(Table1938[[#This Row],[Pass-IC]]=TRUE,Table1938[[#This Row],[Pass-EC]]=TRUE)</f>
        <v>0</v>
      </c>
      <c r="AD578" s="2" t="b">
        <f>COUNTIF($D$25:D578, Table1938[[#This Row],[Title]]) = 1</f>
        <v>1</v>
      </c>
      <c r="AE578" s="2" t="b">
        <f>AND(Table1938[[#This Row],[IC + EC]:[Unique]])</f>
        <v>0</v>
      </c>
      <c r="AF578" s="2" t="b">
        <v>0</v>
      </c>
      <c r="AG578" s="2" t="b">
        <v>0</v>
      </c>
      <c r="AH578" s="2" t="b">
        <v>0</v>
      </c>
      <c r="AI578" s="2" t="b">
        <f>IF(AND(Table1938[[#This Row],[Double Check]]=TRUE,Table1938[[#This Row],[Inspected]]=TRUE,Table1938[[#This Row],[Relevant]]=TRUE),TRUE,FALSE)</f>
        <v>0</v>
      </c>
    </row>
    <row r="579" spans="1:35" ht="57.35" x14ac:dyDescent="0.5">
      <c r="A579" s="2">
        <v>578</v>
      </c>
      <c r="B579" s="20" t="s">
        <v>1</v>
      </c>
      <c r="C579" s="20" t="s">
        <v>2876</v>
      </c>
      <c r="D579" s="20" t="s">
        <v>676</v>
      </c>
      <c r="E579" s="20" t="s">
        <v>675</v>
      </c>
      <c r="F579" s="2" t="s">
        <v>679</v>
      </c>
      <c r="G579" s="20" t="s">
        <v>677</v>
      </c>
      <c r="H579" s="36">
        <v>45113</v>
      </c>
      <c r="I579" s="20">
        <v>2023</v>
      </c>
      <c r="J579" s="20" t="s">
        <v>61</v>
      </c>
      <c r="K579" s="20" t="s">
        <v>123</v>
      </c>
      <c r="L579" s="20" t="s">
        <v>2515</v>
      </c>
      <c r="M579" s="20" t="s">
        <v>678</v>
      </c>
      <c r="N579" s="20" t="b">
        <v>1</v>
      </c>
      <c r="O579" s="2" t="b">
        <f>IF(Table1938[[#This Row],[Title]]="",TRUE,FALSE)</f>
        <v>0</v>
      </c>
      <c r="P579" s="2" t="b">
        <f>IF(Table1938[[#This Row],[Author]]="",TRUE,FALSE)</f>
        <v>0</v>
      </c>
      <c r="Q579" s="2" t="b">
        <f>IF(Table1938[[#This Row],[DOI]]&lt;&gt;"", FALSE,TRUE)</f>
        <v>0</v>
      </c>
      <c r="R579" s="2" t="b">
        <f>IF(Table1938[[#This Row],[Abstract]]="",TRUE,FALSE)</f>
        <v>0</v>
      </c>
      <c r="S579" s="2" t="b">
        <f>IF(OR(Table1938[[#This Row],[Document Type]]="book",Table1938[[#This Row],[Document Type]]="bookSection"),TRUE,FALSE)</f>
        <v>0</v>
      </c>
      <c r="T579" s="2" t="b">
        <f>NOT(IF(OR(Table1938[[#This Row],[Language]]&lt;&gt;"en",Table1938[[#This Row],[Language]]&lt;&gt;"EN",Table1938[[#This Row],[Language]]&lt;&gt;"spa",Table1938[[#This Row],[Language]]&lt;&gt;"SPA"),TRUE,FALSE))</f>
        <v>0</v>
      </c>
      <c r="U579" s="2" t="b">
        <f>IF(AND(Table1938[[#This Row],[EC-01]]=FALSE,Table1938[[#This Row],[EC-02]]=FALSE,Table1938[[#This Row],[EC-03]]=FALSE,Table1938[[#This Row],[EC-04]]=FALSE,Table1938[[#This Row],[EC-05]]=FALSE,Table1938[[#This Row],[EC-06]]=FALSE),TRUE,FALSE)</f>
        <v>1</v>
      </c>
      <c r="V579" s="2" t="b">
        <f>IF(Table1938[[#This Row],[Date]]&lt;&gt;"",AND(YEAR(Table1938[[#This Row],[Date]])&gt;=2010, YEAR(Table1938[[#This Row],[Date]])&lt;=2024),FALSE)</f>
        <v>1</v>
      </c>
      <c r="W579" s="2" t="b">
        <f>IF(Table1938[[#This Row],[Date]]&lt;&gt;"",AND(YEAR(Table1938[[#This Row],[Date]])&gt;=2010, YEAR(Table1938[[#This Row],[Date]])&lt;=2020),FALSE)</f>
        <v>0</v>
      </c>
      <c r="X579" s="2" t="b">
        <f>IF(AND(Table1938[[#This Row],[Accesible]]=TRUE,Table1938[[#This Row],[DOI]]&lt;&gt;""),TRUE,FALSE)</f>
        <v>1</v>
      </c>
      <c r="Y579" s="2" t="b">
        <f>OR(Table1938[[#This Row],[Document Type]]="journalArticle",Table1938[[#This Row],[Document Type]]="conferencePaper",Table1938[[#This Row],[Document Type]]="review")</f>
        <v>1</v>
      </c>
      <c r="Z579" s="2" t="b" cm="1">
        <f t="array" ref="Z579">SUMPRODUCT(--ISNUMBER(SEARCH({"dimensional analysis","dimensionless coefficients","Π","Pi","theorem","software","design","tools","development","architecture","similar"}, LOWER(Table1938[[#This Row],[Title]]))))&gt;0</f>
        <v>0</v>
      </c>
      <c r="AA579" s="2" t="b" cm="1">
        <f t="array" ref="AA579">SUMPRODUCT(--ISNUMBER(SEARCH({"dimensional analysis","dimensionless coefficients","Π","Pi","theorem","software","design","tools","development","architecture","similar"}, LOWER(Table1938[[#This Row],[Abstract]]))))&gt;0</f>
        <v>0</v>
      </c>
      <c r="AB579" s="2" t="b">
        <f>AND(OR(Table1938[[#This Row],[IC-01 @2024]:[IC-01 @2020]])=TRUE,Table1938[[#This Row],[IC-02]]=TRUE,Table1938[[#This Row],[IC-03]]=TRUE,Table1938[[#This Row],[IC-04]]=TRUE,Table1938[[#This Row],[IC-05]]=TRUE)</f>
        <v>0</v>
      </c>
      <c r="AC579" s="2" t="b">
        <f>AND(Table1938[[#This Row],[Pass-IC]]=TRUE,Table1938[[#This Row],[Pass-EC]]=TRUE)</f>
        <v>0</v>
      </c>
      <c r="AD579" s="2" t="b">
        <f>COUNTIF($D$25:D579, Table1938[[#This Row],[Title]]) = 1</f>
        <v>0</v>
      </c>
      <c r="AE579" s="2" t="b">
        <f>AND(Table1938[[#This Row],[IC + EC]:[Unique]])</f>
        <v>0</v>
      </c>
      <c r="AF579" s="2" t="b">
        <v>0</v>
      </c>
      <c r="AG579" s="2" t="b">
        <v>0</v>
      </c>
      <c r="AH579" s="2" t="b">
        <v>0</v>
      </c>
      <c r="AI579" s="2" t="b">
        <f>IF(AND(Table1938[[#This Row],[Double Check]]=TRUE,Table1938[[#This Row],[Inspected]]=TRUE,Table1938[[#This Row],[Relevant]]=TRUE),TRUE,FALSE)</f>
        <v>0</v>
      </c>
    </row>
    <row r="580" spans="1:35" ht="57.35" x14ac:dyDescent="0.5">
      <c r="A580" s="2">
        <v>579</v>
      </c>
      <c r="B580" s="20" t="s">
        <v>1</v>
      </c>
      <c r="C580" s="20" t="s">
        <v>2604</v>
      </c>
      <c r="D580" s="20" t="s">
        <v>174</v>
      </c>
      <c r="E580" s="20" t="s">
        <v>680</v>
      </c>
      <c r="F580" s="2" t="s">
        <v>290</v>
      </c>
      <c r="G580" s="20" t="s">
        <v>681</v>
      </c>
      <c r="H580" s="36">
        <v>44409</v>
      </c>
      <c r="I580" s="20">
        <v>2021</v>
      </c>
      <c r="J580" s="20" t="s">
        <v>61</v>
      </c>
      <c r="K580" s="20" t="s">
        <v>123</v>
      </c>
      <c r="L580" s="20" t="s">
        <v>2515</v>
      </c>
      <c r="M580" s="20" t="s">
        <v>175</v>
      </c>
      <c r="N580" s="20" t="b">
        <v>0</v>
      </c>
      <c r="O580" s="2" t="b">
        <f>IF(Table1938[[#This Row],[Title]]="",TRUE,FALSE)</f>
        <v>0</v>
      </c>
      <c r="P580" s="2" t="b">
        <f>IF(Table1938[[#This Row],[Author]]="",TRUE,FALSE)</f>
        <v>0</v>
      </c>
      <c r="Q580" s="2" t="b">
        <f>IF(Table1938[[#This Row],[DOI]]&lt;&gt;"", FALSE,TRUE)</f>
        <v>0</v>
      </c>
      <c r="R580" s="2" t="b">
        <f>IF(Table1938[[#This Row],[Abstract]]="",TRUE,FALSE)</f>
        <v>0</v>
      </c>
      <c r="S580" s="2" t="b">
        <f>IF(OR(Table1938[[#This Row],[Document Type]]="book",Table1938[[#This Row],[Document Type]]="bookSection"),TRUE,FALSE)</f>
        <v>0</v>
      </c>
      <c r="T580" s="2" t="b">
        <f>NOT(IF(OR(Table1938[[#This Row],[Language]]&lt;&gt;"en",Table1938[[#This Row],[Language]]&lt;&gt;"EN",Table1938[[#This Row],[Language]]&lt;&gt;"spa",Table1938[[#This Row],[Language]]&lt;&gt;"SPA"),TRUE,FALSE))</f>
        <v>0</v>
      </c>
      <c r="U580" s="2" t="b">
        <f>IF(AND(Table1938[[#This Row],[EC-01]]=FALSE,Table1938[[#This Row],[EC-02]]=FALSE,Table1938[[#This Row],[EC-03]]=FALSE,Table1938[[#This Row],[EC-04]]=FALSE,Table1938[[#This Row],[EC-05]]=FALSE,Table1938[[#This Row],[EC-06]]=FALSE),TRUE,FALSE)</f>
        <v>1</v>
      </c>
      <c r="V580" s="2" t="b">
        <f>IF(Table1938[[#This Row],[Date]]&lt;&gt;"",AND(YEAR(Table1938[[#This Row],[Date]])&gt;=2010, YEAR(Table1938[[#This Row],[Date]])&lt;=2024),FALSE)</f>
        <v>1</v>
      </c>
      <c r="W580" s="2" t="b">
        <f>IF(Table1938[[#This Row],[Date]]&lt;&gt;"",AND(YEAR(Table1938[[#This Row],[Date]])&gt;=2010, YEAR(Table1938[[#This Row],[Date]])&lt;=2020),FALSE)</f>
        <v>0</v>
      </c>
      <c r="X580" s="2" t="b">
        <f>IF(AND(Table1938[[#This Row],[Accesible]]=TRUE,Table1938[[#This Row],[DOI]]&lt;&gt;""),TRUE,FALSE)</f>
        <v>0</v>
      </c>
      <c r="Y580" s="2" t="b">
        <f>OR(Table1938[[#This Row],[Document Type]]="journalArticle",Table1938[[#This Row],[Document Type]]="conferencePaper",Table1938[[#This Row],[Document Type]]="review")</f>
        <v>1</v>
      </c>
      <c r="Z580" s="2" t="b" cm="1">
        <f t="array" ref="Z580">SUMPRODUCT(--ISNUMBER(SEARCH({"dimensional analysis","dimensionless coefficients","Π","Pi","theorem","software","design","tools","development","architecture","similar"}, LOWER(Table1938[[#This Row],[Title]]))))&gt;0</f>
        <v>0</v>
      </c>
      <c r="AA580" s="2" t="b" cm="1">
        <f t="array" ref="AA580">SUMPRODUCT(--ISNUMBER(SEARCH({"dimensional analysis","dimensionless coefficients","Π","Pi","theorem","software","design","tools","development","architecture","similar"}, LOWER(Table1938[[#This Row],[Abstract]]))))&gt;0</f>
        <v>1</v>
      </c>
      <c r="AB580" s="2" t="b">
        <f>AND(OR(Table1938[[#This Row],[IC-01 @2024]:[IC-01 @2020]])=TRUE,Table1938[[#This Row],[IC-02]]=TRUE,Table1938[[#This Row],[IC-03]]=TRUE,Table1938[[#This Row],[IC-04]]=TRUE,Table1938[[#This Row],[IC-05]]=TRUE)</f>
        <v>0</v>
      </c>
      <c r="AC580" s="2" t="b">
        <f>AND(Table1938[[#This Row],[Pass-IC]]=TRUE,Table1938[[#This Row],[Pass-EC]]=TRUE)</f>
        <v>0</v>
      </c>
      <c r="AD580" s="2" t="b">
        <f>COUNTIF($D$25:D580, Table1938[[#This Row],[Title]]) = 1</f>
        <v>0</v>
      </c>
      <c r="AE580" s="2" t="b">
        <f>AND(Table1938[[#This Row],[IC + EC]:[Unique]])</f>
        <v>0</v>
      </c>
      <c r="AF580" s="2" t="b">
        <v>0</v>
      </c>
      <c r="AG580" s="2" t="b">
        <v>0</v>
      </c>
      <c r="AH580" s="2" t="b">
        <v>0</v>
      </c>
      <c r="AI580" s="2" t="b">
        <f>IF(AND(Table1938[[#This Row],[Double Check]]=TRUE,Table1938[[#This Row],[Inspected]]=TRUE,Table1938[[#This Row],[Relevant]]=TRUE),TRUE,FALSE)</f>
        <v>0</v>
      </c>
    </row>
    <row r="581" spans="1:35" x14ac:dyDescent="0.5">
      <c r="A581" s="2">
        <v>580</v>
      </c>
      <c r="B581" s="20" t="s">
        <v>1</v>
      </c>
      <c r="C581" s="20" t="s">
        <v>2677</v>
      </c>
      <c r="D581" s="20" t="s">
        <v>683</v>
      </c>
      <c r="E581" s="20" t="s">
        <v>682</v>
      </c>
      <c r="F581" s="2" t="s">
        <v>686</v>
      </c>
      <c r="G581" s="20" t="s">
        <v>684</v>
      </c>
      <c r="H581" s="36">
        <v>45268</v>
      </c>
      <c r="I581" s="20">
        <v>2023</v>
      </c>
      <c r="J581" s="20" t="s">
        <v>61</v>
      </c>
      <c r="K581" s="20" t="s">
        <v>123</v>
      </c>
      <c r="L581" s="20" t="s">
        <v>2515</v>
      </c>
      <c r="M581" s="20" t="s">
        <v>685</v>
      </c>
      <c r="N581" s="20" t="b">
        <v>1</v>
      </c>
      <c r="O581" s="2" t="b">
        <f>IF(Table1938[[#This Row],[Title]]="",TRUE,FALSE)</f>
        <v>0</v>
      </c>
      <c r="P581" s="2" t="b">
        <f>IF(Table1938[[#This Row],[Author]]="",TRUE,FALSE)</f>
        <v>0</v>
      </c>
      <c r="Q581" s="2" t="b">
        <f>IF(Table1938[[#This Row],[DOI]]&lt;&gt;"", FALSE,TRUE)</f>
        <v>0</v>
      </c>
      <c r="R581" s="2" t="b">
        <f>IF(Table1938[[#This Row],[Abstract]]="",TRUE,FALSE)</f>
        <v>0</v>
      </c>
      <c r="S581" s="2" t="b">
        <f>IF(OR(Table1938[[#This Row],[Document Type]]="book",Table1938[[#This Row],[Document Type]]="bookSection"),TRUE,FALSE)</f>
        <v>0</v>
      </c>
      <c r="T581" s="2" t="b">
        <f>NOT(IF(OR(Table1938[[#This Row],[Language]]&lt;&gt;"en",Table1938[[#This Row],[Language]]&lt;&gt;"EN",Table1938[[#This Row],[Language]]&lt;&gt;"spa",Table1938[[#This Row],[Language]]&lt;&gt;"SPA"),TRUE,FALSE))</f>
        <v>0</v>
      </c>
      <c r="U581" s="2" t="b">
        <f>IF(AND(Table1938[[#This Row],[EC-01]]=FALSE,Table1938[[#This Row],[EC-02]]=FALSE,Table1938[[#This Row],[EC-03]]=FALSE,Table1938[[#This Row],[EC-04]]=FALSE,Table1938[[#This Row],[EC-05]]=FALSE,Table1938[[#This Row],[EC-06]]=FALSE),TRUE,FALSE)</f>
        <v>1</v>
      </c>
      <c r="V581" s="2" t="b">
        <f>IF(Table1938[[#This Row],[Date]]&lt;&gt;"",AND(YEAR(Table1938[[#This Row],[Date]])&gt;=2010, YEAR(Table1938[[#This Row],[Date]])&lt;=2024),FALSE)</f>
        <v>1</v>
      </c>
      <c r="W581" s="2" t="b">
        <f>IF(Table1938[[#This Row],[Date]]&lt;&gt;"",AND(YEAR(Table1938[[#This Row],[Date]])&gt;=2010, YEAR(Table1938[[#This Row],[Date]])&lt;=2020),FALSE)</f>
        <v>0</v>
      </c>
      <c r="X581" s="2" t="b">
        <f>IF(AND(Table1938[[#This Row],[Accesible]]=TRUE,Table1938[[#This Row],[DOI]]&lt;&gt;""),TRUE,FALSE)</f>
        <v>1</v>
      </c>
      <c r="Y581" s="2" t="b">
        <f>OR(Table1938[[#This Row],[Document Type]]="journalArticle",Table1938[[#This Row],[Document Type]]="conferencePaper",Table1938[[#This Row],[Document Type]]="review")</f>
        <v>1</v>
      </c>
      <c r="Z581" s="2" t="b" cm="1">
        <f t="array" ref="Z581">SUMPRODUCT(--ISNUMBER(SEARCH({"dimensional analysis","dimensionless coefficients","Π","Pi","theorem","software","design","tools","development","architecture","similar"}, LOWER(Table1938[[#This Row],[Title]]))))&gt;0</f>
        <v>0</v>
      </c>
      <c r="AA581" s="2" t="b" cm="1">
        <f t="array" ref="AA581">SUMPRODUCT(--ISNUMBER(SEARCH({"dimensional analysis","dimensionless coefficients","Π","Pi","theorem","software","design","tools","development","architecture","similar"}, LOWER(Table1938[[#This Row],[Abstract]]))))&gt;0</f>
        <v>0</v>
      </c>
      <c r="AB581" s="2" t="b">
        <f>AND(OR(Table1938[[#This Row],[IC-01 @2024]:[IC-01 @2020]])=TRUE,Table1938[[#This Row],[IC-02]]=TRUE,Table1938[[#This Row],[IC-03]]=TRUE,Table1938[[#This Row],[IC-04]]=TRUE,Table1938[[#This Row],[IC-05]]=TRUE)</f>
        <v>0</v>
      </c>
      <c r="AC581" s="2" t="b">
        <f>AND(Table1938[[#This Row],[Pass-IC]]=TRUE,Table1938[[#This Row],[Pass-EC]]=TRUE)</f>
        <v>0</v>
      </c>
      <c r="AD581" s="2" t="b">
        <f>COUNTIF($D$25:D581, Table1938[[#This Row],[Title]]) = 1</f>
        <v>0</v>
      </c>
      <c r="AE581" s="2" t="b">
        <f>AND(Table1938[[#This Row],[IC + EC]:[Unique]])</f>
        <v>0</v>
      </c>
      <c r="AF581" s="2" t="b">
        <v>0</v>
      </c>
      <c r="AG581" s="2" t="b">
        <v>0</v>
      </c>
      <c r="AH581" s="2" t="b">
        <v>0</v>
      </c>
      <c r="AI581" s="2" t="b">
        <f>IF(AND(Table1938[[#This Row],[Double Check]]=TRUE,Table1938[[#This Row],[Inspected]]=TRUE,Table1938[[#This Row],[Relevant]]=TRUE),TRUE,FALSE)</f>
        <v>0</v>
      </c>
    </row>
    <row r="582" spans="1:35" ht="43" x14ac:dyDescent="0.5">
      <c r="A582" s="2">
        <v>581</v>
      </c>
      <c r="B582" s="20" t="s">
        <v>1</v>
      </c>
      <c r="C582" s="20" t="s">
        <v>3289</v>
      </c>
      <c r="D582" s="20" t="s">
        <v>224</v>
      </c>
      <c r="E582" s="20" t="s">
        <v>687</v>
      </c>
      <c r="F582" s="2" t="s">
        <v>123</v>
      </c>
      <c r="G582" s="20" t="s">
        <v>225</v>
      </c>
      <c r="H582" s="36">
        <v>43709</v>
      </c>
      <c r="I582" s="20">
        <v>2019</v>
      </c>
      <c r="J582" s="20" t="s">
        <v>61</v>
      </c>
      <c r="K582" s="20" t="s">
        <v>123</v>
      </c>
      <c r="L582" s="20" t="s">
        <v>642</v>
      </c>
      <c r="M582" s="20" t="s">
        <v>226</v>
      </c>
      <c r="N582" s="20" t="b">
        <v>1</v>
      </c>
      <c r="O582" s="2" t="b">
        <f>IF(Table1938[[#This Row],[Title]]="",TRUE,FALSE)</f>
        <v>0</v>
      </c>
      <c r="P582" s="2" t="b">
        <f>IF(Table1938[[#This Row],[Author]]="",TRUE,FALSE)</f>
        <v>0</v>
      </c>
      <c r="Q582" s="2" t="b">
        <f>IF(Table1938[[#This Row],[DOI]]&lt;&gt;"", FALSE,TRUE)</f>
        <v>0</v>
      </c>
      <c r="R582" s="2" t="b">
        <f>IF(Table1938[[#This Row],[Abstract]]="",TRUE,FALSE)</f>
        <v>1</v>
      </c>
      <c r="S582" s="2" t="b">
        <f>IF(OR(Table1938[[#This Row],[Document Type]]="book",Table1938[[#This Row],[Document Type]]="bookSection"),TRUE,FALSE)</f>
        <v>0</v>
      </c>
      <c r="T582" s="2" t="b">
        <f>NOT(IF(OR(Table1938[[#This Row],[Language]]&lt;&gt;"en",Table1938[[#This Row],[Language]]&lt;&gt;"EN",Table1938[[#This Row],[Language]]&lt;&gt;"spa",Table1938[[#This Row],[Language]]&lt;&gt;"SPA"),TRUE,FALSE))</f>
        <v>0</v>
      </c>
      <c r="U582" s="2" t="b">
        <f>IF(AND(Table1938[[#This Row],[EC-01]]=FALSE,Table1938[[#This Row],[EC-02]]=FALSE,Table1938[[#This Row],[EC-03]]=FALSE,Table1938[[#This Row],[EC-04]]=FALSE,Table1938[[#This Row],[EC-05]]=FALSE,Table1938[[#This Row],[EC-06]]=FALSE),TRUE,FALSE)</f>
        <v>0</v>
      </c>
      <c r="V582" s="2" t="b">
        <f>IF(Table1938[[#This Row],[Date]]&lt;&gt;"",AND(YEAR(Table1938[[#This Row],[Date]])&gt;=2010, YEAR(Table1938[[#This Row],[Date]])&lt;=2024),FALSE)</f>
        <v>1</v>
      </c>
      <c r="W582" s="2" t="b">
        <f>IF(Table1938[[#This Row],[Date]]&lt;&gt;"",AND(YEAR(Table1938[[#This Row],[Date]])&gt;=2010, YEAR(Table1938[[#This Row],[Date]])&lt;=2020),FALSE)</f>
        <v>1</v>
      </c>
      <c r="X582" s="2" t="b">
        <f>IF(AND(Table1938[[#This Row],[Accesible]]=TRUE,Table1938[[#This Row],[DOI]]&lt;&gt;""),TRUE,FALSE)</f>
        <v>1</v>
      </c>
      <c r="Y582" s="2" t="b">
        <f>OR(Table1938[[#This Row],[Document Type]]="journalArticle",Table1938[[#This Row],[Document Type]]="conferencePaper",Table1938[[#This Row],[Document Type]]="review")</f>
        <v>1</v>
      </c>
      <c r="Z582" s="2" t="b" cm="1">
        <f t="array" ref="Z582">SUMPRODUCT(--ISNUMBER(SEARCH({"dimensional analysis","dimensionless coefficients","Π","Pi","theorem","software","design","tools","development","architecture","similar"}, LOWER(Table1938[[#This Row],[Title]]))))&gt;0</f>
        <v>0</v>
      </c>
      <c r="AA582" s="2" t="b" cm="1">
        <f t="array" ref="AA582">SUMPRODUCT(--ISNUMBER(SEARCH({"dimensional analysis","dimensionless coefficients","Π","Pi","theorem","software","design","tools","development","architecture","similar"}, LOWER(Table1938[[#This Row],[Abstract]]))))&gt;0</f>
        <v>0</v>
      </c>
      <c r="AB582" s="2" t="b">
        <f>AND(OR(Table1938[[#This Row],[IC-01 @2024]:[IC-01 @2020]])=TRUE,Table1938[[#This Row],[IC-02]]=TRUE,Table1938[[#This Row],[IC-03]]=TRUE,Table1938[[#This Row],[IC-04]]=TRUE,Table1938[[#This Row],[IC-05]]=TRUE)</f>
        <v>0</v>
      </c>
      <c r="AC582" s="2" t="b">
        <f>AND(Table1938[[#This Row],[Pass-IC]]=TRUE,Table1938[[#This Row],[Pass-EC]]=TRUE)</f>
        <v>0</v>
      </c>
      <c r="AD582" s="2" t="b">
        <f>COUNTIF($D$25:D582, Table1938[[#This Row],[Title]]) = 1</f>
        <v>1</v>
      </c>
      <c r="AE582" s="2" t="b">
        <f>AND(Table1938[[#This Row],[IC + EC]:[Unique]])</f>
        <v>0</v>
      </c>
      <c r="AF582" s="2" t="b">
        <v>0</v>
      </c>
      <c r="AG582" s="2" t="b">
        <v>0</v>
      </c>
      <c r="AH582" s="2" t="b">
        <v>0</v>
      </c>
      <c r="AI582" s="2" t="b">
        <f>IF(AND(Table1938[[#This Row],[Double Check]]=TRUE,Table1938[[#This Row],[Inspected]]=TRUE,Table1938[[#This Row],[Relevant]]=TRUE),TRUE,FALSE)</f>
        <v>0</v>
      </c>
    </row>
    <row r="583" spans="1:35" ht="43" x14ac:dyDescent="0.5">
      <c r="A583" s="2">
        <v>582</v>
      </c>
      <c r="B583" s="20" t="s">
        <v>1</v>
      </c>
      <c r="C583" s="20" t="s">
        <v>3290</v>
      </c>
      <c r="D583" s="20" t="s">
        <v>206</v>
      </c>
      <c r="E583" s="20" t="s">
        <v>123</v>
      </c>
      <c r="F583" s="2" t="s">
        <v>123</v>
      </c>
      <c r="G583" s="20" t="s">
        <v>207</v>
      </c>
      <c r="H583" s="36">
        <v>40909</v>
      </c>
      <c r="I583" s="20">
        <v>2012</v>
      </c>
      <c r="J583" s="20" t="s">
        <v>688</v>
      </c>
      <c r="K583" s="20" t="s">
        <v>123</v>
      </c>
      <c r="L583" s="20" t="s">
        <v>642</v>
      </c>
      <c r="M583" s="20" t="s">
        <v>123</v>
      </c>
      <c r="N583" s="20" t="b">
        <v>0</v>
      </c>
      <c r="O583" s="2" t="b">
        <f>IF(Table1938[[#This Row],[Title]]="",TRUE,FALSE)</f>
        <v>0</v>
      </c>
      <c r="P583" s="2" t="b">
        <f>IF(Table1938[[#This Row],[Author]]="",TRUE,FALSE)</f>
        <v>1</v>
      </c>
      <c r="Q583" s="2" t="b">
        <f>IF(Table1938[[#This Row],[DOI]]&lt;&gt;"", FALSE,TRUE)</f>
        <v>1</v>
      </c>
      <c r="R583" s="2" t="b">
        <f>IF(Table1938[[#This Row],[Abstract]]="",TRUE,FALSE)</f>
        <v>1</v>
      </c>
      <c r="S583" s="2" t="b">
        <f>IF(OR(Table1938[[#This Row],[Document Type]]="book",Table1938[[#This Row],[Document Type]]="bookSection"),TRUE,FALSE)</f>
        <v>1</v>
      </c>
      <c r="T583" s="2" t="b">
        <f>NOT(IF(OR(Table1938[[#This Row],[Language]]&lt;&gt;"en",Table1938[[#This Row],[Language]]&lt;&gt;"EN",Table1938[[#This Row],[Language]]&lt;&gt;"spa",Table1938[[#This Row],[Language]]&lt;&gt;"SPA"),TRUE,FALSE))</f>
        <v>0</v>
      </c>
      <c r="U583" s="2" t="b">
        <f>IF(AND(Table1938[[#This Row],[EC-01]]=FALSE,Table1938[[#This Row],[EC-02]]=FALSE,Table1938[[#This Row],[EC-03]]=FALSE,Table1938[[#This Row],[EC-04]]=FALSE,Table1938[[#This Row],[EC-05]]=FALSE,Table1938[[#This Row],[EC-06]]=FALSE),TRUE,FALSE)</f>
        <v>0</v>
      </c>
      <c r="V583" s="2" t="b">
        <f>IF(Table1938[[#This Row],[Date]]&lt;&gt;"",AND(YEAR(Table1938[[#This Row],[Date]])&gt;=2010, YEAR(Table1938[[#This Row],[Date]])&lt;=2024),FALSE)</f>
        <v>1</v>
      </c>
      <c r="W583" s="2" t="b">
        <f>IF(Table1938[[#This Row],[Date]]&lt;&gt;"",AND(YEAR(Table1938[[#This Row],[Date]])&gt;=2010, YEAR(Table1938[[#This Row],[Date]])&lt;=2020),FALSE)</f>
        <v>1</v>
      </c>
      <c r="X583" s="2" t="b">
        <f>IF(AND(Table1938[[#This Row],[Accesible]]=TRUE,Table1938[[#This Row],[DOI]]&lt;&gt;""),TRUE,FALSE)</f>
        <v>0</v>
      </c>
      <c r="Y583" s="2" t="b">
        <f>OR(Table1938[[#This Row],[Document Type]]="journalArticle",Table1938[[#This Row],[Document Type]]="conferencePaper",Table1938[[#This Row],[Document Type]]="review")</f>
        <v>0</v>
      </c>
      <c r="Z583" s="2" t="b" cm="1">
        <f t="array" ref="Z583">SUMPRODUCT(--ISNUMBER(SEARCH({"dimensional analysis","dimensionless coefficients","Π","Pi","theorem","software","design","tools","development","architecture","similar"}, LOWER(Table1938[[#This Row],[Title]]))))&gt;0</f>
        <v>0</v>
      </c>
      <c r="AA583" s="2" t="b" cm="1">
        <f t="array" ref="AA583">SUMPRODUCT(--ISNUMBER(SEARCH({"dimensional analysis","dimensionless coefficients","Π","Pi","theorem","software","design","tools","development","architecture","similar"}, LOWER(Table1938[[#This Row],[Abstract]]))))&gt;0</f>
        <v>0</v>
      </c>
      <c r="AB583" s="2" t="b">
        <f>AND(OR(Table1938[[#This Row],[IC-01 @2024]:[IC-01 @2020]])=TRUE,Table1938[[#This Row],[IC-02]]=TRUE,Table1938[[#This Row],[IC-03]]=TRUE,Table1938[[#This Row],[IC-04]]=TRUE,Table1938[[#This Row],[IC-05]]=TRUE)</f>
        <v>0</v>
      </c>
      <c r="AC583" s="2" t="b">
        <f>AND(Table1938[[#This Row],[Pass-IC]]=TRUE,Table1938[[#This Row],[Pass-EC]]=TRUE)</f>
        <v>0</v>
      </c>
      <c r="AD583" s="2" t="b">
        <f>COUNTIF($D$25:D583, Table1938[[#This Row],[Title]]) = 1</f>
        <v>1</v>
      </c>
      <c r="AE583" s="2" t="b">
        <f>AND(Table1938[[#This Row],[IC + EC]:[Unique]])</f>
        <v>0</v>
      </c>
      <c r="AF583" s="2" t="b">
        <v>0</v>
      </c>
      <c r="AG583" s="2" t="b">
        <v>0</v>
      </c>
      <c r="AH583" s="2" t="b">
        <v>0</v>
      </c>
      <c r="AI583" s="2" t="b">
        <f>IF(AND(Table1938[[#This Row],[Double Check]]=TRUE,Table1938[[#This Row],[Inspected]]=TRUE,Table1938[[#This Row],[Relevant]]=TRUE),TRUE,FALSE)</f>
        <v>0</v>
      </c>
    </row>
    <row r="584" spans="1:35" ht="28.7" x14ac:dyDescent="0.5">
      <c r="A584" s="2">
        <v>583</v>
      </c>
      <c r="B584" s="20" t="s">
        <v>1</v>
      </c>
      <c r="C584" s="20" t="s">
        <v>3291</v>
      </c>
      <c r="D584" s="20" t="s">
        <v>207</v>
      </c>
      <c r="E584" s="20" t="s">
        <v>123</v>
      </c>
      <c r="F584" s="2" t="s">
        <v>123</v>
      </c>
      <c r="G584" s="20" t="s">
        <v>123</v>
      </c>
      <c r="H584" s="36">
        <v>40909</v>
      </c>
      <c r="I584" s="20">
        <v>2012</v>
      </c>
      <c r="J584" s="20" t="s">
        <v>63</v>
      </c>
      <c r="K584" s="20" t="s">
        <v>123</v>
      </c>
      <c r="L584" s="20" t="s">
        <v>642</v>
      </c>
      <c r="M584" s="20" t="s">
        <v>123</v>
      </c>
      <c r="N584" s="20" t="b">
        <v>0</v>
      </c>
      <c r="O584" s="2" t="b">
        <f>IF(Table1938[[#This Row],[Title]]="",TRUE,FALSE)</f>
        <v>0</v>
      </c>
      <c r="P584" s="2" t="b">
        <f>IF(Table1938[[#This Row],[Author]]="",TRUE,FALSE)</f>
        <v>1</v>
      </c>
      <c r="Q584" s="2" t="b">
        <f>IF(Table1938[[#This Row],[DOI]]&lt;&gt;"", FALSE,TRUE)</f>
        <v>1</v>
      </c>
      <c r="R584" s="2" t="b">
        <f>IF(Table1938[[#This Row],[Abstract]]="",TRUE,FALSE)</f>
        <v>1</v>
      </c>
      <c r="S584" s="2" t="b">
        <f>IF(OR(Table1938[[#This Row],[Document Type]]="book",Table1938[[#This Row],[Document Type]]="bookSection"),TRUE,FALSE)</f>
        <v>1</v>
      </c>
      <c r="T584" s="2" t="b">
        <f>NOT(IF(OR(Table1938[[#This Row],[Language]]&lt;&gt;"en",Table1938[[#This Row],[Language]]&lt;&gt;"EN",Table1938[[#This Row],[Language]]&lt;&gt;"spa",Table1938[[#This Row],[Language]]&lt;&gt;"SPA"),TRUE,FALSE))</f>
        <v>0</v>
      </c>
      <c r="U584" s="2" t="b">
        <f>IF(AND(Table1938[[#This Row],[EC-01]]=FALSE,Table1938[[#This Row],[EC-02]]=FALSE,Table1938[[#This Row],[EC-03]]=FALSE,Table1938[[#This Row],[EC-04]]=FALSE,Table1938[[#This Row],[EC-05]]=FALSE,Table1938[[#This Row],[EC-06]]=FALSE),TRUE,FALSE)</f>
        <v>0</v>
      </c>
      <c r="V584" s="2" t="b">
        <f>IF(Table1938[[#This Row],[Date]]&lt;&gt;"",AND(YEAR(Table1938[[#This Row],[Date]])&gt;=2010, YEAR(Table1938[[#This Row],[Date]])&lt;=2024),FALSE)</f>
        <v>1</v>
      </c>
      <c r="W584" s="2" t="b">
        <f>IF(Table1938[[#This Row],[Date]]&lt;&gt;"",AND(YEAR(Table1938[[#This Row],[Date]])&gt;=2010, YEAR(Table1938[[#This Row],[Date]])&lt;=2020),FALSE)</f>
        <v>1</v>
      </c>
      <c r="X584" s="2" t="b">
        <f>IF(AND(Table1938[[#This Row],[Accesible]]=TRUE,Table1938[[#This Row],[DOI]]&lt;&gt;""),TRUE,FALSE)</f>
        <v>0</v>
      </c>
      <c r="Y584" s="2" t="b">
        <f>OR(Table1938[[#This Row],[Document Type]]="journalArticle",Table1938[[#This Row],[Document Type]]="conferencePaper",Table1938[[#This Row],[Document Type]]="review")</f>
        <v>0</v>
      </c>
      <c r="Z584" s="2" t="b" cm="1">
        <f t="array" ref="Z584">SUMPRODUCT(--ISNUMBER(SEARCH({"dimensional analysis","dimensionless coefficients","Π","Pi","theorem","software","design","tools","development","architecture","similar"}, LOWER(Table1938[[#This Row],[Title]]))))&gt;0</f>
        <v>0</v>
      </c>
      <c r="AA584" s="2" t="b" cm="1">
        <f t="array" ref="AA584">SUMPRODUCT(--ISNUMBER(SEARCH({"dimensional analysis","dimensionless coefficients","Π","Pi","theorem","software","design","tools","development","architecture","similar"}, LOWER(Table1938[[#This Row],[Abstract]]))))&gt;0</f>
        <v>0</v>
      </c>
      <c r="AB584" s="2" t="b">
        <f>AND(OR(Table1938[[#This Row],[IC-01 @2024]:[IC-01 @2020]])=TRUE,Table1938[[#This Row],[IC-02]]=TRUE,Table1938[[#This Row],[IC-03]]=TRUE,Table1938[[#This Row],[IC-04]]=TRUE,Table1938[[#This Row],[IC-05]]=TRUE)</f>
        <v>0</v>
      </c>
      <c r="AC584" s="2" t="b">
        <f>AND(Table1938[[#This Row],[Pass-IC]]=TRUE,Table1938[[#This Row],[Pass-EC]]=TRUE)</f>
        <v>0</v>
      </c>
      <c r="AD584" s="2" t="b">
        <f>COUNTIF($D$25:D584, Table1938[[#This Row],[Title]]) = 1</f>
        <v>1</v>
      </c>
      <c r="AE584" s="2" t="b">
        <f>AND(Table1938[[#This Row],[IC + EC]:[Unique]])</f>
        <v>0</v>
      </c>
      <c r="AF584" s="2" t="b">
        <v>0</v>
      </c>
      <c r="AG584" s="2" t="b">
        <v>0</v>
      </c>
      <c r="AH584" s="2" t="b">
        <v>0</v>
      </c>
      <c r="AI584" s="2" t="b">
        <f>IF(AND(Table1938[[#This Row],[Double Check]]=TRUE,Table1938[[#This Row],[Inspected]]=TRUE,Table1938[[#This Row],[Relevant]]=TRUE),TRUE,FALSE)</f>
        <v>0</v>
      </c>
    </row>
    <row r="585" spans="1:35" ht="43" x14ac:dyDescent="0.5">
      <c r="A585" s="2">
        <v>584</v>
      </c>
      <c r="B585" s="20" t="s">
        <v>1</v>
      </c>
      <c r="C585" s="20" t="s">
        <v>3292</v>
      </c>
      <c r="D585" s="20" t="s">
        <v>67</v>
      </c>
      <c r="E585" s="20" t="s">
        <v>712</v>
      </c>
      <c r="F585" s="2" t="s">
        <v>123</v>
      </c>
      <c r="G585" s="20" t="s">
        <v>56</v>
      </c>
      <c r="H585" s="36">
        <v>41275</v>
      </c>
      <c r="I585" s="20">
        <v>2013</v>
      </c>
      <c r="J585" s="20" t="s">
        <v>62</v>
      </c>
      <c r="K585" s="20" t="s">
        <v>3293</v>
      </c>
      <c r="L585" s="20" t="s">
        <v>642</v>
      </c>
      <c r="M585" s="20" t="s">
        <v>120</v>
      </c>
      <c r="N585" s="20" t="b">
        <v>1</v>
      </c>
      <c r="O585" s="2" t="b">
        <f>IF(Table1938[[#This Row],[Title]]="",TRUE,FALSE)</f>
        <v>0</v>
      </c>
      <c r="P585" s="2" t="b">
        <f>IF(Table1938[[#This Row],[Author]]="",TRUE,FALSE)</f>
        <v>0</v>
      </c>
      <c r="Q585" s="2" t="b">
        <f>IF(Table1938[[#This Row],[DOI]]&lt;&gt;"", FALSE,TRUE)</f>
        <v>0</v>
      </c>
      <c r="R585" s="2" t="b">
        <f>IF(Table1938[[#This Row],[Abstract]]="",TRUE,FALSE)</f>
        <v>1</v>
      </c>
      <c r="S585" s="2" t="b">
        <f>IF(OR(Table1938[[#This Row],[Document Type]]="book",Table1938[[#This Row],[Document Type]]="bookSection"),TRUE,FALSE)</f>
        <v>0</v>
      </c>
      <c r="T585" s="2" t="b">
        <f>NOT(IF(OR(Table1938[[#This Row],[Language]]&lt;&gt;"en",Table1938[[#This Row],[Language]]&lt;&gt;"EN",Table1938[[#This Row],[Language]]&lt;&gt;"spa",Table1938[[#This Row],[Language]]&lt;&gt;"SPA"),TRUE,FALSE))</f>
        <v>0</v>
      </c>
      <c r="U585" s="2" t="b">
        <f>IF(AND(Table1938[[#This Row],[EC-01]]=FALSE,Table1938[[#This Row],[EC-02]]=FALSE,Table1938[[#This Row],[EC-03]]=FALSE,Table1938[[#This Row],[EC-04]]=FALSE,Table1938[[#This Row],[EC-05]]=FALSE,Table1938[[#This Row],[EC-06]]=FALSE),TRUE,FALSE)</f>
        <v>0</v>
      </c>
      <c r="V585" s="2" t="b">
        <f>IF(Table1938[[#This Row],[Date]]&lt;&gt;"",AND(YEAR(Table1938[[#This Row],[Date]])&gt;=2010, YEAR(Table1938[[#This Row],[Date]])&lt;=2024),FALSE)</f>
        <v>1</v>
      </c>
      <c r="W585" s="2" t="b">
        <f>IF(Table1938[[#This Row],[Date]]&lt;&gt;"",AND(YEAR(Table1938[[#This Row],[Date]])&gt;=2010, YEAR(Table1938[[#This Row],[Date]])&lt;=2020),FALSE)</f>
        <v>1</v>
      </c>
      <c r="X585" s="2" t="b">
        <f>IF(AND(Table1938[[#This Row],[Accesible]]=TRUE,Table1938[[#This Row],[DOI]]&lt;&gt;""),TRUE,FALSE)</f>
        <v>1</v>
      </c>
      <c r="Y585" s="2" t="b">
        <f>OR(Table1938[[#This Row],[Document Type]]="journalArticle",Table1938[[#This Row],[Document Type]]="conferencePaper",Table1938[[#This Row],[Document Type]]="review")</f>
        <v>1</v>
      </c>
      <c r="Z585" s="2" t="b" cm="1">
        <f t="array" ref="Z585">SUMPRODUCT(--ISNUMBER(SEARCH({"dimensional analysis","dimensionless coefficients","Π","Pi","theorem","software","design","tools","development","architecture","similar"}, LOWER(Table1938[[#This Row],[Title]]))))&gt;0</f>
        <v>0</v>
      </c>
      <c r="AA585" s="2" t="b" cm="1">
        <f t="array" ref="AA585">SUMPRODUCT(--ISNUMBER(SEARCH({"dimensional analysis","dimensionless coefficients","Π","Pi","theorem","software","design","tools","development","architecture","similar"}, LOWER(Table1938[[#This Row],[Abstract]]))))&gt;0</f>
        <v>0</v>
      </c>
      <c r="AB585" s="2" t="b">
        <f>AND(OR(Table1938[[#This Row],[IC-01 @2024]:[IC-01 @2020]])=TRUE,Table1938[[#This Row],[IC-02]]=TRUE,Table1938[[#This Row],[IC-03]]=TRUE,Table1938[[#This Row],[IC-04]]=TRUE,Table1938[[#This Row],[IC-05]]=TRUE)</f>
        <v>0</v>
      </c>
      <c r="AC585" s="2" t="b">
        <f>AND(Table1938[[#This Row],[Pass-IC]]=TRUE,Table1938[[#This Row],[Pass-EC]]=TRUE)</f>
        <v>0</v>
      </c>
      <c r="AD585" s="2" t="b">
        <f>COUNTIF($D$25:D585, Table1938[[#This Row],[Title]]) = 1</f>
        <v>1</v>
      </c>
      <c r="AE585" s="2" t="b">
        <f>AND(Table1938[[#This Row],[IC + EC]:[Unique]])</f>
        <v>0</v>
      </c>
      <c r="AF585" s="2" t="b">
        <v>0</v>
      </c>
      <c r="AG585" s="2" t="b">
        <v>0</v>
      </c>
      <c r="AH585" s="2" t="b">
        <v>0</v>
      </c>
      <c r="AI585" s="2" t="b">
        <f>IF(AND(Table1938[[#This Row],[Double Check]]=TRUE,Table1938[[#This Row],[Inspected]]=TRUE,Table1938[[#This Row],[Relevant]]=TRUE),TRUE,FALSE)</f>
        <v>0</v>
      </c>
    </row>
    <row r="586" spans="1:35" ht="71.7" x14ac:dyDescent="0.5">
      <c r="A586" s="2">
        <v>585</v>
      </c>
      <c r="B586" s="20" t="s">
        <v>1</v>
      </c>
      <c r="C586" s="20" t="s">
        <v>3294</v>
      </c>
      <c r="D586" s="20" t="s">
        <v>713</v>
      </c>
      <c r="E586" s="20" t="s">
        <v>123</v>
      </c>
      <c r="F586" s="2" t="s">
        <v>123</v>
      </c>
      <c r="G586" s="20" t="s">
        <v>123</v>
      </c>
      <c r="H586" s="36">
        <v>41275</v>
      </c>
      <c r="I586" s="20">
        <v>2013</v>
      </c>
      <c r="J586" s="20" t="s">
        <v>63</v>
      </c>
      <c r="K586" s="20" t="s">
        <v>123</v>
      </c>
      <c r="L586" s="20" t="s">
        <v>642</v>
      </c>
      <c r="M586" s="20" t="s">
        <v>123</v>
      </c>
      <c r="N586" s="20" t="b">
        <v>0</v>
      </c>
      <c r="O586" s="2" t="b">
        <f>IF(Table1938[[#This Row],[Title]]="",TRUE,FALSE)</f>
        <v>0</v>
      </c>
      <c r="P586" s="2" t="b">
        <f>IF(Table1938[[#This Row],[Author]]="",TRUE,FALSE)</f>
        <v>1</v>
      </c>
      <c r="Q586" s="2" t="b">
        <f>IF(Table1938[[#This Row],[DOI]]&lt;&gt;"", FALSE,TRUE)</f>
        <v>1</v>
      </c>
      <c r="R586" s="2" t="b">
        <f>IF(Table1938[[#This Row],[Abstract]]="",TRUE,FALSE)</f>
        <v>1</v>
      </c>
      <c r="S586" s="2" t="b">
        <f>IF(OR(Table1938[[#This Row],[Document Type]]="book",Table1938[[#This Row],[Document Type]]="bookSection"),TRUE,FALSE)</f>
        <v>1</v>
      </c>
      <c r="T586" s="2" t="b">
        <f>NOT(IF(OR(Table1938[[#This Row],[Language]]&lt;&gt;"en",Table1938[[#This Row],[Language]]&lt;&gt;"EN",Table1938[[#This Row],[Language]]&lt;&gt;"spa",Table1938[[#This Row],[Language]]&lt;&gt;"SPA"),TRUE,FALSE))</f>
        <v>0</v>
      </c>
      <c r="U586" s="2" t="b">
        <f>IF(AND(Table1938[[#This Row],[EC-01]]=FALSE,Table1938[[#This Row],[EC-02]]=FALSE,Table1938[[#This Row],[EC-03]]=FALSE,Table1938[[#This Row],[EC-04]]=FALSE,Table1938[[#This Row],[EC-05]]=FALSE,Table1938[[#This Row],[EC-06]]=FALSE),TRUE,FALSE)</f>
        <v>0</v>
      </c>
      <c r="V586" s="2" t="b">
        <f>IF(Table1938[[#This Row],[Date]]&lt;&gt;"",AND(YEAR(Table1938[[#This Row],[Date]])&gt;=2010, YEAR(Table1938[[#This Row],[Date]])&lt;=2024),FALSE)</f>
        <v>1</v>
      </c>
      <c r="W586" s="2" t="b">
        <f>IF(Table1938[[#This Row],[Date]]&lt;&gt;"",AND(YEAR(Table1938[[#This Row],[Date]])&gt;=2010, YEAR(Table1938[[#This Row],[Date]])&lt;=2020),FALSE)</f>
        <v>1</v>
      </c>
      <c r="X586" s="2" t="b">
        <f>IF(AND(Table1938[[#This Row],[Accesible]]=TRUE,Table1938[[#This Row],[DOI]]&lt;&gt;""),TRUE,FALSE)</f>
        <v>0</v>
      </c>
      <c r="Y586" s="2" t="b">
        <f>OR(Table1938[[#This Row],[Document Type]]="journalArticle",Table1938[[#This Row],[Document Type]]="conferencePaper",Table1938[[#This Row],[Document Type]]="review")</f>
        <v>0</v>
      </c>
      <c r="Z586" s="2" t="b" cm="1">
        <f t="array" ref="Z586">SUMPRODUCT(--ISNUMBER(SEARCH({"dimensional analysis","dimensionless coefficients","Π","Pi","theorem","software","design","tools","development","architecture","similar"}, LOWER(Table1938[[#This Row],[Title]]))))&gt;0</f>
        <v>0</v>
      </c>
      <c r="AA586" s="2" t="b" cm="1">
        <f t="array" ref="AA586">SUMPRODUCT(--ISNUMBER(SEARCH({"dimensional analysis","dimensionless coefficients","Π","Pi","theorem","software","design","tools","development","architecture","similar"}, LOWER(Table1938[[#This Row],[Abstract]]))))&gt;0</f>
        <v>0</v>
      </c>
      <c r="AB586" s="2" t="b">
        <f>AND(OR(Table1938[[#This Row],[IC-01 @2024]:[IC-01 @2020]])=TRUE,Table1938[[#This Row],[IC-02]]=TRUE,Table1938[[#This Row],[IC-03]]=TRUE,Table1938[[#This Row],[IC-04]]=TRUE,Table1938[[#This Row],[IC-05]]=TRUE)</f>
        <v>0</v>
      </c>
      <c r="AC586" s="2" t="b">
        <f>AND(Table1938[[#This Row],[Pass-IC]]=TRUE,Table1938[[#This Row],[Pass-EC]]=TRUE)</f>
        <v>0</v>
      </c>
      <c r="AD586" s="2" t="b">
        <f>COUNTIF($D$25:D586, Table1938[[#This Row],[Title]]) = 1</f>
        <v>1</v>
      </c>
      <c r="AE586" s="2" t="b">
        <f>AND(Table1938[[#This Row],[IC + EC]:[Unique]])</f>
        <v>0</v>
      </c>
      <c r="AF586" s="2" t="b">
        <v>0</v>
      </c>
      <c r="AG586" s="2" t="b">
        <v>0</v>
      </c>
      <c r="AH586" s="2" t="b">
        <v>0</v>
      </c>
      <c r="AI586" s="2" t="b">
        <f>IF(AND(Table1938[[#This Row],[Double Check]]=TRUE,Table1938[[#This Row],[Inspected]]=TRUE,Table1938[[#This Row],[Relevant]]=TRUE),TRUE,FALSE)</f>
        <v>0</v>
      </c>
    </row>
    <row r="587" spans="1:35" ht="57.35" x14ac:dyDescent="0.5">
      <c r="A587" s="2">
        <v>586</v>
      </c>
      <c r="B587" s="20" t="s">
        <v>1</v>
      </c>
      <c r="C587" s="20" t="s">
        <v>3295</v>
      </c>
      <c r="D587" s="20" t="s">
        <v>127</v>
      </c>
      <c r="E587" s="20" t="s">
        <v>123</v>
      </c>
      <c r="F587" s="2" t="s">
        <v>123</v>
      </c>
      <c r="G587" s="20" t="s">
        <v>117</v>
      </c>
      <c r="H587" s="36">
        <v>41275</v>
      </c>
      <c r="I587" s="20">
        <v>2013</v>
      </c>
      <c r="J587" s="20" t="s">
        <v>688</v>
      </c>
      <c r="K587" s="20" t="s">
        <v>123</v>
      </c>
      <c r="L587" s="20" t="s">
        <v>642</v>
      </c>
      <c r="M587" s="20" t="s">
        <v>123</v>
      </c>
      <c r="N587" s="20" t="b">
        <v>0</v>
      </c>
      <c r="O587" s="2" t="b">
        <f>IF(Table1938[[#This Row],[Title]]="",TRUE,FALSE)</f>
        <v>0</v>
      </c>
      <c r="P587" s="2" t="b">
        <f>IF(Table1938[[#This Row],[Author]]="",TRUE,FALSE)</f>
        <v>1</v>
      </c>
      <c r="Q587" s="2" t="b">
        <f>IF(Table1938[[#This Row],[DOI]]&lt;&gt;"", FALSE,TRUE)</f>
        <v>1</v>
      </c>
      <c r="R587" s="2" t="b">
        <f>IF(Table1938[[#This Row],[Abstract]]="",TRUE,FALSE)</f>
        <v>1</v>
      </c>
      <c r="S587" s="2" t="b">
        <f>IF(OR(Table1938[[#This Row],[Document Type]]="book",Table1938[[#This Row],[Document Type]]="bookSection"),TRUE,FALSE)</f>
        <v>1</v>
      </c>
      <c r="T587" s="2" t="b">
        <f>NOT(IF(OR(Table1938[[#This Row],[Language]]&lt;&gt;"en",Table1938[[#This Row],[Language]]&lt;&gt;"EN",Table1938[[#This Row],[Language]]&lt;&gt;"spa",Table1938[[#This Row],[Language]]&lt;&gt;"SPA"),TRUE,FALSE))</f>
        <v>0</v>
      </c>
      <c r="U587" s="2" t="b">
        <f>IF(AND(Table1938[[#This Row],[EC-01]]=FALSE,Table1938[[#This Row],[EC-02]]=FALSE,Table1938[[#This Row],[EC-03]]=FALSE,Table1938[[#This Row],[EC-04]]=FALSE,Table1938[[#This Row],[EC-05]]=FALSE,Table1938[[#This Row],[EC-06]]=FALSE),TRUE,FALSE)</f>
        <v>0</v>
      </c>
      <c r="V587" s="2" t="b">
        <f>IF(Table1938[[#This Row],[Date]]&lt;&gt;"",AND(YEAR(Table1938[[#This Row],[Date]])&gt;=2010, YEAR(Table1938[[#This Row],[Date]])&lt;=2024),FALSE)</f>
        <v>1</v>
      </c>
      <c r="W587" s="2" t="b">
        <f>IF(Table1938[[#This Row],[Date]]&lt;&gt;"",AND(YEAR(Table1938[[#This Row],[Date]])&gt;=2010, YEAR(Table1938[[#This Row],[Date]])&lt;=2020),FALSE)</f>
        <v>1</v>
      </c>
      <c r="X587" s="2" t="b">
        <f>IF(AND(Table1938[[#This Row],[Accesible]]=TRUE,Table1938[[#This Row],[DOI]]&lt;&gt;""),TRUE,FALSE)</f>
        <v>0</v>
      </c>
      <c r="Y587" s="2" t="b">
        <f>OR(Table1938[[#This Row],[Document Type]]="journalArticle",Table1938[[#This Row],[Document Type]]="conferencePaper",Table1938[[#This Row],[Document Type]]="review")</f>
        <v>0</v>
      </c>
      <c r="Z587" s="2" t="b" cm="1">
        <f t="array" ref="Z587">SUMPRODUCT(--ISNUMBER(SEARCH({"dimensional analysis","dimensionless coefficients","Π","Pi","theorem","software","design","tools","development","architecture","similar"}, LOWER(Table1938[[#This Row],[Title]]))))&gt;0</f>
        <v>0</v>
      </c>
      <c r="AA587" s="2" t="b" cm="1">
        <f t="array" ref="AA587">SUMPRODUCT(--ISNUMBER(SEARCH({"dimensional analysis","dimensionless coefficients","Π","Pi","theorem","software","design","tools","development","architecture","similar"}, LOWER(Table1938[[#This Row],[Abstract]]))))&gt;0</f>
        <v>0</v>
      </c>
      <c r="AB587" s="2" t="b">
        <f>AND(OR(Table1938[[#This Row],[IC-01 @2024]:[IC-01 @2020]])=TRUE,Table1938[[#This Row],[IC-02]]=TRUE,Table1938[[#This Row],[IC-03]]=TRUE,Table1938[[#This Row],[IC-04]]=TRUE,Table1938[[#This Row],[IC-05]]=TRUE)</f>
        <v>0</v>
      </c>
      <c r="AC587" s="2" t="b">
        <f>AND(Table1938[[#This Row],[Pass-IC]]=TRUE,Table1938[[#This Row],[Pass-EC]]=TRUE)</f>
        <v>0</v>
      </c>
      <c r="AD587" s="2" t="b">
        <f>COUNTIF($D$25:D587, Table1938[[#This Row],[Title]]) = 1</f>
        <v>1</v>
      </c>
      <c r="AE587" s="2" t="b">
        <f>AND(Table1938[[#This Row],[IC + EC]:[Unique]])</f>
        <v>0</v>
      </c>
      <c r="AF587" s="2" t="b">
        <v>0</v>
      </c>
      <c r="AG587" s="2" t="b">
        <v>0</v>
      </c>
      <c r="AH587" s="2" t="b">
        <v>0</v>
      </c>
      <c r="AI587" s="2" t="b">
        <f>IF(AND(Table1938[[#This Row],[Double Check]]=TRUE,Table1938[[#This Row],[Inspected]]=TRUE,Table1938[[#This Row],[Relevant]]=TRUE),TRUE,FALSE)</f>
        <v>0</v>
      </c>
    </row>
    <row r="588" spans="1:35" ht="57.35" x14ac:dyDescent="0.5">
      <c r="A588" s="2">
        <v>587</v>
      </c>
      <c r="B588" s="20" t="s">
        <v>1</v>
      </c>
      <c r="C588" s="20" t="s">
        <v>3296</v>
      </c>
      <c r="D588" s="20" t="s">
        <v>715</v>
      </c>
      <c r="E588" s="20" t="s">
        <v>123</v>
      </c>
      <c r="F588" s="2" t="s">
        <v>123</v>
      </c>
      <c r="G588" s="20" t="s">
        <v>123</v>
      </c>
      <c r="H588" s="36">
        <v>41275</v>
      </c>
      <c r="I588" s="20">
        <v>2013</v>
      </c>
      <c r="J588" s="20" t="s">
        <v>63</v>
      </c>
      <c r="K588" s="20" t="s">
        <v>123</v>
      </c>
      <c r="L588" s="20" t="s">
        <v>642</v>
      </c>
      <c r="M588" s="20" t="s">
        <v>123</v>
      </c>
      <c r="N588" s="20" t="b">
        <v>0</v>
      </c>
      <c r="O588" s="2" t="b">
        <f>IF(Table1938[[#This Row],[Title]]="",TRUE,FALSE)</f>
        <v>0</v>
      </c>
      <c r="P588" s="2" t="b">
        <f>IF(Table1938[[#This Row],[Author]]="",TRUE,FALSE)</f>
        <v>1</v>
      </c>
      <c r="Q588" s="2" t="b">
        <f>IF(Table1938[[#This Row],[DOI]]&lt;&gt;"", FALSE,TRUE)</f>
        <v>1</v>
      </c>
      <c r="R588" s="2" t="b">
        <f>IF(Table1938[[#This Row],[Abstract]]="",TRUE,FALSE)</f>
        <v>1</v>
      </c>
      <c r="S588" s="2" t="b">
        <f>IF(OR(Table1938[[#This Row],[Document Type]]="book",Table1938[[#This Row],[Document Type]]="bookSection"),TRUE,FALSE)</f>
        <v>1</v>
      </c>
      <c r="T588" s="2" t="b">
        <f>NOT(IF(OR(Table1938[[#This Row],[Language]]&lt;&gt;"en",Table1938[[#This Row],[Language]]&lt;&gt;"EN",Table1938[[#This Row],[Language]]&lt;&gt;"spa",Table1938[[#This Row],[Language]]&lt;&gt;"SPA"),TRUE,FALSE))</f>
        <v>0</v>
      </c>
      <c r="U588" s="2" t="b">
        <f>IF(AND(Table1938[[#This Row],[EC-01]]=FALSE,Table1938[[#This Row],[EC-02]]=FALSE,Table1938[[#This Row],[EC-03]]=FALSE,Table1938[[#This Row],[EC-04]]=FALSE,Table1938[[#This Row],[EC-05]]=FALSE,Table1938[[#This Row],[EC-06]]=FALSE),TRUE,FALSE)</f>
        <v>0</v>
      </c>
      <c r="V588" s="2" t="b">
        <f>IF(Table1938[[#This Row],[Date]]&lt;&gt;"",AND(YEAR(Table1938[[#This Row],[Date]])&gt;=2010, YEAR(Table1938[[#This Row],[Date]])&lt;=2024),FALSE)</f>
        <v>1</v>
      </c>
      <c r="W588" s="2" t="b">
        <f>IF(Table1938[[#This Row],[Date]]&lt;&gt;"",AND(YEAR(Table1938[[#This Row],[Date]])&gt;=2010, YEAR(Table1938[[#This Row],[Date]])&lt;=2020),FALSE)</f>
        <v>1</v>
      </c>
      <c r="X588" s="2" t="b">
        <f>IF(AND(Table1938[[#This Row],[Accesible]]=TRUE,Table1938[[#This Row],[DOI]]&lt;&gt;""),TRUE,FALSE)</f>
        <v>0</v>
      </c>
      <c r="Y588" s="2" t="b">
        <f>OR(Table1938[[#This Row],[Document Type]]="journalArticle",Table1938[[#This Row],[Document Type]]="conferencePaper",Table1938[[#This Row],[Document Type]]="review")</f>
        <v>0</v>
      </c>
      <c r="Z588" s="2" t="b" cm="1">
        <f t="array" ref="Z588">SUMPRODUCT(--ISNUMBER(SEARCH({"dimensional analysis","dimensionless coefficients","Π","Pi","theorem","software","design","tools","development","architecture","similar"}, LOWER(Table1938[[#This Row],[Title]]))))&gt;0</f>
        <v>0</v>
      </c>
      <c r="AA588" s="2" t="b" cm="1">
        <f t="array" ref="AA588">SUMPRODUCT(--ISNUMBER(SEARCH({"dimensional analysis","dimensionless coefficients","Π","Pi","theorem","software","design","tools","development","architecture","similar"}, LOWER(Table1938[[#This Row],[Abstract]]))))&gt;0</f>
        <v>0</v>
      </c>
      <c r="AB588" s="2" t="b">
        <f>AND(OR(Table1938[[#This Row],[IC-01 @2024]:[IC-01 @2020]])=TRUE,Table1938[[#This Row],[IC-02]]=TRUE,Table1938[[#This Row],[IC-03]]=TRUE,Table1938[[#This Row],[IC-04]]=TRUE,Table1938[[#This Row],[IC-05]]=TRUE)</f>
        <v>0</v>
      </c>
      <c r="AC588" s="2" t="b">
        <f>AND(Table1938[[#This Row],[Pass-IC]]=TRUE,Table1938[[#This Row],[Pass-EC]]=TRUE)</f>
        <v>0</v>
      </c>
      <c r="AD588" s="2" t="b">
        <f>COUNTIF($D$25:D588, Table1938[[#This Row],[Title]]) = 1</f>
        <v>1</v>
      </c>
      <c r="AE588" s="2" t="b">
        <f>AND(Table1938[[#This Row],[IC + EC]:[Unique]])</f>
        <v>0</v>
      </c>
      <c r="AF588" s="2" t="b">
        <v>0</v>
      </c>
      <c r="AG588" s="2" t="b">
        <v>0</v>
      </c>
      <c r="AH588" s="2" t="b">
        <v>0</v>
      </c>
      <c r="AI588" s="2" t="b">
        <f>IF(AND(Table1938[[#This Row],[Double Check]]=TRUE,Table1938[[#This Row],[Inspected]]=TRUE,Table1938[[#This Row],[Relevant]]=TRUE),TRUE,FALSE)</f>
        <v>0</v>
      </c>
    </row>
    <row r="589" spans="1:35" ht="57.35" x14ac:dyDescent="0.5">
      <c r="A589" s="2">
        <v>588</v>
      </c>
      <c r="B589" s="20" t="s">
        <v>1</v>
      </c>
      <c r="C589" s="20" t="s">
        <v>3297</v>
      </c>
      <c r="D589" s="20" t="s">
        <v>183</v>
      </c>
      <c r="E589" s="20" t="s">
        <v>692</v>
      </c>
      <c r="F589" s="2" t="s">
        <v>123</v>
      </c>
      <c r="G589" s="20" t="s">
        <v>184</v>
      </c>
      <c r="H589" s="36">
        <v>43862</v>
      </c>
      <c r="I589" s="20">
        <v>2020</v>
      </c>
      <c r="J589" s="20" t="s">
        <v>61</v>
      </c>
      <c r="K589" s="20" t="s">
        <v>123</v>
      </c>
      <c r="L589" s="20" t="s">
        <v>642</v>
      </c>
      <c r="M589" s="20" t="s">
        <v>185</v>
      </c>
      <c r="N589" s="20" t="b">
        <v>0</v>
      </c>
      <c r="O589" s="2" t="b">
        <f>IF(Table1938[[#This Row],[Title]]="",TRUE,FALSE)</f>
        <v>0</v>
      </c>
      <c r="P589" s="2" t="b">
        <f>IF(Table1938[[#This Row],[Author]]="",TRUE,FALSE)</f>
        <v>0</v>
      </c>
      <c r="Q589" s="2" t="b">
        <f>IF(Table1938[[#This Row],[DOI]]&lt;&gt;"", FALSE,TRUE)</f>
        <v>0</v>
      </c>
      <c r="R589" s="2" t="b">
        <f>IF(Table1938[[#This Row],[Abstract]]="",TRUE,FALSE)</f>
        <v>1</v>
      </c>
      <c r="S589" s="2" t="b">
        <f>IF(OR(Table1938[[#This Row],[Document Type]]="book",Table1938[[#This Row],[Document Type]]="bookSection"),TRUE,FALSE)</f>
        <v>0</v>
      </c>
      <c r="T589" s="2" t="b">
        <f>NOT(IF(OR(Table1938[[#This Row],[Language]]&lt;&gt;"en",Table1938[[#This Row],[Language]]&lt;&gt;"EN",Table1938[[#This Row],[Language]]&lt;&gt;"spa",Table1938[[#This Row],[Language]]&lt;&gt;"SPA"),TRUE,FALSE))</f>
        <v>0</v>
      </c>
      <c r="U589" s="2" t="b">
        <f>IF(AND(Table1938[[#This Row],[EC-01]]=FALSE,Table1938[[#This Row],[EC-02]]=FALSE,Table1938[[#This Row],[EC-03]]=FALSE,Table1938[[#This Row],[EC-04]]=FALSE,Table1938[[#This Row],[EC-05]]=FALSE,Table1938[[#This Row],[EC-06]]=FALSE),TRUE,FALSE)</f>
        <v>0</v>
      </c>
      <c r="V589" s="2" t="b">
        <f>IF(Table1938[[#This Row],[Date]]&lt;&gt;"",AND(YEAR(Table1938[[#This Row],[Date]])&gt;=2010, YEAR(Table1938[[#This Row],[Date]])&lt;=2024),FALSE)</f>
        <v>1</v>
      </c>
      <c r="W589" s="2" t="b">
        <f>IF(Table1938[[#This Row],[Date]]&lt;&gt;"",AND(YEAR(Table1938[[#This Row],[Date]])&gt;=2010, YEAR(Table1938[[#This Row],[Date]])&lt;=2020),FALSE)</f>
        <v>1</v>
      </c>
      <c r="X589" s="2" t="b">
        <f>IF(AND(Table1938[[#This Row],[Accesible]]=TRUE,Table1938[[#This Row],[DOI]]&lt;&gt;""),TRUE,FALSE)</f>
        <v>0</v>
      </c>
      <c r="Y589" s="2" t="b">
        <f>OR(Table1938[[#This Row],[Document Type]]="journalArticle",Table1938[[#This Row],[Document Type]]="conferencePaper",Table1938[[#This Row],[Document Type]]="review")</f>
        <v>1</v>
      </c>
      <c r="Z589" s="2" t="b" cm="1">
        <f t="array" ref="Z589">SUMPRODUCT(--ISNUMBER(SEARCH({"dimensional analysis","dimensionless coefficients","Π","Pi","theorem","software","design","tools","development","architecture","similar"}, LOWER(Table1938[[#This Row],[Title]]))))&gt;0</f>
        <v>1</v>
      </c>
      <c r="AA589" s="2" t="b" cm="1">
        <f t="array" ref="AA589">SUMPRODUCT(--ISNUMBER(SEARCH({"dimensional analysis","dimensionless coefficients","Π","Pi","theorem","software","design","tools","development","architecture","similar"}, LOWER(Table1938[[#This Row],[Abstract]]))))&gt;0</f>
        <v>0</v>
      </c>
      <c r="AB589" s="2" t="b">
        <f>AND(OR(Table1938[[#This Row],[IC-01 @2024]:[IC-01 @2020]])=TRUE,Table1938[[#This Row],[IC-02]]=TRUE,Table1938[[#This Row],[IC-03]]=TRUE,Table1938[[#This Row],[IC-04]]=TRUE,Table1938[[#This Row],[IC-05]]=TRUE)</f>
        <v>0</v>
      </c>
      <c r="AC589" s="2" t="b">
        <f>AND(Table1938[[#This Row],[Pass-IC]]=TRUE,Table1938[[#This Row],[Pass-EC]]=TRUE)</f>
        <v>0</v>
      </c>
      <c r="AD589" s="2" t="b">
        <f>COUNTIF($D$25:D589, Table1938[[#This Row],[Title]]) = 1</f>
        <v>1</v>
      </c>
      <c r="AE589" s="2" t="b">
        <f>AND(Table1938[[#This Row],[IC + EC]:[Unique]])</f>
        <v>0</v>
      </c>
      <c r="AF589" s="2" t="b">
        <v>0</v>
      </c>
      <c r="AG589" s="2" t="b">
        <v>0</v>
      </c>
      <c r="AH589" s="2" t="b">
        <v>0</v>
      </c>
      <c r="AI589" s="2" t="b">
        <f>IF(AND(Table1938[[#This Row],[Double Check]]=TRUE,Table1938[[#This Row],[Inspected]]=TRUE,Table1938[[#This Row],[Relevant]]=TRUE),TRUE,FALSE)</f>
        <v>0</v>
      </c>
    </row>
    <row r="590" spans="1:35" ht="43" x14ac:dyDescent="0.5">
      <c r="A590" s="2">
        <v>589</v>
      </c>
      <c r="B590" s="20" t="s">
        <v>1</v>
      </c>
      <c r="C590" s="20" t="s">
        <v>3298</v>
      </c>
      <c r="D590" s="20" t="s">
        <v>239</v>
      </c>
      <c r="E590" s="20" t="s">
        <v>693</v>
      </c>
      <c r="F590" s="2" t="s">
        <v>123</v>
      </c>
      <c r="G590" s="20" t="s">
        <v>240</v>
      </c>
      <c r="H590" s="36">
        <v>43678</v>
      </c>
      <c r="I590" s="20">
        <v>2019</v>
      </c>
      <c r="J590" s="20" t="s">
        <v>61</v>
      </c>
      <c r="K590" s="20" t="s">
        <v>123</v>
      </c>
      <c r="L590" s="20" t="s">
        <v>642</v>
      </c>
      <c r="M590" s="20" t="s">
        <v>241</v>
      </c>
      <c r="N590" s="20" t="b">
        <v>0</v>
      </c>
      <c r="O590" s="2" t="b">
        <f>IF(Table1938[[#This Row],[Title]]="",TRUE,FALSE)</f>
        <v>0</v>
      </c>
      <c r="P590" s="2" t="b">
        <f>IF(Table1938[[#This Row],[Author]]="",TRUE,FALSE)</f>
        <v>0</v>
      </c>
      <c r="Q590" s="2" t="b">
        <f>IF(Table1938[[#This Row],[DOI]]&lt;&gt;"", FALSE,TRUE)</f>
        <v>0</v>
      </c>
      <c r="R590" s="2" t="b">
        <f>IF(Table1938[[#This Row],[Abstract]]="",TRUE,FALSE)</f>
        <v>1</v>
      </c>
      <c r="S590" s="2" t="b">
        <f>IF(OR(Table1938[[#This Row],[Document Type]]="book",Table1938[[#This Row],[Document Type]]="bookSection"),TRUE,FALSE)</f>
        <v>0</v>
      </c>
      <c r="T590" s="2" t="b">
        <f>NOT(IF(OR(Table1938[[#This Row],[Language]]&lt;&gt;"en",Table1938[[#This Row],[Language]]&lt;&gt;"EN",Table1938[[#This Row],[Language]]&lt;&gt;"spa",Table1938[[#This Row],[Language]]&lt;&gt;"SPA"),TRUE,FALSE))</f>
        <v>0</v>
      </c>
      <c r="U590" s="2" t="b">
        <f>IF(AND(Table1938[[#This Row],[EC-01]]=FALSE,Table1938[[#This Row],[EC-02]]=FALSE,Table1938[[#This Row],[EC-03]]=FALSE,Table1938[[#This Row],[EC-04]]=FALSE,Table1938[[#This Row],[EC-05]]=FALSE,Table1938[[#This Row],[EC-06]]=FALSE),TRUE,FALSE)</f>
        <v>0</v>
      </c>
      <c r="V590" s="2" t="b">
        <f>IF(Table1938[[#This Row],[Date]]&lt;&gt;"",AND(YEAR(Table1938[[#This Row],[Date]])&gt;=2010, YEAR(Table1938[[#This Row],[Date]])&lt;=2024),FALSE)</f>
        <v>1</v>
      </c>
      <c r="W590" s="2" t="b">
        <f>IF(Table1938[[#This Row],[Date]]&lt;&gt;"",AND(YEAR(Table1938[[#This Row],[Date]])&gt;=2010, YEAR(Table1938[[#This Row],[Date]])&lt;=2020),FALSE)</f>
        <v>1</v>
      </c>
      <c r="X590" s="2" t="b">
        <f>IF(AND(Table1938[[#This Row],[Accesible]]=TRUE,Table1938[[#This Row],[DOI]]&lt;&gt;""),TRUE,FALSE)</f>
        <v>0</v>
      </c>
      <c r="Y590" s="2" t="b">
        <f>OR(Table1938[[#This Row],[Document Type]]="journalArticle",Table1938[[#This Row],[Document Type]]="conferencePaper",Table1938[[#This Row],[Document Type]]="review")</f>
        <v>1</v>
      </c>
      <c r="Z590" s="2" t="b" cm="1">
        <f t="array" ref="Z590">SUMPRODUCT(--ISNUMBER(SEARCH({"dimensional analysis","dimensionless coefficients","Π","Pi","theorem","software","design","tools","development","architecture","similar"}, LOWER(Table1938[[#This Row],[Title]]))))&gt;0</f>
        <v>0</v>
      </c>
      <c r="AA590" s="2" t="b" cm="1">
        <f t="array" ref="AA590">SUMPRODUCT(--ISNUMBER(SEARCH({"dimensional analysis","dimensionless coefficients","Π","Pi","theorem","software","design","tools","development","architecture","similar"}, LOWER(Table1938[[#This Row],[Abstract]]))))&gt;0</f>
        <v>0</v>
      </c>
      <c r="AB590" s="2" t="b">
        <f>AND(OR(Table1938[[#This Row],[IC-01 @2024]:[IC-01 @2020]])=TRUE,Table1938[[#This Row],[IC-02]]=TRUE,Table1938[[#This Row],[IC-03]]=TRUE,Table1938[[#This Row],[IC-04]]=TRUE,Table1938[[#This Row],[IC-05]]=TRUE)</f>
        <v>0</v>
      </c>
      <c r="AC590" s="2" t="b">
        <f>AND(Table1938[[#This Row],[Pass-IC]]=TRUE,Table1938[[#This Row],[Pass-EC]]=TRUE)</f>
        <v>0</v>
      </c>
      <c r="AD590" s="2" t="b">
        <f>COUNTIF($D$25:D590, Table1938[[#This Row],[Title]]) = 1</f>
        <v>1</v>
      </c>
      <c r="AE590" s="2" t="b">
        <f>AND(Table1938[[#This Row],[IC + EC]:[Unique]])</f>
        <v>0</v>
      </c>
      <c r="AF590" s="2" t="b">
        <v>0</v>
      </c>
      <c r="AG590" s="2" t="b">
        <v>0</v>
      </c>
      <c r="AH590" s="2" t="b">
        <v>0</v>
      </c>
      <c r="AI590" s="2" t="b">
        <f>IF(AND(Table1938[[#This Row],[Double Check]]=TRUE,Table1938[[#This Row],[Inspected]]=TRUE,Table1938[[#This Row],[Relevant]]=TRUE),TRUE,FALSE)</f>
        <v>0</v>
      </c>
    </row>
    <row r="591" spans="1:35" ht="57.35" x14ac:dyDescent="0.5">
      <c r="A591" s="2">
        <v>590</v>
      </c>
      <c r="B591" s="20" t="s">
        <v>1</v>
      </c>
      <c r="C591" s="20" t="s">
        <v>3299</v>
      </c>
      <c r="D591" s="20" t="s">
        <v>143</v>
      </c>
      <c r="E591" s="20" t="s">
        <v>694</v>
      </c>
      <c r="F591" s="2" t="s">
        <v>123</v>
      </c>
      <c r="G591" s="20" t="s">
        <v>124</v>
      </c>
      <c r="H591" s="36">
        <v>42705</v>
      </c>
      <c r="I591" s="20">
        <v>2016</v>
      </c>
      <c r="J591" s="20" t="s">
        <v>61</v>
      </c>
      <c r="K591" s="20" t="s">
        <v>123</v>
      </c>
      <c r="L591" s="20" t="s">
        <v>642</v>
      </c>
      <c r="M591" s="20" t="s">
        <v>145</v>
      </c>
      <c r="N591" s="20" t="b">
        <v>0</v>
      </c>
      <c r="O591" s="2" t="b">
        <f>IF(Table1938[[#This Row],[Title]]="",TRUE,FALSE)</f>
        <v>0</v>
      </c>
      <c r="P591" s="2" t="b">
        <f>IF(Table1938[[#This Row],[Author]]="",TRUE,FALSE)</f>
        <v>0</v>
      </c>
      <c r="Q591" s="2" t="b">
        <f>IF(Table1938[[#This Row],[DOI]]&lt;&gt;"", FALSE,TRUE)</f>
        <v>0</v>
      </c>
      <c r="R591" s="2" t="b">
        <f>IF(Table1938[[#This Row],[Abstract]]="",TRUE,FALSE)</f>
        <v>1</v>
      </c>
      <c r="S591" s="2" t="b">
        <f>IF(OR(Table1938[[#This Row],[Document Type]]="book",Table1938[[#This Row],[Document Type]]="bookSection"),TRUE,FALSE)</f>
        <v>0</v>
      </c>
      <c r="T591" s="2" t="b">
        <f>NOT(IF(OR(Table1938[[#This Row],[Language]]&lt;&gt;"en",Table1938[[#This Row],[Language]]&lt;&gt;"EN",Table1938[[#This Row],[Language]]&lt;&gt;"spa",Table1938[[#This Row],[Language]]&lt;&gt;"SPA"),TRUE,FALSE))</f>
        <v>0</v>
      </c>
      <c r="U591" s="2" t="b">
        <f>IF(AND(Table1938[[#This Row],[EC-01]]=FALSE,Table1938[[#This Row],[EC-02]]=FALSE,Table1938[[#This Row],[EC-03]]=FALSE,Table1938[[#This Row],[EC-04]]=FALSE,Table1938[[#This Row],[EC-05]]=FALSE,Table1938[[#This Row],[EC-06]]=FALSE),TRUE,FALSE)</f>
        <v>0</v>
      </c>
      <c r="V591" s="2" t="b">
        <f>IF(Table1938[[#This Row],[Date]]&lt;&gt;"",AND(YEAR(Table1938[[#This Row],[Date]])&gt;=2010, YEAR(Table1938[[#This Row],[Date]])&lt;=2024),FALSE)</f>
        <v>1</v>
      </c>
      <c r="W591" s="2" t="b">
        <f>IF(Table1938[[#This Row],[Date]]&lt;&gt;"",AND(YEAR(Table1938[[#This Row],[Date]])&gt;=2010, YEAR(Table1938[[#This Row],[Date]])&lt;=2020),FALSE)</f>
        <v>1</v>
      </c>
      <c r="X591" s="2" t="b">
        <f>IF(AND(Table1938[[#This Row],[Accesible]]=TRUE,Table1938[[#This Row],[DOI]]&lt;&gt;""),TRUE,FALSE)</f>
        <v>0</v>
      </c>
      <c r="Y591" s="2" t="b">
        <f>OR(Table1938[[#This Row],[Document Type]]="journalArticle",Table1938[[#This Row],[Document Type]]="conferencePaper",Table1938[[#This Row],[Document Type]]="review")</f>
        <v>1</v>
      </c>
      <c r="Z591" s="2" t="b" cm="1">
        <f t="array" ref="Z591">SUMPRODUCT(--ISNUMBER(SEARCH({"dimensional analysis","dimensionless coefficients","Π","Pi","theorem","software","design","tools","development","architecture","similar"}, LOWER(Table1938[[#This Row],[Title]]))))&gt;0</f>
        <v>1</v>
      </c>
      <c r="AA591" s="2" t="b" cm="1">
        <f t="array" ref="AA591">SUMPRODUCT(--ISNUMBER(SEARCH({"dimensional analysis","dimensionless coefficients","Π","Pi","theorem","software","design","tools","development","architecture","similar"}, LOWER(Table1938[[#This Row],[Abstract]]))))&gt;0</f>
        <v>0</v>
      </c>
      <c r="AB591" s="2" t="b">
        <f>AND(OR(Table1938[[#This Row],[IC-01 @2024]:[IC-01 @2020]])=TRUE,Table1938[[#This Row],[IC-02]]=TRUE,Table1938[[#This Row],[IC-03]]=TRUE,Table1938[[#This Row],[IC-04]]=TRUE,Table1938[[#This Row],[IC-05]]=TRUE)</f>
        <v>0</v>
      </c>
      <c r="AC591" s="2" t="b">
        <f>AND(Table1938[[#This Row],[Pass-IC]]=TRUE,Table1938[[#This Row],[Pass-EC]]=TRUE)</f>
        <v>0</v>
      </c>
      <c r="AD591" s="2" t="b">
        <f>COUNTIF($D$25:D591, Table1938[[#This Row],[Title]]) = 1</f>
        <v>1</v>
      </c>
      <c r="AE591" s="2" t="b">
        <f>AND(Table1938[[#This Row],[IC + EC]:[Unique]])</f>
        <v>0</v>
      </c>
      <c r="AF591" s="2" t="b">
        <v>0</v>
      </c>
      <c r="AG591" s="2" t="b">
        <v>0</v>
      </c>
      <c r="AH591" s="2" t="b">
        <v>0</v>
      </c>
      <c r="AI591" s="2" t="b">
        <f>IF(AND(Table1938[[#This Row],[Double Check]]=TRUE,Table1938[[#This Row],[Inspected]]=TRUE,Table1938[[#This Row],[Relevant]]=TRUE),TRUE,FALSE)</f>
        <v>0</v>
      </c>
    </row>
    <row r="592" spans="1:35" ht="43" x14ac:dyDescent="0.5">
      <c r="A592" s="2">
        <v>591</v>
      </c>
      <c r="B592" s="20" t="s">
        <v>1</v>
      </c>
      <c r="C592" s="20" t="s">
        <v>3300</v>
      </c>
      <c r="D592" s="20" t="s">
        <v>695</v>
      </c>
      <c r="E592" s="20" t="s">
        <v>123</v>
      </c>
      <c r="F592" s="2" t="s">
        <v>123</v>
      </c>
      <c r="G592" s="20" t="s">
        <v>167</v>
      </c>
      <c r="H592" s="36">
        <v>43709</v>
      </c>
      <c r="I592" s="20">
        <v>2019</v>
      </c>
      <c r="J592" s="20" t="s">
        <v>61</v>
      </c>
      <c r="K592" s="20" t="s">
        <v>123</v>
      </c>
      <c r="L592" s="20" t="s">
        <v>642</v>
      </c>
      <c r="M592" s="20" t="s">
        <v>168</v>
      </c>
      <c r="N592" s="20" t="b">
        <v>0</v>
      </c>
      <c r="O592" s="2" t="b">
        <f>IF(Table1938[[#This Row],[Title]]="",TRUE,FALSE)</f>
        <v>0</v>
      </c>
      <c r="P592" s="2" t="b">
        <f>IF(Table1938[[#This Row],[Author]]="",TRUE,FALSE)</f>
        <v>1</v>
      </c>
      <c r="Q592" s="2" t="b">
        <f>IF(Table1938[[#This Row],[DOI]]&lt;&gt;"", FALSE,TRUE)</f>
        <v>0</v>
      </c>
      <c r="R592" s="2" t="b">
        <f>IF(Table1938[[#This Row],[Abstract]]="",TRUE,FALSE)</f>
        <v>1</v>
      </c>
      <c r="S592" s="2" t="b">
        <f>IF(OR(Table1938[[#This Row],[Document Type]]="book",Table1938[[#This Row],[Document Type]]="bookSection"),TRUE,FALSE)</f>
        <v>0</v>
      </c>
      <c r="T592" s="2" t="b">
        <f>NOT(IF(OR(Table1938[[#This Row],[Language]]&lt;&gt;"en",Table1938[[#This Row],[Language]]&lt;&gt;"EN",Table1938[[#This Row],[Language]]&lt;&gt;"spa",Table1938[[#This Row],[Language]]&lt;&gt;"SPA"),TRUE,FALSE))</f>
        <v>0</v>
      </c>
      <c r="U592" s="2" t="b">
        <f>IF(AND(Table1938[[#This Row],[EC-01]]=FALSE,Table1938[[#This Row],[EC-02]]=FALSE,Table1938[[#This Row],[EC-03]]=FALSE,Table1938[[#This Row],[EC-04]]=FALSE,Table1938[[#This Row],[EC-05]]=FALSE,Table1938[[#This Row],[EC-06]]=FALSE),TRUE,FALSE)</f>
        <v>0</v>
      </c>
      <c r="V592" s="2" t="b">
        <f>IF(Table1938[[#This Row],[Date]]&lt;&gt;"",AND(YEAR(Table1938[[#This Row],[Date]])&gt;=2010, YEAR(Table1938[[#This Row],[Date]])&lt;=2024),FALSE)</f>
        <v>1</v>
      </c>
      <c r="W592" s="2" t="b">
        <f>IF(Table1938[[#This Row],[Date]]&lt;&gt;"",AND(YEAR(Table1938[[#This Row],[Date]])&gt;=2010, YEAR(Table1938[[#This Row],[Date]])&lt;=2020),FALSE)</f>
        <v>1</v>
      </c>
      <c r="X592" s="2" t="b">
        <f>IF(AND(Table1938[[#This Row],[Accesible]]=TRUE,Table1938[[#This Row],[DOI]]&lt;&gt;""),TRUE,FALSE)</f>
        <v>0</v>
      </c>
      <c r="Y592" s="2" t="b">
        <f>OR(Table1938[[#This Row],[Document Type]]="journalArticle",Table1938[[#This Row],[Document Type]]="conferencePaper",Table1938[[#This Row],[Document Type]]="review")</f>
        <v>1</v>
      </c>
      <c r="Z592" s="2" t="b" cm="1">
        <f t="array" ref="Z592">SUMPRODUCT(--ISNUMBER(SEARCH({"dimensional analysis","dimensionless coefficients","Π","Pi","theorem","software","design","tools","development","architecture","similar"}, LOWER(Table1938[[#This Row],[Title]]))))&gt;0</f>
        <v>0</v>
      </c>
      <c r="AA592" s="2" t="b" cm="1">
        <f t="array" ref="AA592">SUMPRODUCT(--ISNUMBER(SEARCH({"dimensional analysis","dimensionless coefficients","Π","Pi","theorem","software","design","tools","development","architecture","similar"}, LOWER(Table1938[[#This Row],[Abstract]]))))&gt;0</f>
        <v>0</v>
      </c>
      <c r="AB592" s="2" t="b">
        <f>AND(OR(Table1938[[#This Row],[IC-01 @2024]:[IC-01 @2020]])=TRUE,Table1938[[#This Row],[IC-02]]=TRUE,Table1938[[#This Row],[IC-03]]=TRUE,Table1938[[#This Row],[IC-04]]=TRUE,Table1938[[#This Row],[IC-05]]=TRUE)</f>
        <v>0</v>
      </c>
      <c r="AC592" s="2" t="b">
        <f>AND(Table1938[[#This Row],[Pass-IC]]=TRUE,Table1938[[#This Row],[Pass-EC]]=TRUE)</f>
        <v>0</v>
      </c>
      <c r="AD592" s="2" t="b">
        <f>COUNTIF($D$25:D592, Table1938[[#This Row],[Title]]) = 1</f>
        <v>1</v>
      </c>
      <c r="AE592" s="2" t="b">
        <f>AND(Table1938[[#This Row],[IC + EC]:[Unique]])</f>
        <v>0</v>
      </c>
      <c r="AF592" s="2" t="b">
        <v>0</v>
      </c>
      <c r="AG592" s="2" t="b">
        <v>0</v>
      </c>
      <c r="AH592" s="2" t="b">
        <v>0</v>
      </c>
      <c r="AI592" s="2" t="b">
        <f>IF(AND(Table1938[[#This Row],[Double Check]]=TRUE,Table1938[[#This Row],[Inspected]]=TRUE,Table1938[[#This Row],[Relevant]]=TRUE),TRUE,FALSE)</f>
        <v>0</v>
      </c>
    </row>
    <row r="593" spans="1:35" ht="86" x14ac:dyDescent="0.5">
      <c r="A593" s="2">
        <v>592</v>
      </c>
      <c r="B593" s="20" t="s">
        <v>1</v>
      </c>
      <c r="C593" s="20" t="s">
        <v>3301</v>
      </c>
      <c r="D593" s="20" t="s">
        <v>696</v>
      </c>
      <c r="E593" s="20" t="s">
        <v>123</v>
      </c>
      <c r="F593" s="2" t="s">
        <v>123</v>
      </c>
      <c r="G593" s="20" t="s">
        <v>137</v>
      </c>
      <c r="H593" s="36">
        <v>43252</v>
      </c>
      <c r="I593" s="20">
        <v>2018</v>
      </c>
      <c r="J593" s="20" t="s">
        <v>61</v>
      </c>
      <c r="K593" s="20" t="s">
        <v>123</v>
      </c>
      <c r="L593" s="20" t="s">
        <v>642</v>
      </c>
      <c r="M593" s="20" t="s">
        <v>697</v>
      </c>
      <c r="N593" s="20" t="b">
        <v>0</v>
      </c>
      <c r="O593" s="2" t="b">
        <f>IF(Table1938[[#This Row],[Title]]="",TRUE,FALSE)</f>
        <v>0</v>
      </c>
      <c r="P593" s="2" t="b">
        <f>IF(Table1938[[#This Row],[Author]]="",TRUE,FALSE)</f>
        <v>1</v>
      </c>
      <c r="Q593" s="2" t="b">
        <f>IF(Table1938[[#This Row],[DOI]]&lt;&gt;"", FALSE,TRUE)</f>
        <v>0</v>
      </c>
      <c r="R593" s="2" t="b">
        <f>IF(Table1938[[#This Row],[Abstract]]="",TRUE,FALSE)</f>
        <v>1</v>
      </c>
      <c r="S593" s="2" t="b">
        <f>IF(OR(Table1938[[#This Row],[Document Type]]="book",Table1938[[#This Row],[Document Type]]="bookSection"),TRUE,FALSE)</f>
        <v>0</v>
      </c>
      <c r="T593" s="2" t="b">
        <f>NOT(IF(OR(Table1938[[#This Row],[Language]]&lt;&gt;"en",Table1938[[#This Row],[Language]]&lt;&gt;"EN",Table1938[[#This Row],[Language]]&lt;&gt;"spa",Table1938[[#This Row],[Language]]&lt;&gt;"SPA"),TRUE,FALSE))</f>
        <v>0</v>
      </c>
      <c r="U593" s="2" t="b">
        <f>IF(AND(Table1938[[#This Row],[EC-01]]=FALSE,Table1938[[#This Row],[EC-02]]=FALSE,Table1938[[#This Row],[EC-03]]=FALSE,Table1938[[#This Row],[EC-04]]=FALSE,Table1938[[#This Row],[EC-05]]=FALSE,Table1938[[#This Row],[EC-06]]=FALSE),TRUE,FALSE)</f>
        <v>0</v>
      </c>
      <c r="V593" s="2" t="b">
        <f>IF(Table1938[[#This Row],[Date]]&lt;&gt;"",AND(YEAR(Table1938[[#This Row],[Date]])&gt;=2010, YEAR(Table1938[[#This Row],[Date]])&lt;=2024),FALSE)</f>
        <v>1</v>
      </c>
      <c r="W593" s="2" t="b">
        <f>IF(Table1938[[#This Row],[Date]]&lt;&gt;"",AND(YEAR(Table1938[[#This Row],[Date]])&gt;=2010, YEAR(Table1938[[#This Row],[Date]])&lt;=2020),FALSE)</f>
        <v>1</v>
      </c>
      <c r="X593" s="2" t="b">
        <f>IF(AND(Table1938[[#This Row],[Accesible]]=TRUE,Table1938[[#This Row],[DOI]]&lt;&gt;""),TRUE,FALSE)</f>
        <v>0</v>
      </c>
      <c r="Y593" s="2" t="b">
        <f>OR(Table1938[[#This Row],[Document Type]]="journalArticle",Table1938[[#This Row],[Document Type]]="conferencePaper",Table1938[[#This Row],[Document Type]]="review")</f>
        <v>1</v>
      </c>
      <c r="Z593" s="2" t="b" cm="1">
        <f t="array" ref="Z593">SUMPRODUCT(--ISNUMBER(SEARCH({"dimensional analysis","dimensionless coefficients","Π","Pi","theorem","software","design","tools","development","architecture","similar"}, LOWER(Table1938[[#This Row],[Title]]))))&gt;0</f>
        <v>0</v>
      </c>
      <c r="AA593" s="2" t="b" cm="1">
        <f t="array" ref="AA593">SUMPRODUCT(--ISNUMBER(SEARCH({"dimensional analysis","dimensionless coefficients","Π","Pi","theorem","software","design","tools","development","architecture","similar"}, LOWER(Table1938[[#This Row],[Abstract]]))))&gt;0</f>
        <v>0</v>
      </c>
      <c r="AB593" s="2" t="b">
        <f>AND(OR(Table1938[[#This Row],[IC-01 @2024]:[IC-01 @2020]])=TRUE,Table1938[[#This Row],[IC-02]]=TRUE,Table1938[[#This Row],[IC-03]]=TRUE,Table1938[[#This Row],[IC-04]]=TRUE,Table1938[[#This Row],[IC-05]]=TRUE)</f>
        <v>0</v>
      </c>
      <c r="AC593" s="2" t="b">
        <f>AND(Table1938[[#This Row],[Pass-IC]]=TRUE,Table1938[[#This Row],[Pass-EC]]=TRUE)</f>
        <v>0</v>
      </c>
      <c r="AD593" s="2" t="b">
        <f>COUNTIF($D$25:D593, Table1938[[#This Row],[Title]]) = 1</f>
        <v>1</v>
      </c>
      <c r="AE593" s="2" t="b">
        <f>AND(Table1938[[#This Row],[IC + EC]:[Unique]])</f>
        <v>0</v>
      </c>
      <c r="AF593" s="2" t="b">
        <v>0</v>
      </c>
      <c r="AG593" s="2" t="b">
        <v>0</v>
      </c>
      <c r="AH593" s="2" t="b">
        <v>0</v>
      </c>
      <c r="AI593" s="2" t="b">
        <f>IF(AND(Table1938[[#This Row],[Double Check]]=TRUE,Table1938[[#This Row],[Inspected]]=TRUE,Table1938[[#This Row],[Relevant]]=TRUE),TRUE,FALSE)</f>
        <v>0</v>
      </c>
    </row>
    <row r="594" spans="1:35" ht="57.35" x14ac:dyDescent="0.5">
      <c r="A594" s="2">
        <v>593</v>
      </c>
      <c r="B594" s="20" t="s">
        <v>1</v>
      </c>
      <c r="C594" s="20" t="s">
        <v>3302</v>
      </c>
      <c r="D594" s="20" t="s">
        <v>291</v>
      </c>
      <c r="E594" s="20" t="s">
        <v>698</v>
      </c>
      <c r="F594" s="2" t="s">
        <v>123</v>
      </c>
      <c r="G594" s="20" t="s">
        <v>124</v>
      </c>
      <c r="H594" s="36">
        <v>43070</v>
      </c>
      <c r="I594" s="20">
        <v>2017</v>
      </c>
      <c r="J594" s="20" t="s">
        <v>61</v>
      </c>
      <c r="K594" s="20" t="s">
        <v>123</v>
      </c>
      <c r="L594" s="20" t="s">
        <v>642</v>
      </c>
      <c r="M594" s="20" t="s">
        <v>292</v>
      </c>
      <c r="N594" s="20" t="b">
        <v>0</v>
      </c>
      <c r="O594" s="2" t="b">
        <f>IF(Table1938[[#This Row],[Title]]="",TRUE,FALSE)</f>
        <v>0</v>
      </c>
      <c r="P594" s="2" t="b">
        <f>IF(Table1938[[#This Row],[Author]]="",TRUE,FALSE)</f>
        <v>0</v>
      </c>
      <c r="Q594" s="2" t="b">
        <f>IF(Table1938[[#This Row],[DOI]]&lt;&gt;"", FALSE,TRUE)</f>
        <v>0</v>
      </c>
      <c r="R594" s="2" t="b">
        <f>IF(Table1938[[#This Row],[Abstract]]="",TRUE,FALSE)</f>
        <v>1</v>
      </c>
      <c r="S594" s="2" t="b">
        <f>IF(OR(Table1938[[#This Row],[Document Type]]="book",Table1938[[#This Row],[Document Type]]="bookSection"),TRUE,FALSE)</f>
        <v>0</v>
      </c>
      <c r="T594" s="2" t="b">
        <f>NOT(IF(OR(Table1938[[#This Row],[Language]]&lt;&gt;"en",Table1938[[#This Row],[Language]]&lt;&gt;"EN",Table1938[[#This Row],[Language]]&lt;&gt;"spa",Table1938[[#This Row],[Language]]&lt;&gt;"SPA"),TRUE,FALSE))</f>
        <v>0</v>
      </c>
      <c r="U594" s="2" t="b">
        <f>IF(AND(Table1938[[#This Row],[EC-01]]=FALSE,Table1938[[#This Row],[EC-02]]=FALSE,Table1938[[#This Row],[EC-03]]=FALSE,Table1938[[#This Row],[EC-04]]=FALSE,Table1938[[#This Row],[EC-05]]=FALSE,Table1938[[#This Row],[EC-06]]=FALSE),TRUE,FALSE)</f>
        <v>0</v>
      </c>
      <c r="V594" s="2" t="b">
        <f>IF(Table1938[[#This Row],[Date]]&lt;&gt;"",AND(YEAR(Table1938[[#This Row],[Date]])&gt;=2010, YEAR(Table1938[[#This Row],[Date]])&lt;=2024),FALSE)</f>
        <v>1</v>
      </c>
      <c r="W594" s="2" t="b">
        <f>IF(Table1938[[#This Row],[Date]]&lt;&gt;"",AND(YEAR(Table1938[[#This Row],[Date]])&gt;=2010, YEAR(Table1938[[#This Row],[Date]])&lt;=2020),FALSE)</f>
        <v>1</v>
      </c>
      <c r="X594" s="2" t="b">
        <f>IF(AND(Table1938[[#This Row],[Accesible]]=TRUE,Table1938[[#This Row],[DOI]]&lt;&gt;""),TRUE,FALSE)</f>
        <v>0</v>
      </c>
      <c r="Y594" s="2" t="b">
        <f>OR(Table1938[[#This Row],[Document Type]]="journalArticle",Table1938[[#This Row],[Document Type]]="conferencePaper",Table1938[[#This Row],[Document Type]]="review")</f>
        <v>1</v>
      </c>
      <c r="Z594" s="2" t="b" cm="1">
        <f t="array" ref="Z594">SUMPRODUCT(--ISNUMBER(SEARCH({"dimensional analysis","dimensionless coefficients","Π","Pi","theorem","software","design","tools","development","architecture","similar"}, LOWER(Table1938[[#This Row],[Title]]))))&gt;0</f>
        <v>1</v>
      </c>
      <c r="AA594" s="2" t="b" cm="1">
        <f t="array" ref="AA594">SUMPRODUCT(--ISNUMBER(SEARCH({"dimensional analysis","dimensionless coefficients","Π","Pi","theorem","software","design","tools","development","architecture","similar"}, LOWER(Table1938[[#This Row],[Abstract]]))))&gt;0</f>
        <v>0</v>
      </c>
      <c r="AB594" s="2" t="b">
        <f>AND(OR(Table1938[[#This Row],[IC-01 @2024]:[IC-01 @2020]])=TRUE,Table1938[[#This Row],[IC-02]]=TRUE,Table1938[[#This Row],[IC-03]]=TRUE,Table1938[[#This Row],[IC-04]]=TRUE,Table1938[[#This Row],[IC-05]]=TRUE)</f>
        <v>0</v>
      </c>
      <c r="AC594" s="2" t="b">
        <f>AND(Table1938[[#This Row],[Pass-IC]]=TRUE,Table1938[[#This Row],[Pass-EC]]=TRUE)</f>
        <v>0</v>
      </c>
      <c r="AD594" s="2" t="b">
        <f>COUNTIF($D$25:D594, Table1938[[#This Row],[Title]]) = 1</f>
        <v>1</v>
      </c>
      <c r="AE594" s="2" t="b">
        <f>AND(Table1938[[#This Row],[IC + EC]:[Unique]])</f>
        <v>0</v>
      </c>
      <c r="AF594" s="2" t="b">
        <v>0</v>
      </c>
      <c r="AG594" s="2" t="b">
        <v>0</v>
      </c>
      <c r="AH594" s="2" t="b">
        <v>0</v>
      </c>
      <c r="AI594" s="2" t="b">
        <f>IF(AND(Table1938[[#This Row],[Double Check]]=TRUE,Table1938[[#This Row],[Inspected]]=TRUE,Table1938[[#This Row],[Relevant]]=TRUE),TRUE,FALSE)</f>
        <v>0</v>
      </c>
    </row>
    <row r="595" spans="1:35" ht="71.7" x14ac:dyDescent="0.5">
      <c r="A595" s="2">
        <v>594</v>
      </c>
      <c r="B595" s="20" t="s">
        <v>1</v>
      </c>
      <c r="C595" s="20" t="s">
        <v>3303</v>
      </c>
      <c r="D595" s="20" t="s">
        <v>162</v>
      </c>
      <c r="E595" s="20" t="s">
        <v>699</v>
      </c>
      <c r="F595" s="2" t="s">
        <v>123</v>
      </c>
      <c r="G595" s="20" t="s">
        <v>163</v>
      </c>
      <c r="H595" s="36">
        <v>42856</v>
      </c>
      <c r="I595" s="20">
        <v>2017</v>
      </c>
      <c r="J595" s="20" t="s">
        <v>61</v>
      </c>
      <c r="K595" s="20" t="s">
        <v>123</v>
      </c>
      <c r="L595" s="20" t="s">
        <v>642</v>
      </c>
      <c r="M595" s="20" t="s">
        <v>164</v>
      </c>
      <c r="N595" s="20" t="b">
        <v>0</v>
      </c>
      <c r="O595" s="2" t="b">
        <f>IF(Table1938[[#This Row],[Title]]="",TRUE,FALSE)</f>
        <v>0</v>
      </c>
      <c r="P595" s="2" t="b">
        <f>IF(Table1938[[#This Row],[Author]]="",TRUE,FALSE)</f>
        <v>0</v>
      </c>
      <c r="Q595" s="2" t="b">
        <f>IF(Table1938[[#This Row],[DOI]]&lt;&gt;"", FALSE,TRUE)</f>
        <v>0</v>
      </c>
      <c r="R595" s="2" t="b">
        <f>IF(Table1938[[#This Row],[Abstract]]="",TRUE,FALSE)</f>
        <v>1</v>
      </c>
      <c r="S595" s="2" t="b">
        <f>IF(OR(Table1938[[#This Row],[Document Type]]="book",Table1938[[#This Row],[Document Type]]="bookSection"),TRUE,FALSE)</f>
        <v>0</v>
      </c>
      <c r="T595" s="2" t="b">
        <f>NOT(IF(OR(Table1938[[#This Row],[Language]]&lt;&gt;"en",Table1938[[#This Row],[Language]]&lt;&gt;"EN",Table1938[[#This Row],[Language]]&lt;&gt;"spa",Table1938[[#This Row],[Language]]&lt;&gt;"SPA"),TRUE,FALSE))</f>
        <v>0</v>
      </c>
      <c r="U595" s="2" t="b">
        <f>IF(AND(Table1938[[#This Row],[EC-01]]=FALSE,Table1938[[#This Row],[EC-02]]=FALSE,Table1938[[#This Row],[EC-03]]=FALSE,Table1938[[#This Row],[EC-04]]=FALSE,Table1938[[#This Row],[EC-05]]=FALSE,Table1938[[#This Row],[EC-06]]=FALSE),TRUE,FALSE)</f>
        <v>0</v>
      </c>
      <c r="V595" s="2" t="b">
        <f>IF(Table1938[[#This Row],[Date]]&lt;&gt;"",AND(YEAR(Table1938[[#This Row],[Date]])&gt;=2010, YEAR(Table1938[[#This Row],[Date]])&lt;=2024),FALSE)</f>
        <v>1</v>
      </c>
      <c r="W595" s="2" t="b">
        <f>IF(Table1938[[#This Row],[Date]]&lt;&gt;"",AND(YEAR(Table1938[[#This Row],[Date]])&gt;=2010, YEAR(Table1938[[#This Row],[Date]])&lt;=2020),FALSE)</f>
        <v>1</v>
      </c>
      <c r="X595" s="2" t="b">
        <f>IF(AND(Table1938[[#This Row],[Accesible]]=TRUE,Table1938[[#This Row],[DOI]]&lt;&gt;""),TRUE,FALSE)</f>
        <v>0</v>
      </c>
      <c r="Y595" s="2" t="b">
        <f>OR(Table1938[[#This Row],[Document Type]]="journalArticle",Table1938[[#This Row],[Document Type]]="conferencePaper",Table1938[[#This Row],[Document Type]]="review")</f>
        <v>1</v>
      </c>
      <c r="Z595" s="2" t="b" cm="1">
        <f t="array" ref="Z595">SUMPRODUCT(--ISNUMBER(SEARCH({"dimensional analysis","dimensionless coefficients","Π","Pi","theorem","software","design","tools","development","architecture","similar"}, LOWER(Table1938[[#This Row],[Title]]))))&gt;0</f>
        <v>0</v>
      </c>
      <c r="AA595" s="2" t="b" cm="1">
        <f t="array" ref="AA595">SUMPRODUCT(--ISNUMBER(SEARCH({"dimensional analysis","dimensionless coefficients","Π","Pi","theorem","software","design","tools","development","architecture","similar"}, LOWER(Table1938[[#This Row],[Abstract]]))))&gt;0</f>
        <v>0</v>
      </c>
      <c r="AB595" s="2" t="b">
        <f>AND(OR(Table1938[[#This Row],[IC-01 @2024]:[IC-01 @2020]])=TRUE,Table1938[[#This Row],[IC-02]]=TRUE,Table1938[[#This Row],[IC-03]]=TRUE,Table1938[[#This Row],[IC-04]]=TRUE,Table1938[[#This Row],[IC-05]]=TRUE)</f>
        <v>0</v>
      </c>
      <c r="AC595" s="2" t="b">
        <f>AND(Table1938[[#This Row],[Pass-IC]]=TRUE,Table1938[[#This Row],[Pass-EC]]=TRUE)</f>
        <v>0</v>
      </c>
      <c r="AD595" s="2" t="b">
        <f>COUNTIF($D$25:D595, Table1938[[#This Row],[Title]]) = 1</f>
        <v>1</v>
      </c>
      <c r="AE595" s="2" t="b">
        <f>AND(Table1938[[#This Row],[IC + EC]:[Unique]])</f>
        <v>0</v>
      </c>
      <c r="AF595" s="2" t="b">
        <v>0</v>
      </c>
      <c r="AG595" s="2" t="b">
        <v>0</v>
      </c>
      <c r="AH595" s="2" t="b">
        <v>0</v>
      </c>
      <c r="AI595" s="2" t="b">
        <f>IF(AND(Table1938[[#This Row],[Double Check]]=TRUE,Table1938[[#This Row],[Inspected]]=TRUE,Table1938[[#This Row],[Relevant]]=TRUE),TRUE,FALSE)</f>
        <v>0</v>
      </c>
    </row>
    <row r="596" spans="1:35" ht="43" x14ac:dyDescent="0.5">
      <c r="A596" s="2">
        <v>595</v>
      </c>
      <c r="B596" s="20" t="s">
        <v>1</v>
      </c>
      <c r="C596" s="20" t="s">
        <v>3304</v>
      </c>
      <c r="D596" s="20" t="s">
        <v>214</v>
      </c>
      <c r="E596" s="20" t="s">
        <v>123</v>
      </c>
      <c r="F596" s="2" t="s">
        <v>123</v>
      </c>
      <c r="G596" s="20" t="s">
        <v>56</v>
      </c>
      <c r="H596" s="36">
        <v>41275</v>
      </c>
      <c r="I596" s="20">
        <v>2013</v>
      </c>
      <c r="J596" s="20" t="s">
        <v>688</v>
      </c>
      <c r="K596" s="20" t="s">
        <v>123</v>
      </c>
      <c r="L596" s="20" t="s">
        <v>2515</v>
      </c>
      <c r="M596" s="20" t="s">
        <v>123</v>
      </c>
      <c r="N596" s="20" t="b">
        <v>1</v>
      </c>
      <c r="O596" s="2" t="b">
        <f>IF(Table1938[[#This Row],[Title]]="",TRUE,FALSE)</f>
        <v>0</v>
      </c>
      <c r="P596" s="2" t="b">
        <f>IF(Table1938[[#This Row],[Author]]="",TRUE,FALSE)</f>
        <v>1</v>
      </c>
      <c r="Q596" s="2" t="b">
        <f>IF(Table1938[[#This Row],[DOI]]&lt;&gt;"", FALSE,TRUE)</f>
        <v>1</v>
      </c>
      <c r="R596" s="2" t="b">
        <f>IF(Table1938[[#This Row],[Abstract]]="",TRUE,FALSE)</f>
        <v>1</v>
      </c>
      <c r="S596" s="2" t="b">
        <f>IF(OR(Table1938[[#This Row],[Document Type]]="book",Table1938[[#This Row],[Document Type]]="bookSection"),TRUE,FALSE)</f>
        <v>1</v>
      </c>
      <c r="T596" s="2" t="b">
        <f>NOT(IF(OR(Table1938[[#This Row],[Language]]&lt;&gt;"en",Table1938[[#This Row],[Language]]&lt;&gt;"EN",Table1938[[#This Row],[Language]]&lt;&gt;"spa",Table1938[[#This Row],[Language]]&lt;&gt;"SPA"),TRUE,FALSE))</f>
        <v>0</v>
      </c>
      <c r="U596" s="2" t="b">
        <f>IF(AND(Table1938[[#This Row],[EC-01]]=FALSE,Table1938[[#This Row],[EC-02]]=FALSE,Table1938[[#This Row],[EC-03]]=FALSE,Table1938[[#This Row],[EC-04]]=FALSE,Table1938[[#This Row],[EC-05]]=FALSE,Table1938[[#This Row],[EC-06]]=FALSE),TRUE,FALSE)</f>
        <v>0</v>
      </c>
      <c r="V596" s="2" t="b">
        <f>IF(Table1938[[#This Row],[Date]]&lt;&gt;"",AND(YEAR(Table1938[[#This Row],[Date]])&gt;=2010, YEAR(Table1938[[#This Row],[Date]])&lt;=2024),FALSE)</f>
        <v>1</v>
      </c>
      <c r="W596" s="2" t="b">
        <f>IF(Table1938[[#This Row],[Date]]&lt;&gt;"",AND(YEAR(Table1938[[#This Row],[Date]])&gt;=2010, YEAR(Table1938[[#This Row],[Date]])&lt;=2020),FALSE)</f>
        <v>1</v>
      </c>
      <c r="X596" s="2" t="b">
        <f>IF(AND(Table1938[[#This Row],[Accesible]]=TRUE,Table1938[[#This Row],[DOI]]&lt;&gt;""),TRUE,FALSE)</f>
        <v>0</v>
      </c>
      <c r="Y596" s="2" t="b">
        <f>OR(Table1938[[#This Row],[Document Type]]="journalArticle",Table1938[[#This Row],[Document Type]]="conferencePaper",Table1938[[#This Row],[Document Type]]="review")</f>
        <v>0</v>
      </c>
      <c r="Z596" s="2" t="b" cm="1">
        <f t="array" ref="Z596">SUMPRODUCT(--ISNUMBER(SEARCH({"dimensional analysis","dimensionless coefficients","Π","Pi","theorem","software","design","tools","development","architecture","similar"}, LOWER(Table1938[[#This Row],[Title]]))))&gt;0</f>
        <v>0</v>
      </c>
      <c r="AA596" s="2" t="b" cm="1">
        <f t="array" ref="AA596">SUMPRODUCT(--ISNUMBER(SEARCH({"dimensional analysis","dimensionless coefficients","Π","Pi","theorem","software","design","tools","development","architecture","similar"}, LOWER(Table1938[[#This Row],[Abstract]]))))&gt;0</f>
        <v>0</v>
      </c>
      <c r="AB596" s="2" t="b">
        <f>AND(OR(Table1938[[#This Row],[IC-01 @2024]:[IC-01 @2020]])=TRUE,Table1938[[#This Row],[IC-02]]=TRUE,Table1938[[#This Row],[IC-03]]=TRUE,Table1938[[#This Row],[IC-04]]=TRUE,Table1938[[#This Row],[IC-05]]=TRUE)</f>
        <v>0</v>
      </c>
      <c r="AC596" s="2" t="b">
        <f>AND(Table1938[[#This Row],[Pass-IC]]=TRUE,Table1938[[#This Row],[Pass-EC]]=TRUE)</f>
        <v>0</v>
      </c>
      <c r="AD596" s="2" t="b">
        <f>COUNTIF($D$25:D596, Table1938[[#This Row],[Title]]) = 1</f>
        <v>1</v>
      </c>
      <c r="AE596" s="2" t="b">
        <f>AND(Table1938[[#This Row],[IC + EC]:[Unique]])</f>
        <v>0</v>
      </c>
      <c r="AF596" s="2" t="b">
        <v>0</v>
      </c>
      <c r="AG596" s="2" t="b">
        <v>0</v>
      </c>
      <c r="AH596" s="2" t="b">
        <v>0</v>
      </c>
      <c r="AI596" s="2" t="b">
        <f>IF(AND(Table1938[[#This Row],[Double Check]]=TRUE,Table1938[[#This Row],[Inspected]]=TRUE,Table1938[[#This Row],[Relevant]]=TRUE),TRUE,FALSE)</f>
        <v>0</v>
      </c>
    </row>
    <row r="597" spans="1:35" ht="86" x14ac:dyDescent="0.5">
      <c r="A597" s="2">
        <v>596</v>
      </c>
      <c r="B597" s="20" t="s">
        <v>1</v>
      </c>
      <c r="C597" s="20" t="s">
        <v>3305</v>
      </c>
      <c r="D597" s="20" t="s">
        <v>719</v>
      </c>
      <c r="E597" s="20" t="s">
        <v>123</v>
      </c>
      <c r="F597" s="2" t="s">
        <v>123</v>
      </c>
      <c r="G597" s="20" t="s">
        <v>123</v>
      </c>
      <c r="H597" s="36">
        <v>41275</v>
      </c>
      <c r="I597" s="20">
        <v>2013</v>
      </c>
      <c r="J597" s="20" t="s">
        <v>63</v>
      </c>
      <c r="K597" s="20" t="s">
        <v>123</v>
      </c>
      <c r="L597" s="20" t="s">
        <v>642</v>
      </c>
      <c r="M597" s="20" t="s">
        <v>123</v>
      </c>
      <c r="N597" s="20" t="b">
        <v>1</v>
      </c>
      <c r="O597" s="2" t="b">
        <f>IF(Table1938[[#This Row],[Title]]="",TRUE,FALSE)</f>
        <v>0</v>
      </c>
      <c r="P597" s="2" t="b">
        <f>IF(Table1938[[#This Row],[Author]]="",TRUE,FALSE)</f>
        <v>1</v>
      </c>
      <c r="Q597" s="2" t="b">
        <f>IF(Table1938[[#This Row],[DOI]]&lt;&gt;"", FALSE,TRUE)</f>
        <v>1</v>
      </c>
      <c r="R597" s="2" t="b">
        <f>IF(Table1938[[#This Row],[Abstract]]="",TRUE,FALSE)</f>
        <v>1</v>
      </c>
      <c r="S597" s="2" t="b">
        <f>IF(OR(Table1938[[#This Row],[Document Type]]="book",Table1938[[#This Row],[Document Type]]="bookSection"),TRUE,FALSE)</f>
        <v>1</v>
      </c>
      <c r="T597" s="2" t="b">
        <f>NOT(IF(OR(Table1938[[#This Row],[Language]]&lt;&gt;"en",Table1938[[#This Row],[Language]]&lt;&gt;"EN",Table1938[[#This Row],[Language]]&lt;&gt;"spa",Table1938[[#This Row],[Language]]&lt;&gt;"SPA"),TRUE,FALSE))</f>
        <v>0</v>
      </c>
      <c r="U597" s="2" t="b">
        <f>IF(AND(Table1938[[#This Row],[EC-01]]=FALSE,Table1938[[#This Row],[EC-02]]=FALSE,Table1938[[#This Row],[EC-03]]=FALSE,Table1938[[#This Row],[EC-04]]=FALSE,Table1938[[#This Row],[EC-05]]=FALSE,Table1938[[#This Row],[EC-06]]=FALSE),TRUE,FALSE)</f>
        <v>0</v>
      </c>
      <c r="V597" s="2" t="b">
        <f>IF(Table1938[[#This Row],[Date]]&lt;&gt;"",AND(YEAR(Table1938[[#This Row],[Date]])&gt;=2010, YEAR(Table1938[[#This Row],[Date]])&lt;=2024),FALSE)</f>
        <v>1</v>
      </c>
      <c r="W597" s="2" t="b">
        <f>IF(Table1938[[#This Row],[Date]]&lt;&gt;"",AND(YEAR(Table1938[[#This Row],[Date]])&gt;=2010, YEAR(Table1938[[#This Row],[Date]])&lt;=2020),FALSE)</f>
        <v>1</v>
      </c>
      <c r="X597" s="2" t="b">
        <f>IF(AND(Table1938[[#This Row],[Accesible]]=TRUE,Table1938[[#This Row],[DOI]]&lt;&gt;""),TRUE,FALSE)</f>
        <v>0</v>
      </c>
      <c r="Y597" s="2" t="b">
        <f>OR(Table1938[[#This Row],[Document Type]]="journalArticle",Table1938[[#This Row],[Document Type]]="conferencePaper",Table1938[[#This Row],[Document Type]]="review")</f>
        <v>0</v>
      </c>
      <c r="Z597" s="2" t="b" cm="1">
        <f t="array" ref="Z597">SUMPRODUCT(--ISNUMBER(SEARCH({"dimensional analysis","dimensionless coefficients","Π","Pi","theorem","software","design","tools","development","architecture","similar"}, LOWER(Table1938[[#This Row],[Title]]))))&gt;0</f>
        <v>0</v>
      </c>
      <c r="AA597" s="2" t="b" cm="1">
        <f t="array" ref="AA597">SUMPRODUCT(--ISNUMBER(SEARCH({"dimensional analysis","dimensionless coefficients","Π","Pi","theorem","software","design","tools","development","architecture","similar"}, LOWER(Table1938[[#This Row],[Abstract]]))))&gt;0</f>
        <v>0</v>
      </c>
      <c r="AB597" s="2" t="b">
        <f>AND(OR(Table1938[[#This Row],[IC-01 @2024]:[IC-01 @2020]])=TRUE,Table1938[[#This Row],[IC-02]]=TRUE,Table1938[[#This Row],[IC-03]]=TRUE,Table1938[[#This Row],[IC-04]]=TRUE,Table1938[[#This Row],[IC-05]]=TRUE)</f>
        <v>0</v>
      </c>
      <c r="AC597" s="2" t="b">
        <f>AND(Table1938[[#This Row],[Pass-IC]]=TRUE,Table1938[[#This Row],[Pass-EC]]=TRUE)</f>
        <v>0</v>
      </c>
      <c r="AD597" s="2" t="b">
        <f>COUNTIF($D$25:D597, Table1938[[#This Row],[Title]]) = 1</f>
        <v>1</v>
      </c>
      <c r="AE597" s="2" t="b">
        <f>AND(Table1938[[#This Row],[IC + EC]:[Unique]])</f>
        <v>0</v>
      </c>
      <c r="AF597" s="2" t="b">
        <v>0</v>
      </c>
      <c r="AG597" s="2" t="b">
        <v>0</v>
      </c>
      <c r="AH597" s="2" t="b">
        <v>0</v>
      </c>
      <c r="AI597" s="2" t="b">
        <f>IF(AND(Table1938[[#This Row],[Double Check]]=TRUE,Table1938[[#This Row],[Inspected]]=TRUE,Table1938[[#This Row],[Relevant]]=TRUE),TRUE,FALSE)</f>
        <v>0</v>
      </c>
    </row>
    <row r="598" spans="1:35" ht="43" x14ac:dyDescent="0.5">
      <c r="A598" s="2">
        <v>597</v>
      </c>
      <c r="B598" s="20" t="s">
        <v>1</v>
      </c>
      <c r="C598" s="20" t="s">
        <v>3306</v>
      </c>
      <c r="D598" s="20" t="s">
        <v>221</v>
      </c>
      <c r="E598" s="20" t="s">
        <v>701</v>
      </c>
      <c r="F598" s="2" t="s">
        <v>702</v>
      </c>
      <c r="G598" s="20" t="s">
        <v>222</v>
      </c>
      <c r="H598" s="36">
        <v>42370</v>
      </c>
      <c r="I598" s="20">
        <v>2016</v>
      </c>
      <c r="J598" s="20" t="s">
        <v>61</v>
      </c>
      <c r="K598" s="20" t="s">
        <v>123</v>
      </c>
      <c r="L598" s="20" t="s">
        <v>2515</v>
      </c>
      <c r="M598" s="20" t="s">
        <v>223</v>
      </c>
      <c r="N598" s="20" t="b">
        <v>0</v>
      </c>
      <c r="O598" s="2" t="b">
        <f>IF(Table1938[[#This Row],[Title]]="",TRUE,FALSE)</f>
        <v>0</v>
      </c>
      <c r="P598" s="2" t="b">
        <f>IF(Table1938[[#This Row],[Author]]="",TRUE,FALSE)</f>
        <v>0</v>
      </c>
      <c r="Q598" s="2" t="b">
        <f>IF(Table1938[[#This Row],[DOI]]&lt;&gt;"", FALSE,TRUE)</f>
        <v>0</v>
      </c>
      <c r="R598" s="2" t="b">
        <f>IF(Table1938[[#This Row],[Abstract]]="",TRUE,FALSE)</f>
        <v>0</v>
      </c>
      <c r="S598" s="2" t="b">
        <f>IF(OR(Table1938[[#This Row],[Document Type]]="book",Table1938[[#This Row],[Document Type]]="bookSection"),TRUE,FALSE)</f>
        <v>0</v>
      </c>
      <c r="T598" s="2" t="b">
        <f>NOT(IF(OR(Table1938[[#This Row],[Language]]&lt;&gt;"en",Table1938[[#This Row],[Language]]&lt;&gt;"EN",Table1938[[#This Row],[Language]]&lt;&gt;"spa",Table1938[[#This Row],[Language]]&lt;&gt;"SPA"),TRUE,FALSE))</f>
        <v>0</v>
      </c>
      <c r="U598" s="2" t="b">
        <f>IF(AND(Table1938[[#This Row],[EC-01]]=FALSE,Table1938[[#This Row],[EC-02]]=FALSE,Table1938[[#This Row],[EC-03]]=FALSE,Table1938[[#This Row],[EC-04]]=FALSE,Table1938[[#This Row],[EC-05]]=FALSE,Table1938[[#This Row],[EC-06]]=FALSE),TRUE,FALSE)</f>
        <v>1</v>
      </c>
      <c r="V598" s="2" t="b">
        <f>IF(Table1938[[#This Row],[Date]]&lt;&gt;"",AND(YEAR(Table1938[[#This Row],[Date]])&gt;=2010, YEAR(Table1938[[#This Row],[Date]])&lt;=2024),FALSE)</f>
        <v>1</v>
      </c>
      <c r="W598" s="2" t="b">
        <f>IF(Table1938[[#This Row],[Date]]&lt;&gt;"",AND(YEAR(Table1938[[#This Row],[Date]])&gt;=2010, YEAR(Table1938[[#This Row],[Date]])&lt;=2020),FALSE)</f>
        <v>1</v>
      </c>
      <c r="X598" s="2" t="b">
        <f>IF(AND(Table1938[[#This Row],[Accesible]]=TRUE,Table1938[[#This Row],[DOI]]&lt;&gt;""),TRUE,FALSE)</f>
        <v>0</v>
      </c>
      <c r="Y598" s="2" t="b">
        <f>OR(Table1938[[#This Row],[Document Type]]="journalArticle",Table1938[[#This Row],[Document Type]]="conferencePaper",Table1938[[#This Row],[Document Type]]="review")</f>
        <v>1</v>
      </c>
      <c r="Z598" s="2" t="b" cm="1">
        <f t="array" ref="Z598">SUMPRODUCT(--ISNUMBER(SEARCH({"dimensional analysis","dimensionless coefficients","Π","Pi","theorem","software","design","tools","development","architecture","similar"}, LOWER(Table1938[[#This Row],[Title]]))))&gt;0</f>
        <v>0</v>
      </c>
      <c r="AA598" s="2" t="b" cm="1">
        <f t="array" ref="AA598">SUMPRODUCT(--ISNUMBER(SEARCH({"dimensional analysis","dimensionless coefficients","Π","Pi","theorem","software","design","tools","development","architecture","similar"}, LOWER(Table1938[[#This Row],[Abstract]]))))&gt;0</f>
        <v>1</v>
      </c>
      <c r="AB598" s="2" t="b">
        <f>AND(OR(Table1938[[#This Row],[IC-01 @2024]:[IC-01 @2020]])=TRUE,Table1938[[#This Row],[IC-02]]=TRUE,Table1938[[#This Row],[IC-03]]=TRUE,Table1938[[#This Row],[IC-04]]=TRUE,Table1938[[#This Row],[IC-05]]=TRUE)</f>
        <v>0</v>
      </c>
      <c r="AC598" s="2" t="b">
        <f>AND(Table1938[[#This Row],[Pass-IC]]=TRUE,Table1938[[#This Row],[Pass-EC]]=TRUE)</f>
        <v>0</v>
      </c>
      <c r="AD598" s="2" t="b">
        <f>COUNTIF($D$25:D598, Table1938[[#This Row],[Title]]) = 1</f>
        <v>1</v>
      </c>
      <c r="AE598" s="2" t="b">
        <f>AND(Table1938[[#This Row],[IC + EC]:[Unique]])</f>
        <v>0</v>
      </c>
      <c r="AF598" s="2" t="b">
        <v>0</v>
      </c>
      <c r="AG598" s="2" t="b">
        <v>0</v>
      </c>
      <c r="AH598" s="2" t="b">
        <v>0</v>
      </c>
      <c r="AI598" s="2" t="b">
        <f>IF(AND(Table1938[[#This Row],[Double Check]]=TRUE,Table1938[[#This Row],[Inspected]]=TRUE,Table1938[[#This Row],[Relevant]]=TRUE),TRUE,FALSE)</f>
        <v>0</v>
      </c>
    </row>
    <row r="599" spans="1:35" ht="57.35" x14ac:dyDescent="0.5">
      <c r="A599" s="2">
        <v>598</v>
      </c>
      <c r="B599" s="20" t="s">
        <v>1</v>
      </c>
      <c r="C599" s="20" t="s">
        <v>3307</v>
      </c>
      <c r="D599" s="20" t="s">
        <v>171</v>
      </c>
      <c r="E599" s="20" t="s">
        <v>123</v>
      </c>
      <c r="F599" s="2" t="s">
        <v>123</v>
      </c>
      <c r="G599" s="20" t="s">
        <v>160</v>
      </c>
      <c r="H599" s="36">
        <v>41640</v>
      </c>
      <c r="I599" s="20">
        <v>2014</v>
      </c>
      <c r="J599" s="20" t="s">
        <v>688</v>
      </c>
      <c r="K599" s="20" t="s">
        <v>123</v>
      </c>
      <c r="L599" s="20" t="s">
        <v>642</v>
      </c>
      <c r="M599" s="20" t="s">
        <v>123</v>
      </c>
      <c r="N599" s="20" t="b">
        <v>0</v>
      </c>
      <c r="O599" s="2" t="b">
        <f>IF(Table1938[[#This Row],[Title]]="",TRUE,FALSE)</f>
        <v>0</v>
      </c>
      <c r="P599" s="2" t="b">
        <f>IF(Table1938[[#This Row],[Author]]="",TRUE,FALSE)</f>
        <v>1</v>
      </c>
      <c r="Q599" s="2" t="b">
        <f>IF(Table1938[[#This Row],[DOI]]&lt;&gt;"", FALSE,TRUE)</f>
        <v>1</v>
      </c>
      <c r="R599" s="2" t="b">
        <f>IF(Table1938[[#This Row],[Abstract]]="",TRUE,FALSE)</f>
        <v>1</v>
      </c>
      <c r="S599" s="2" t="b">
        <f>IF(OR(Table1938[[#This Row],[Document Type]]="book",Table1938[[#This Row],[Document Type]]="bookSection"),TRUE,FALSE)</f>
        <v>1</v>
      </c>
      <c r="T599" s="2" t="b">
        <f>NOT(IF(OR(Table1938[[#This Row],[Language]]&lt;&gt;"en",Table1938[[#This Row],[Language]]&lt;&gt;"EN",Table1938[[#This Row],[Language]]&lt;&gt;"spa",Table1938[[#This Row],[Language]]&lt;&gt;"SPA"),TRUE,FALSE))</f>
        <v>0</v>
      </c>
      <c r="U599" s="2" t="b">
        <f>IF(AND(Table1938[[#This Row],[EC-01]]=FALSE,Table1938[[#This Row],[EC-02]]=FALSE,Table1938[[#This Row],[EC-03]]=FALSE,Table1938[[#This Row],[EC-04]]=FALSE,Table1938[[#This Row],[EC-05]]=FALSE,Table1938[[#This Row],[EC-06]]=FALSE),TRUE,FALSE)</f>
        <v>0</v>
      </c>
      <c r="V599" s="2" t="b">
        <f>IF(Table1938[[#This Row],[Date]]&lt;&gt;"",AND(YEAR(Table1938[[#This Row],[Date]])&gt;=2010, YEAR(Table1938[[#This Row],[Date]])&lt;=2024),FALSE)</f>
        <v>1</v>
      </c>
      <c r="W599" s="2" t="b">
        <f>IF(Table1938[[#This Row],[Date]]&lt;&gt;"",AND(YEAR(Table1938[[#This Row],[Date]])&gt;=2010, YEAR(Table1938[[#This Row],[Date]])&lt;=2020),FALSE)</f>
        <v>1</v>
      </c>
      <c r="X599" s="2" t="b">
        <f>IF(AND(Table1938[[#This Row],[Accesible]]=TRUE,Table1938[[#This Row],[DOI]]&lt;&gt;""),TRUE,FALSE)</f>
        <v>0</v>
      </c>
      <c r="Y599" s="2" t="b">
        <f>OR(Table1938[[#This Row],[Document Type]]="journalArticle",Table1938[[#This Row],[Document Type]]="conferencePaper",Table1938[[#This Row],[Document Type]]="review")</f>
        <v>0</v>
      </c>
      <c r="Z599" s="2" t="b" cm="1">
        <f t="array" ref="Z599">SUMPRODUCT(--ISNUMBER(SEARCH({"dimensional analysis","dimensionless coefficients","Π","Pi","theorem","software","design","tools","development","architecture","similar"}, LOWER(Table1938[[#This Row],[Title]]))))&gt;0</f>
        <v>1</v>
      </c>
      <c r="AA599" s="2" t="b" cm="1">
        <f t="array" ref="AA599">SUMPRODUCT(--ISNUMBER(SEARCH({"dimensional analysis","dimensionless coefficients","Π","Pi","theorem","software","design","tools","development","architecture","similar"}, LOWER(Table1938[[#This Row],[Abstract]]))))&gt;0</f>
        <v>0</v>
      </c>
      <c r="AB599" s="2" t="b">
        <f>AND(OR(Table1938[[#This Row],[IC-01 @2024]:[IC-01 @2020]])=TRUE,Table1938[[#This Row],[IC-02]]=TRUE,Table1938[[#This Row],[IC-03]]=TRUE,Table1938[[#This Row],[IC-04]]=TRUE,Table1938[[#This Row],[IC-05]]=TRUE)</f>
        <v>0</v>
      </c>
      <c r="AC599" s="2" t="b">
        <f>AND(Table1938[[#This Row],[Pass-IC]]=TRUE,Table1938[[#This Row],[Pass-EC]]=TRUE)</f>
        <v>0</v>
      </c>
      <c r="AD599" s="2" t="b">
        <f>COUNTIF($D$25:D599, Table1938[[#This Row],[Title]]) = 1</f>
        <v>1</v>
      </c>
      <c r="AE599" s="2" t="b">
        <f>AND(Table1938[[#This Row],[IC + EC]:[Unique]])</f>
        <v>0</v>
      </c>
      <c r="AF599" s="2" t="b">
        <v>0</v>
      </c>
      <c r="AG599" s="2" t="b">
        <v>0</v>
      </c>
      <c r="AH599" s="2" t="b">
        <v>0</v>
      </c>
      <c r="AI599" s="2" t="b">
        <f>IF(AND(Table1938[[#This Row],[Double Check]]=TRUE,Table1938[[#This Row],[Inspected]]=TRUE,Table1938[[#This Row],[Relevant]]=TRUE),TRUE,FALSE)</f>
        <v>0</v>
      </c>
    </row>
    <row r="600" spans="1:35" ht="43" x14ac:dyDescent="0.5">
      <c r="A600" s="2">
        <v>599</v>
      </c>
      <c r="B600" s="20" t="s">
        <v>1</v>
      </c>
      <c r="C600" s="20" t="s">
        <v>3308</v>
      </c>
      <c r="D600" s="20" t="s">
        <v>710</v>
      </c>
      <c r="E600" s="20" t="s">
        <v>123</v>
      </c>
      <c r="F600" s="2" t="s">
        <v>123</v>
      </c>
      <c r="G600" s="20" t="s">
        <v>123</v>
      </c>
      <c r="H600" s="36">
        <v>41640</v>
      </c>
      <c r="I600" s="20">
        <v>2014</v>
      </c>
      <c r="J600" s="20" t="s">
        <v>63</v>
      </c>
      <c r="K600" s="20" t="s">
        <v>123</v>
      </c>
      <c r="L600" s="20" t="s">
        <v>642</v>
      </c>
      <c r="M600" s="20" t="s">
        <v>123</v>
      </c>
      <c r="N600" s="20" t="b">
        <v>0</v>
      </c>
      <c r="O600" s="2" t="b">
        <f>IF(Table1938[[#This Row],[Title]]="",TRUE,FALSE)</f>
        <v>0</v>
      </c>
      <c r="P600" s="2" t="b">
        <f>IF(Table1938[[#This Row],[Author]]="",TRUE,FALSE)</f>
        <v>1</v>
      </c>
      <c r="Q600" s="2" t="b">
        <f>IF(Table1938[[#This Row],[DOI]]&lt;&gt;"", FALSE,TRUE)</f>
        <v>1</v>
      </c>
      <c r="R600" s="2" t="b">
        <f>IF(Table1938[[#This Row],[Abstract]]="",TRUE,FALSE)</f>
        <v>1</v>
      </c>
      <c r="S600" s="2" t="b">
        <f>IF(OR(Table1938[[#This Row],[Document Type]]="book",Table1938[[#This Row],[Document Type]]="bookSection"),TRUE,FALSE)</f>
        <v>1</v>
      </c>
      <c r="T600" s="2" t="b">
        <f>NOT(IF(OR(Table1938[[#This Row],[Language]]&lt;&gt;"en",Table1938[[#This Row],[Language]]&lt;&gt;"EN",Table1938[[#This Row],[Language]]&lt;&gt;"spa",Table1938[[#This Row],[Language]]&lt;&gt;"SPA"),TRUE,FALSE))</f>
        <v>0</v>
      </c>
      <c r="U600" s="2" t="b">
        <f>IF(AND(Table1938[[#This Row],[EC-01]]=FALSE,Table1938[[#This Row],[EC-02]]=FALSE,Table1938[[#This Row],[EC-03]]=FALSE,Table1938[[#This Row],[EC-04]]=FALSE,Table1938[[#This Row],[EC-05]]=FALSE,Table1938[[#This Row],[EC-06]]=FALSE),TRUE,FALSE)</f>
        <v>0</v>
      </c>
      <c r="V600" s="2" t="b">
        <f>IF(Table1938[[#This Row],[Date]]&lt;&gt;"",AND(YEAR(Table1938[[#This Row],[Date]])&gt;=2010, YEAR(Table1938[[#This Row],[Date]])&lt;=2024),FALSE)</f>
        <v>1</v>
      </c>
      <c r="W600" s="2" t="b">
        <f>IF(Table1938[[#This Row],[Date]]&lt;&gt;"",AND(YEAR(Table1938[[#This Row],[Date]])&gt;=2010, YEAR(Table1938[[#This Row],[Date]])&lt;=2020),FALSE)</f>
        <v>1</v>
      </c>
      <c r="X600" s="2" t="b">
        <f>IF(AND(Table1938[[#This Row],[Accesible]]=TRUE,Table1938[[#This Row],[DOI]]&lt;&gt;""),TRUE,FALSE)</f>
        <v>0</v>
      </c>
      <c r="Y600" s="2" t="b">
        <f>OR(Table1938[[#This Row],[Document Type]]="journalArticle",Table1938[[#This Row],[Document Type]]="conferencePaper",Table1938[[#This Row],[Document Type]]="review")</f>
        <v>0</v>
      </c>
      <c r="Z600" s="2" t="b" cm="1">
        <f t="array" ref="Z600">SUMPRODUCT(--ISNUMBER(SEARCH({"dimensional analysis","dimensionless coefficients","Π","Pi","theorem","software","design","tools","development","architecture","similar"}, LOWER(Table1938[[#This Row],[Title]]))))&gt;0</f>
        <v>1</v>
      </c>
      <c r="AA600" s="2" t="b" cm="1">
        <f t="array" ref="AA600">SUMPRODUCT(--ISNUMBER(SEARCH({"dimensional analysis","dimensionless coefficients","Π","Pi","theorem","software","design","tools","development","architecture","similar"}, LOWER(Table1938[[#This Row],[Abstract]]))))&gt;0</f>
        <v>0</v>
      </c>
      <c r="AB600" s="2" t="b">
        <f>AND(OR(Table1938[[#This Row],[IC-01 @2024]:[IC-01 @2020]])=TRUE,Table1938[[#This Row],[IC-02]]=TRUE,Table1938[[#This Row],[IC-03]]=TRUE,Table1938[[#This Row],[IC-04]]=TRUE,Table1938[[#This Row],[IC-05]]=TRUE)</f>
        <v>0</v>
      </c>
      <c r="AC600" s="2" t="b">
        <f>AND(Table1938[[#This Row],[Pass-IC]]=TRUE,Table1938[[#This Row],[Pass-EC]]=TRUE)</f>
        <v>0</v>
      </c>
      <c r="AD600" s="2" t="b">
        <f>COUNTIF($D$25:D600, Table1938[[#This Row],[Title]]) = 1</f>
        <v>1</v>
      </c>
      <c r="AE600" s="2" t="b">
        <f>AND(Table1938[[#This Row],[IC + EC]:[Unique]])</f>
        <v>0</v>
      </c>
      <c r="AF600" s="2" t="b">
        <v>0</v>
      </c>
      <c r="AG600" s="2" t="b">
        <v>0</v>
      </c>
      <c r="AH600" s="2" t="b">
        <v>0</v>
      </c>
      <c r="AI600" s="2" t="b">
        <f>IF(AND(Table1938[[#This Row],[Double Check]]=TRUE,Table1938[[#This Row],[Inspected]]=TRUE,Table1938[[#This Row],[Relevant]]=TRUE),TRUE,FALSE)</f>
        <v>0</v>
      </c>
    </row>
    <row r="601" spans="1:35" ht="28.7" x14ac:dyDescent="0.5">
      <c r="A601" s="2">
        <v>600</v>
      </c>
      <c r="B601" s="20" t="s">
        <v>1</v>
      </c>
      <c r="C601" s="20" t="s">
        <v>3309</v>
      </c>
      <c r="D601" s="20" t="s">
        <v>159</v>
      </c>
      <c r="E601" s="20" t="s">
        <v>123</v>
      </c>
      <c r="F601" s="2" t="s">
        <v>123</v>
      </c>
      <c r="G601" s="20" t="s">
        <v>160</v>
      </c>
      <c r="H601" s="36">
        <v>41640</v>
      </c>
      <c r="I601" s="20">
        <v>2014</v>
      </c>
      <c r="J601" s="20" t="s">
        <v>688</v>
      </c>
      <c r="K601" s="20" t="s">
        <v>123</v>
      </c>
      <c r="L601" s="20" t="s">
        <v>642</v>
      </c>
      <c r="M601" s="20" t="s">
        <v>123</v>
      </c>
      <c r="N601" s="20" t="b">
        <v>0</v>
      </c>
      <c r="O601" s="2" t="b">
        <f>IF(Table1938[[#This Row],[Title]]="",TRUE,FALSE)</f>
        <v>0</v>
      </c>
      <c r="P601" s="2" t="b">
        <f>IF(Table1938[[#This Row],[Author]]="",TRUE,FALSE)</f>
        <v>1</v>
      </c>
      <c r="Q601" s="2" t="b">
        <f>IF(Table1938[[#This Row],[DOI]]&lt;&gt;"", FALSE,TRUE)</f>
        <v>1</v>
      </c>
      <c r="R601" s="2" t="b">
        <f>IF(Table1938[[#This Row],[Abstract]]="",TRUE,FALSE)</f>
        <v>1</v>
      </c>
      <c r="S601" s="2" t="b">
        <f>IF(OR(Table1938[[#This Row],[Document Type]]="book",Table1938[[#This Row],[Document Type]]="bookSection"),TRUE,FALSE)</f>
        <v>1</v>
      </c>
      <c r="T601" s="2" t="b">
        <f>NOT(IF(OR(Table1938[[#This Row],[Language]]&lt;&gt;"en",Table1938[[#This Row],[Language]]&lt;&gt;"EN",Table1938[[#This Row],[Language]]&lt;&gt;"spa",Table1938[[#This Row],[Language]]&lt;&gt;"SPA"),TRUE,FALSE))</f>
        <v>0</v>
      </c>
      <c r="U601" s="2" t="b">
        <f>IF(AND(Table1938[[#This Row],[EC-01]]=FALSE,Table1938[[#This Row],[EC-02]]=FALSE,Table1938[[#This Row],[EC-03]]=FALSE,Table1938[[#This Row],[EC-04]]=FALSE,Table1938[[#This Row],[EC-05]]=FALSE,Table1938[[#This Row],[EC-06]]=FALSE),TRUE,FALSE)</f>
        <v>0</v>
      </c>
      <c r="V601" s="2" t="b">
        <f>IF(Table1938[[#This Row],[Date]]&lt;&gt;"",AND(YEAR(Table1938[[#This Row],[Date]])&gt;=2010, YEAR(Table1938[[#This Row],[Date]])&lt;=2024),FALSE)</f>
        <v>1</v>
      </c>
      <c r="W601" s="2" t="b">
        <f>IF(Table1938[[#This Row],[Date]]&lt;&gt;"",AND(YEAR(Table1938[[#This Row],[Date]])&gt;=2010, YEAR(Table1938[[#This Row],[Date]])&lt;=2020),FALSE)</f>
        <v>1</v>
      </c>
      <c r="X601" s="2" t="b">
        <f>IF(AND(Table1938[[#This Row],[Accesible]]=TRUE,Table1938[[#This Row],[DOI]]&lt;&gt;""),TRUE,FALSE)</f>
        <v>0</v>
      </c>
      <c r="Y601" s="2" t="b">
        <f>OR(Table1938[[#This Row],[Document Type]]="journalArticle",Table1938[[#This Row],[Document Type]]="conferencePaper",Table1938[[#This Row],[Document Type]]="review")</f>
        <v>0</v>
      </c>
      <c r="Z601" s="2" t="b" cm="1">
        <f t="array" ref="Z601">SUMPRODUCT(--ISNUMBER(SEARCH({"dimensional analysis","dimensionless coefficients","Π","Pi","theorem","software","design","tools","development","architecture","similar"}, LOWER(Table1938[[#This Row],[Title]]))))&gt;0</f>
        <v>0</v>
      </c>
      <c r="AA601" s="2" t="b" cm="1">
        <f t="array" ref="AA601">SUMPRODUCT(--ISNUMBER(SEARCH({"dimensional analysis","dimensionless coefficients","Π","Pi","theorem","software","design","tools","development","architecture","similar"}, LOWER(Table1938[[#This Row],[Abstract]]))))&gt;0</f>
        <v>0</v>
      </c>
      <c r="AB601" s="2" t="b">
        <f>AND(OR(Table1938[[#This Row],[IC-01 @2024]:[IC-01 @2020]])=TRUE,Table1938[[#This Row],[IC-02]]=TRUE,Table1938[[#This Row],[IC-03]]=TRUE,Table1938[[#This Row],[IC-04]]=TRUE,Table1938[[#This Row],[IC-05]]=TRUE)</f>
        <v>0</v>
      </c>
      <c r="AC601" s="2" t="b">
        <f>AND(Table1938[[#This Row],[Pass-IC]]=TRUE,Table1938[[#This Row],[Pass-EC]]=TRUE)</f>
        <v>0</v>
      </c>
      <c r="AD601" s="2" t="b">
        <f>COUNTIF($D$25:D601, Table1938[[#This Row],[Title]]) = 1</f>
        <v>1</v>
      </c>
      <c r="AE601" s="2" t="b">
        <f>AND(Table1938[[#This Row],[IC + EC]:[Unique]])</f>
        <v>0</v>
      </c>
      <c r="AF601" s="2" t="b">
        <v>0</v>
      </c>
      <c r="AG601" s="2" t="b">
        <v>0</v>
      </c>
      <c r="AH601" s="2" t="b">
        <v>0</v>
      </c>
      <c r="AI601" s="2" t="b">
        <f>IF(AND(Table1938[[#This Row],[Double Check]]=TRUE,Table1938[[#This Row],[Inspected]]=TRUE,Table1938[[#This Row],[Relevant]]=TRUE),TRUE,FALSE)</f>
        <v>0</v>
      </c>
    </row>
    <row r="602" spans="1:35" ht="43" x14ac:dyDescent="0.5">
      <c r="A602" s="2">
        <v>601</v>
      </c>
      <c r="B602" s="20" t="s">
        <v>1</v>
      </c>
      <c r="C602" s="20" t="s">
        <v>3310</v>
      </c>
      <c r="D602" s="20" t="s">
        <v>251</v>
      </c>
      <c r="E602" s="20" t="s">
        <v>123</v>
      </c>
      <c r="F602" s="2" t="s">
        <v>123</v>
      </c>
      <c r="G602" s="20" t="s">
        <v>125</v>
      </c>
      <c r="H602" s="36">
        <v>41640</v>
      </c>
      <c r="I602" s="20">
        <v>2014</v>
      </c>
      <c r="J602" s="20" t="s">
        <v>688</v>
      </c>
      <c r="K602" s="20" t="s">
        <v>123</v>
      </c>
      <c r="L602" s="20" t="s">
        <v>642</v>
      </c>
      <c r="M602" s="20" t="s">
        <v>123</v>
      </c>
      <c r="N602" s="20" t="b">
        <v>0</v>
      </c>
      <c r="O602" s="2" t="b">
        <f>IF(Table1938[[#This Row],[Title]]="",TRUE,FALSE)</f>
        <v>0</v>
      </c>
      <c r="P602" s="2" t="b">
        <f>IF(Table1938[[#This Row],[Author]]="",TRUE,FALSE)</f>
        <v>1</v>
      </c>
      <c r="Q602" s="2" t="b">
        <f>IF(Table1938[[#This Row],[DOI]]&lt;&gt;"", FALSE,TRUE)</f>
        <v>1</v>
      </c>
      <c r="R602" s="2" t="b">
        <f>IF(Table1938[[#This Row],[Abstract]]="",TRUE,FALSE)</f>
        <v>1</v>
      </c>
      <c r="S602" s="2" t="b">
        <f>IF(OR(Table1938[[#This Row],[Document Type]]="book",Table1938[[#This Row],[Document Type]]="bookSection"),TRUE,FALSE)</f>
        <v>1</v>
      </c>
      <c r="T602" s="2" t="b">
        <f>NOT(IF(OR(Table1938[[#This Row],[Language]]&lt;&gt;"en",Table1938[[#This Row],[Language]]&lt;&gt;"EN",Table1938[[#This Row],[Language]]&lt;&gt;"spa",Table1938[[#This Row],[Language]]&lt;&gt;"SPA"),TRUE,FALSE))</f>
        <v>0</v>
      </c>
      <c r="U602" s="2" t="b">
        <f>IF(AND(Table1938[[#This Row],[EC-01]]=FALSE,Table1938[[#This Row],[EC-02]]=FALSE,Table1938[[#This Row],[EC-03]]=FALSE,Table1938[[#This Row],[EC-04]]=FALSE,Table1938[[#This Row],[EC-05]]=FALSE,Table1938[[#This Row],[EC-06]]=FALSE),TRUE,FALSE)</f>
        <v>0</v>
      </c>
      <c r="V602" s="2" t="b">
        <f>IF(Table1938[[#This Row],[Date]]&lt;&gt;"",AND(YEAR(Table1938[[#This Row],[Date]])&gt;=2010, YEAR(Table1938[[#This Row],[Date]])&lt;=2024),FALSE)</f>
        <v>1</v>
      </c>
      <c r="W602" s="2" t="b">
        <f>IF(Table1938[[#This Row],[Date]]&lt;&gt;"",AND(YEAR(Table1938[[#This Row],[Date]])&gt;=2010, YEAR(Table1938[[#This Row],[Date]])&lt;=2020),FALSE)</f>
        <v>1</v>
      </c>
      <c r="X602" s="2" t="b">
        <f>IF(AND(Table1938[[#This Row],[Accesible]]=TRUE,Table1938[[#This Row],[DOI]]&lt;&gt;""),TRUE,FALSE)</f>
        <v>0</v>
      </c>
      <c r="Y602" s="2" t="b">
        <f>OR(Table1938[[#This Row],[Document Type]]="journalArticle",Table1938[[#This Row],[Document Type]]="conferencePaper",Table1938[[#This Row],[Document Type]]="review")</f>
        <v>0</v>
      </c>
      <c r="Z602" s="2" t="b" cm="1">
        <f t="array" ref="Z602">SUMPRODUCT(--ISNUMBER(SEARCH({"dimensional analysis","dimensionless coefficients","Π","Pi","theorem","software","design","tools","development","architecture","similar"}, LOWER(Table1938[[#This Row],[Title]]))))&gt;0</f>
        <v>0</v>
      </c>
      <c r="AA602" s="2" t="b" cm="1">
        <f t="array" ref="AA602">SUMPRODUCT(--ISNUMBER(SEARCH({"dimensional analysis","dimensionless coefficients","Π","Pi","theorem","software","design","tools","development","architecture","similar"}, LOWER(Table1938[[#This Row],[Abstract]]))))&gt;0</f>
        <v>0</v>
      </c>
      <c r="AB602" s="2" t="b">
        <f>AND(OR(Table1938[[#This Row],[IC-01 @2024]:[IC-01 @2020]])=TRUE,Table1938[[#This Row],[IC-02]]=TRUE,Table1938[[#This Row],[IC-03]]=TRUE,Table1938[[#This Row],[IC-04]]=TRUE,Table1938[[#This Row],[IC-05]]=TRUE)</f>
        <v>0</v>
      </c>
      <c r="AC602" s="2" t="b">
        <f>AND(Table1938[[#This Row],[Pass-IC]]=TRUE,Table1938[[#This Row],[Pass-EC]]=TRUE)</f>
        <v>0</v>
      </c>
      <c r="AD602" s="2" t="b">
        <f>COUNTIF($D$25:D602, Table1938[[#This Row],[Title]]) = 1</f>
        <v>1</v>
      </c>
      <c r="AE602" s="2" t="b">
        <f>AND(Table1938[[#This Row],[IC + EC]:[Unique]])</f>
        <v>0</v>
      </c>
      <c r="AF602" s="2" t="b">
        <v>0</v>
      </c>
      <c r="AG602" s="2" t="b">
        <v>0</v>
      </c>
      <c r="AH602" s="2" t="b">
        <v>0</v>
      </c>
      <c r="AI602" s="2" t="b">
        <f>IF(AND(Table1938[[#This Row],[Double Check]]=TRUE,Table1938[[#This Row],[Inspected]]=TRUE,Table1938[[#This Row],[Relevant]]=TRUE),TRUE,FALSE)</f>
        <v>0</v>
      </c>
    </row>
    <row r="603" spans="1:35" ht="71.7" x14ac:dyDescent="0.5">
      <c r="A603" s="2">
        <v>602</v>
      </c>
      <c r="B603" s="20" t="s">
        <v>1</v>
      </c>
      <c r="C603" s="20" t="s">
        <v>3311</v>
      </c>
      <c r="D603" s="20" t="s">
        <v>718</v>
      </c>
      <c r="E603" s="20" t="s">
        <v>717</v>
      </c>
      <c r="F603" s="2" t="s">
        <v>123</v>
      </c>
      <c r="G603" s="20" t="s">
        <v>123</v>
      </c>
      <c r="H603" s="36">
        <v>41640</v>
      </c>
      <c r="I603" s="20">
        <v>2014</v>
      </c>
      <c r="J603" s="20" t="s">
        <v>63</v>
      </c>
      <c r="K603" s="20" t="s">
        <v>123</v>
      </c>
      <c r="L603" s="20" t="s">
        <v>642</v>
      </c>
      <c r="M603" s="20" t="s">
        <v>123</v>
      </c>
      <c r="N603" s="20" t="b">
        <v>0</v>
      </c>
      <c r="O603" s="2" t="b">
        <f>IF(Table1938[[#This Row],[Title]]="",TRUE,FALSE)</f>
        <v>0</v>
      </c>
      <c r="P603" s="2" t="b">
        <f>IF(Table1938[[#This Row],[Author]]="",TRUE,FALSE)</f>
        <v>0</v>
      </c>
      <c r="Q603" s="2" t="b">
        <f>IF(Table1938[[#This Row],[DOI]]&lt;&gt;"", FALSE,TRUE)</f>
        <v>1</v>
      </c>
      <c r="R603" s="2" t="b">
        <f>IF(Table1938[[#This Row],[Abstract]]="",TRUE,FALSE)</f>
        <v>1</v>
      </c>
      <c r="S603" s="2" t="b">
        <f>IF(OR(Table1938[[#This Row],[Document Type]]="book",Table1938[[#This Row],[Document Type]]="bookSection"),TRUE,FALSE)</f>
        <v>1</v>
      </c>
      <c r="T603" s="2" t="b">
        <f>NOT(IF(OR(Table1938[[#This Row],[Language]]&lt;&gt;"en",Table1938[[#This Row],[Language]]&lt;&gt;"EN",Table1938[[#This Row],[Language]]&lt;&gt;"spa",Table1938[[#This Row],[Language]]&lt;&gt;"SPA"),TRUE,FALSE))</f>
        <v>0</v>
      </c>
      <c r="U603" s="2" t="b">
        <f>IF(AND(Table1938[[#This Row],[EC-01]]=FALSE,Table1938[[#This Row],[EC-02]]=FALSE,Table1938[[#This Row],[EC-03]]=FALSE,Table1938[[#This Row],[EC-04]]=FALSE,Table1938[[#This Row],[EC-05]]=FALSE,Table1938[[#This Row],[EC-06]]=FALSE),TRUE,FALSE)</f>
        <v>0</v>
      </c>
      <c r="V603" s="2" t="b">
        <f>IF(Table1938[[#This Row],[Date]]&lt;&gt;"",AND(YEAR(Table1938[[#This Row],[Date]])&gt;=2010, YEAR(Table1938[[#This Row],[Date]])&lt;=2024),FALSE)</f>
        <v>1</v>
      </c>
      <c r="W603" s="2" t="b">
        <f>IF(Table1938[[#This Row],[Date]]&lt;&gt;"",AND(YEAR(Table1938[[#This Row],[Date]])&gt;=2010, YEAR(Table1938[[#This Row],[Date]])&lt;=2020),FALSE)</f>
        <v>1</v>
      </c>
      <c r="X603" s="2" t="b">
        <f>IF(AND(Table1938[[#This Row],[Accesible]]=TRUE,Table1938[[#This Row],[DOI]]&lt;&gt;""),TRUE,FALSE)</f>
        <v>0</v>
      </c>
      <c r="Y603" s="2" t="b">
        <f>OR(Table1938[[#This Row],[Document Type]]="journalArticle",Table1938[[#This Row],[Document Type]]="conferencePaper",Table1938[[#This Row],[Document Type]]="review")</f>
        <v>0</v>
      </c>
      <c r="Z603" s="2" t="b" cm="1">
        <f t="array" ref="Z603">SUMPRODUCT(--ISNUMBER(SEARCH({"dimensional analysis","dimensionless coefficients","Π","Pi","theorem","software","design","tools","development","architecture","similar"}, LOWER(Table1938[[#This Row],[Title]]))))&gt;0</f>
        <v>0</v>
      </c>
      <c r="AA603" s="2" t="b" cm="1">
        <f t="array" ref="AA603">SUMPRODUCT(--ISNUMBER(SEARCH({"dimensional analysis","dimensionless coefficients","Π","Pi","theorem","software","design","tools","development","architecture","similar"}, LOWER(Table1938[[#This Row],[Abstract]]))))&gt;0</f>
        <v>0</v>
      </c>
      <c r="AB603" s="2" t="b">
        <f>AND(OR(Table1938[[#This Row],[IC-01 @2024]:[IC-01 @2020]])=TRUE,Table1938[[#This Row],[IC-02]]=TRUE,Table1938[[#This Row],[IC-03]]=TRUE,Table1938[[#This Row],[IC-04]]=TRUE,Table1938[[#This Row],[IC-05]]=TRUE)</f>
        <v>0</v>
      </c>
      <c r="AC603" s="2" t="b">
        <f>AND(Table1938[[#This Row],[Pass-IC]]=TRUE,Table1938[[#This Row],[Pass-EC]]=TRUE)</f>
        <v>0</v>
      </c>
      <c r="AD603" s="2" t="b">
        <f>COUNTIF($D$25:D603, Table1938[[#This Row],[Title]]) = 1</f>
        <v>1</v>
      </c>
      <c r="AE603" s="2" t="b">
        <f>AND(Table1938[[#This Row],[IC + EC]:[Unique]])</f>
        <v>0</v>
      </c>
      <c r="AF603" s="2" t="b">
        <v>0</v>
      </c>
      <c r="AG603" s="2" t="b">
        <v>0</v>
      </c>
      <c r="AH603" s="2" t="b">
        <v>0</v>
      </c>
      <c r="AI603" s="2" t="b">
        <f>IF(AND(Table1938[[#This Row],[Double Check]]=TRUE,Table1938[[#This Row],[Inspected]]=TRUE,Table1938[[#This Row],[Relevant]]=TRUE),TRUE,FALSE)</f>
        <v>0</v>
      </c>
    </row>
    <row r="604" spans="1:35" ht="43" x14ac:dyDescent="0.5">
      <c r="A604" s="2">
        <v>603</v>
      </c>
      <c r="B604" s="20" t="s">
        <v>1</v>
      </c>
      <c r="C604" s="20" t="s">
        <v>3312</v>
      </c>
      <c r="D604" s="20" t="s">
        <v>150</v>
      </c>
      <c r="E604" s="20" t="s">
        <v>123</v>
      </c>
      <c r="F604" s="2" t="s">
        <v>123</v>
      </c>
      <c r="G604" s="20" t="s">
        <v>56</v>
      </c>
      <c r="H604" s="36">
        <v>42005</v>
      </c>
      <c r="I604" s="20">
        <v>2015</v>
      </c>
      <c r="J604" s="20" t="s">
        <v>688</v>
      </c>
      <c r="K604" s="20" t="s">
        <v>123</v>
      </c>
      <c r="L604" s="20" t="s">
        <v>642</v>
      </c>
      <c r="M604" s="20" t="s">
        <v>123</v>
      </c>
      <c r="N604" s="20" t="b">
        <v>0</v>
      </c>
      <c r="O604" s="2" t="b">
        <f>IF(Table1938[[#This Row],[Title]]="",TRUE,FALSE)</f>
        <v>0</v>
      </c>
      <c r="P604" s="2" t="b">
        <f>IF(Table1938[[#This Row],[Author]]="",TRUE,FALSE)</f>
        <v>1</v>
      </c>
      <c r="Q604" s="2" t="b">
        <f>IF(Table1938[[#This Row],[DOI]]&lt;&gt;"", FALSE,TRUE)</f>
        <v>1</v>
      </c>
      <c r="R604" s="2" t="b">
        <f>IF(Table1938[[#This Row],[Abstract]]="",TRUE,FALSE)</f>
        <v>1</v>
      </c>
      <c r="S604" s="2" t="b">
        <f>IF(OR(Table1938[[#This Row],[Document Type]]="book",Table1938[[#This Row],[Document Type]]="bookSection"),TRUE,FALSE)</f>
        <v>1</v>
      </c>
      <c r="T604" s="2" t="b">
        <f>NOT(IF(OR(Table1938[[#This Row],[Language]]&lt;&gt;"en",Table1938[[#This Row],[Language]]&lt;&gt;"EN",Table1938[[#This Row],[Language]]&lt;&gt;"spa",Table1938[[#This Row],[Language]]&lt;&gt;"SPA"),TRUE,FALSE))</f>
        <v>0</v>
      </c>
      <c r="U604" s="2" t="b">
        <f>IF(AND(Table1938[[#This Row],[EC-01]]=FALSE,Table1938[[#This Row],[EC-02]]=FALSE,Table1938[[#This Row],[EC-03]]=FALSE,Table1938[[#This Row],[EC-04]]=FALSE,Table1938[[#This Row],[EC-05]]=FALSE,Table1938[[#This Row],[EC-06]]=FALSE),TRUE,FALSE)</f>
        <v>0</v>
      </c>
      <c r="V604" s="2" t="b">
        <f>IF(Table1938[[#This Row],[Date]]&lt;&gt;"",AND(YEAR(Table1938[[#This Row],[Date]])&gt;=2010, YEAR(Table1938[[#This Row],[Date]])&lt;=2024),FALSE)</f>
        <v>1</v>
      </c>
      <c r="W604" s="2" t="b">
        <f>IF(Table1938[[#This Row],[Date]]&lt;&gt;"",AND(YEAR(Table1938[[#This Row],[Date]])&gt;=2010, YEAR(Table1938[[#This Row],[Date]])&lt;=2020),FALSE)</f>
        <v>1</v>
      </c>
      <c r="X604" s="2" t="b">
        <f>IF(AND(Table1938[[#This Row],[Accesible]]=TRUE,Table1938[[#This Row],[DOI]]&lt;&gt;""),TRUE,FALSE)</f>
        <v>0</v>
      </c>
      <c r="Y604" s="2" t="b">
        <f>OR(Table1938[[#This Row],[Document Type]]="journalArticle",Table1938[[#This Row],[Document Type]]="conferencePaper",Table1938[[#This Row],[Document Type]]="review")</f>
        <v>0</v>
      </c>
      <c r="Z604" s="2" t="b" cm="1">
        <f t="array" ref="Z604">SUMPRODUCT(--ISNUMBER(SEARCH({"dimensional analysis","dimensionless coefficients","Π","Pi","theorem","software","design","tools","development","architecture","similar"}, LOWER(Table1938[[#This Row],[Title]]))))&gt;0</f>
        <v>1</v>
      </c>
      <c r="AA604" s="2" t="b" cm="1">
        <f t="array" ref="AA604">SUMPRODUCT(--ISNUMBER(SEARCH({"dimensional analysis","dimensionless coefficients","Π","Pi","theorem","software","design","tools","development","architecture","similar"}, LOWER(Table1938[[#This Row],[Abstract]]))))&gt;0</f>
        <v>0</v>
      </c>
      <c r="AB604" s="2" t="b">
        <f>AND(OR(Table1938[[#This Row],[IC-01 @2024]:[IC-01 @2020]])=TRUE,Table1938[[#This Row],[IC-02]]=TRUE,Table1938[[#This Row],[IC-03]]=TRUE,Table1938[[#This Row],[IC-04]]=TRUE,Table1938[[#This Row],[IC-05]]=TRUE)</f>
        <v>0</v>
      </c>
      <c r="AC604" s="2" t="b">
        <f>AND(Table1938[[#This Row],[Pass-IC]]=TRUE,Table1938[[#This Row],[Pass-EC]]=TRUE)</f>
        <v>0</v>
      </c>
      <c r="AD604" s="2" t="b">
        <f>COUNTIF($D$25:D604, Table1938[[#This Row],[Title]]) = 1</f>
        <v>1</v>
      </c>
      <c r="AE604" s="2" t="b">
        <f>AND(Table1938[[#This Row],[IC + EC]:[Unique]])</f>
        <v>0</v>
      </c>
      <c r="AF604" s="2" t="b">
        <v>0</v>
      </c>
      <c r="AG604" s="2" t="b">
        <v>0</v>
      </c>
      <c r="AH604" s="2" t="b">
        <v>0</v>
      </c>
      <c r="AI604" s="2" t="b">
        <f>IF(AND(Table1938[[#This Row],[Double Check]]=TRUE,Table1938[[#This Row],[Inspected]]=TRUE,Table1938[[#This Row],[Relevant]]=TRUE),TRUE,FALSE)</f>
        <v>0</v>
      </c>
    </row>
    <row r="605" spans="1:35" ht="86" x14ac:dyDescent="0.5">
      <c r="A605" s="2">
        <v>604</v>
      </c>
      <c r="B605" s="20" t="s">
        <v>1</v>
      </c>
      <c r="C605" s="20" t="s">
        <v>3313</v>
      </c>
      <c r="D605" s="20" t="s">
        <v>705</v>
      </c>
      <c r="E605" s="20" t="s">
        <v>123</v>
      </c>
      <c r="F605" s="2" t="s">
        <v>123</v>
      </c>
      <c r="G605" s="20" t="s">
        <v>123</v>
      </c>
      <c r="H605" s="36">
        <v>42005</v>
      </c>
      <c r="I605" s="20">
        <v>2015</v>
      </c>
      <c r="J605" s="20" t="s">
        <v>63</v>
      </c>
      <c r="K605" s="20" t="s">
        <v>123</v>
      </c>
      <c r="L605" s="20" t="s">
        <v>642</v>
      </c>
      <c r="M605" s="20" t="s">
        <v>123</v>
      </c>
      <c r="N605" s="20" t="b">
        <v>0</v>
      </c>
      <c r="O605" s="2" t="b">
        <f>IF(Table1938[[#This Row],[Title]]="",TRUE,FALSE)</f>
        <v>0</v>
      </c>
      <c r="P605" s="2" t="b">
        <f>IF(Table1938[[#This Row],[Author]]="",TRUE,FALSE)</f>
        <v>1</v>
      </c>
      <c r="Q605" s="2" t="b">
        <f>IF(Table1938[[#This Row],[DOI]]&lt;&gt;"", FALSE,TRUE)</f>
        <v>1</v>
      </c>
      <c r="R605" s="2" t="b">
        <f>IF(Table1938[[#This Row],[Abstract]]="",TRUE,FALSE)</f>
        <v>1</v>
      </c>
      <c r="S605" s="2" t="b">
        <f>IF(OR(Table1938[[#This Row],[Document Type]]="book",Table1938[[#This Row],[Document Type]]="bookSection"),TRUE,FALSE)</f>
        <v>1</v>
      </c>
      <c r="T605" s="2" t="b">
        <f>NOT(IF(OR(Table1938[[#This Row],[Language]]&lt;&gt;"en",Table1938[[#This Row],[Language]]&lt;&gt;"EN",Table1938[[#This Row],[Language]]&lt;&gt;"spa",Table1938[[#This Row],[Language]]&lt;&gt;"SPA"),TRUE,FALSE))</f>
        <v>0</v>
      </c>
      <c r="U605" s="2" t="b">
        <f>IF(AND(Table1938[[#This Row],[EC-01]]=FALSE,Table1938[[#This Row],[EC-02]]=FALSE,Table1938[[#This Row],[EC-03]]=FALSE,Table1938[[#This Row],[EC-04]]=FALSE,Table1938[[#This Row],[EC-05]]=FALSE,Table1938[[#This Row],[EC-06]]=FALSE),TRUE,FALSE)</f>
        <v>0</v>
      </c>
      <c r="V605" s="2" t="b">
        <f>IF(Table1938[[#This Row],[Date]]&lt;&gt;"",AND(YEAR(Table1938[[#This Row],[Date]])&gt;=2010, YEAR(Table1938[[#This Row],[Date]])&lt;=2024),FALSE)</f>
        <v>1</v>
      </c>
      <c r="W605" s="2" t="b">
        <f>IF(Table1938[[#This Row],[Date]]&lt;&gt;"",AND(YEAR(Table1938[[#This Row],[Date]])&gt;=2010, YEAR(Table1938[[#This Row],[Date]])&lt;=2020),FALSE)</f>
        <v>1</v>
      </c>
      <c r="X605" s="2" t="b">
        <f>IF(AND(Table1938[[#This Row],[Accesible]]=TRUE,Table1938[[#This Row],[DOI]]&lt;&gt;""),TRUE,FALSE)</f>
        <v>0</v>
      </c>
      <c r="Y605" s="2" t="b">
        <f>OR(Table1938[[#This Row],[Document Type]]="journalArticle",Table1938[[#This Row],[Document Type]]="conferencePaper",Table1938[[#This Row],[Document Type]]="review")</f>
        <v>0</v>
      </c>
      <c r="Z605" s="2" t="b" cm="1">
        <f t="array" ref="Z605">SUMPRODUCT(--ISNUMBER(SEARCH({"dimensional analysis","dimensionless coefficients","Π","Pi","theorem","software","design","tools","development","architecture","similar"}, LOWER(Table1938[[#This Row],[Title]]))))&gt;0</f>
        <v>0</v>
      </c>
      <c r="AA605" s="2" t="b" cm="1">
        <f t="array" ref="AA605">SUMPRODUCT(--ISNUMBER(SEARCH({"dimensional analysis","dimensionless coefficients","Π","Pi","theorem","software","design","tools","development","architecture","similar"}, LOWER(Table1938[[#This Row],[Abstract]]))))&gt;0</f>
        <v>0</v>
      </c>
      <c r="AB605" s="2" t="b">
        <f>AND(OR(Table1938[[#This Row],[IC-01 @2024]:[IC-01 @2020]])=TRUE,Table1938[[#This Row],[IC-02]]=TRUE,Table1938[[#This Row],[IC-03]]=TRUE,Table1938[[#This Row],[IC-04]]=TRUE,Table1938[[#This Row],[IC-05]]=TRUE)</f>
        <v>0</v>
      </c>
      <c r="AC605" s="2" t="b">
        <f>AND(Table1938[[#This Row],[Pass-IC]]=TRUE,Table1938[[#This Row],[Pass-EC]]=TRUE)</f>
        <v>0</v>
      </c>
      <c r="AD605" s="2" t="b">
        <f>COUNTIF($D$25:D605, Table1938[[#This Row],[Title]]) = 1</f>
        <v>1</v>
      </c>
      <c r="AE605" s="2" t="b">
        <f>AND(Table1938[[#This Row],[IC + EC]:[Unique]])</f>
        <v>0</v>
      </c>
      <c r="AF605" s="2" t="b">
        <v>0</v>
      </c>
      <c r="AG605" s="2" t="b">
        <v>0</v>
      </c>
      <c r="AH605" s="2" t="b">
        <v>0</v>
      </c>
      <c r="AI605" s="2" t="b">
        <f>IF(AND(Table1938[[#This Row],[Double Check]]=TRUE,Table1938[[#This Row],[Inspected]]=TRUE,Table1938[[#This Row],[Relevant]]=TRUE),TRUE,FALSE)</f>
        <v>0</v>
      </c>
    </row>
    <row r="606" spans="1:35" ht="43" x14ac:dyDescent="0.5">
      <c r="A606" s="2">
        <v>605</v>
      </c>
      <c r="B606" s="20" t="s">
        <v>1</v>
      </c>
      <c r="C606" s="20" t="s">
        <v>3314</v>
      </c>
      <c r="D606" s="20" t="s">
        <v>142</v>
      </c>
      <c r="E606" s="20" t="s">
        <v>123</v>
      </c>
      <c r="F606" s="2" t="s">
        <v>123</v>
      </c>
      <c r="G606" s="20" t="s">
        <v>706</v>
      </c>
      <c r="H606" s="36">
        <v>42005</v>
      </c>
      <c r="I606" s="20">
        <v>2015</v>
      </c>
      <c r="J606" s="20" t="s">
        <v>688</v>
      </c>
      <c r="K606" s="20" t="s">
        <v>123</v>
      </c>
      <c r="L606" s="20" t="s">
        <v>642</v>
      </c>
      <c r="M606" s="20" t="s">
        <v>123</v>
      </c>
      <c r="N606" s="20" t="b">
        <v>0</v>
      </c>
      <c r="O606" s="2" t="b">
        <f>IF(Table1938[[#This Row],[Title]]="",TRUE,FALSE)</f>
        <v>0</v>
      </c>
      <c r="P606" s="2" t="b">
        <f>IF(Table1938[[#This Row],[Author]]="",TRUE,FALSE)</f>
        <v>1</v>
      </c>
      <c r="Q606" s="2" t="b">
        <f>IF(Table1938[[#This Row],[DOI]]&lt;&gt;"", FALSE,TRUE)</f>
        <v>1</v>
      </c>
      <c r="R606" s="2" t="b">
        <f>IF(Table1938[[#This Row],[Abstract]]="",TRUE,FALSE)</f>
        <v>1</v>
      </c>
      <c r="S606" s="2" t="b">
        <f>IF(OR(Table1938[[#This Row],[Document Type]]="book",Table1938[[#This Row],[Document Type]]="bookSection"),TRUE,FALSE)</f>
        <v>1</v>
      </c>
      <c r="T606" s="2" t="b">
        <f>NOT(IF(OR(Table1938[[#This Row],[Language]]&lt;&gt;"en",Table1938[[#This Row],[Language]]&lt;&gt;"EN",Table1938[[#This Row],[Language]]&lt;&gt;"spa",Table1938[[#This Row],[Language]]&lt;&gt;"SPA"),TRUE,FALSE))</f>
        <v>0</v>
      </c>
      <c r="U606" s="2" t="b">
        <f>IF(AND(Table1938[[#This Row],[EC-01]]=FALSE,Table1938[[#This Row],[EC-02]]=FALSE,Table1938[[#This Row],[EC-03]]=FALSE,Table1938[[#This Row],[EC-04]]=FALSE,Table1938[[#This Row],[EC-05]]=FALSE,Table1938[[#This Row],[EC-06]]=FALSE),TRUE,FALSE)</f>
        <v>0</v>
      </c>
      <c r="V606" s="2" t="b">
        <f>IF(Table1938[[#This Row],[Date]]&lt;&gt;"",AND(YEAR(Table1938[[#This Row],[Date]])&gt;=2010, YEAR(Table1938[[#This Row],[Date]])&lt;=2024),FALSE)</f>
        <v>1</v>
      </c>
      <c r="W606" s="2" t="b">
        <f>IF(Table1938[[#This Row],[Date]]&lt;&gt;"",AND(YEAR(Table1938[[#This Row],[Date]])&gt;=2010, YEAR(Table1938[[#This Row],[Date]])&lt;=2020),FALSE)</f>
        <v>1</v>
      </c>
      <c r="X606" s="2" t="b">
        <f>IF(AND(Table1938[[#This Row],[Accesible]]=TRUE,Table1938[[#This Row],[DOI]]&lt;&gt;""),TRUE,FALSE)</f>
        <v>0</v>
      </c>
      <c r="Y606" s="2" t="b">
        <f>OR(Table1938[[#This Row],[Document Type]]="journalArticle",Table1938[[#This Row],[Document Type]]="conferencePaper",Table1938[[#This Row],[Document Type]]="review")</f>
        <v>0</v>
      </c>
      <c r="Z606" s="2" t="b" cm="1">
        <f t="array" ref="Z606">SUMPRODUCT(--ISNUMBER(SEARCH({"dimensional analysis","dimensionless coefficients","Π","Pi","theorem","software","design","tools","development","architecture","similar"}, LOWER(Table1938[[#This Row],[Title]]))))&gt;0</f>
        <v>0</v>
      </c>
      <c r="AA606" s="2" t="b" cm="1">
        <f t="array" ref="AA606">SUMPRODUCT(--ISNUMBER(SEARCH({"dimensional analysis","dimensionless coefficients","Π","Pi","theorem","software","design","tools","development","architecture","similar"}, LOWER(Table1938[[#This Row],[Abstract]]))))&gt;0</f>
        <v>0</v>
      </c>
      <c r="AB606" s="2" t="b">
        <f>AND(OR(Table1938[[#This Row],[IC-01 @2024]:[IC-01 @2020]])=TRUE,Table1938[[#This Row],[IC-02]]=TRUE,Table1938[[#This Row],[IC-03]]=TRUE,Table1938[[#This Row],[IC-04]]=TRUE,Table1938[[#This Row],[IC-05]]=TRUE)</f>
        <v>0</v>
      </c>
      <c r="AC606" s="2" t="b">
        <f>AND(Table1938[[#This Row],[Pass-IC]]=TRUE,Table1938[[#This Row],[Pass-EC]]=TRUE)</f>
        <v>0</v>
      </c>
      <c r="AD606" s="2" t="b">
        <f>COUNTIF($D$25:D606, Table1938[[#This Row],[Title]]) = 1</f>
        <v>1</v>
      </c>
      <c r="AE606" s="2" t="b">
        <f>AND(Table1938[[#This Row],[IC + EC]:[Unique]])</f>
        <v>0</v>
      </c>
      <c r="AF606" s="2" t="b">
        <v>0</v>
      </c>
      <c r="AG606" s="2" t="b">
        <v>0</v>
      </c>
      <c r="AH606" s="2" t="b">
        <v>0</v>
      </c>
      <c r="AI606" s="2" t="b">
        <f>IF(AND(Table1938[[#This Row],[Double Check]]=TRUE,Table1938[[#This Row],[Inspected]]=TRUE,Table1938[[#This Row],[Relevant]]=TRUE),TRUE,FALSE)</f>
        <v>0</v>
      </c>
    </row>
    <row r="607" spans="1:35" ht="71.7" x14ac:dyDescent="0.5">
      <c r="A607" s="2">
        <v>606</v>
      </c>
      <c r="B607" s="20" t="s">
        <v>1</v>
      </c>
      <c r="C607" s="20" t="s">
        <v>3315</v>
      </c>
      <c r="D607" s="20" t="s">
        <v>708</v>
      </c>
      <c r="E607" s="20" t="s">
        <v>707</v>
      </c>
      <c r="F607" s="2" t="s">
        <v>123</v>
      </c>
      <c r="G607" s="20" t="s">
        <v>123</v>
      </c>
      <c r="H607" s="36">
        <v>42005</v>
      </c>
      <c r="I607" s="20">
        <v>2015</v>
      </c>
      <c r="J607" s="20" t="s">
        <v>63</v>
      </c>
      <c r="K607" s="20" t="s">
        <v>123</v>
      </c>
      <c r="L607" s="20" t="s">
        <v>642</v>
      </c>
      <c r="M607" s="20" t="s">
        <v>123</v>
      </c>
      <c r="N607" s="20" t="b">
        <v>0</v>
      </c>
      <c r="O607" s="2" t="b">
        <f>IF(Table1938[[#This Row],[Title]]="",TRUE,FALSE)</f>
        <v>0</v>
      </c>
      <c r="P607" s="2" t="b">
        <f>IF(Table1938[[#This Row],[Author]]="",TRUE,FALSE)</f>
        <v>0</v>
      </c>
      <c r="Q607" s="2" t="b">
        <f>IF(Table1938[[#This Row],[DOI]]&lt;&gt;"", FALSE,TRUE)</f>
        <v>1</v>
      </c>
      <c r="R607" s="2" t="b">
        <f>IF(Table1938[[#This Row],[Abstract]]="",TRUE,FALSE)</f>
        <v>1</v>
      </c>
      <c r="S607" s="2" t="b">
        <f>IF(OR(Table1938[[#This Row],[Document Type]]="book",Table1938[[#This Row],[Document Type]]="bookSection"),TRUE,FALSE)</f>
        <v>1</v>
      </c>
      <c r="T607" s="2" t="b">
        <f>NOT(IF(OR(Table1938[[#This Row],[Language]]&lt;&gt;"en",Table1938[[#This Row],[Language]]&lt;&gt;"EN",Table1938[[#This Row],[Language]]&lt;&gt;"spa",Table1938[[#This Row],[Language]]&lt;&gt;"SPA"),TRUE,FALSE))</f>
        <v>0</v>
      </c>
      <c r="U607" s="2" t="b">
        <f>IF(AND(Table1938[[#This Row],[EC-01]]=FALSE,Table1938[[#This Row],[EC-02]]=FALSE,Table1938[[#This Row],[EC-03]]=FALSE,Table1938[[#This Row],[EC-04]]=FALSE,Table1938[[#This Row],[EC-05]]=FALSE,Table1938[[#This Row],[EC-06]]=FALSE),TRUE,FALSE)</f>
        <v>0</v>
      </c>
      <c r="V607" s="2" t="b">
        <f>IF(Table1938[[#This Row],[Date]]&lt;&gt;"",AND(YEAR(Table1938[[#This Row],[Date]])&gt;=2010, YEAR(Table1938[[#This Row],[Date]])&lt;=2024),FALSE)</f>
        <v>1</v>
      </c>
      <c r="W607" s="2" t="b">
        <f>IF(Table1938[[#This Row],[Date]]&lt;&gt;"",AND(YEAR(Table1938[[#This Row],[Date]])&gt;=2010, YEAR(Table1938[[#This Row],[Date]])&lt;=2020),FALSE)</f>
        <v>1</v>
      </c>
      <c r="X607" s="2" t="b">
        <f>IF(AND(Table1938[[#This Row],[Accesible]]=TRUE,Table1938[[#This Row],[DOI]]&lt;&gt;""),TRUE,FALSE)</f>
        <v>0</v>
      </c>
      <c r="Y607" s="2" t="b">
        <f>OR(Table1938[[#This Row],[Document Type]]="journalArticle",Table1938[[#This Row],[Document Type]]="conferencePaper",Table1938[[#This Row],[Document Type]]="review")</f>
        <v>0</v>
      </c>
      <c r="Z607" s="2" t="b" cm="1">
        <f t="array" ref="Z607">SUMPRODUCT(--ISNUMBER(SEARCH({"dimensional analysis","dimensionless coefficients","Π","Pi","theorem","software","design","tools","development","architecture","similar"}, LOWER(Table1938[[#This Row],[Title]]))))&gt;0</f>
        <v>0</v>
      </c>
      <c r="AA607" s="2" t="b" cm="1">
        <f t="array" ref="AA607">SUMPRODUCT(--ISNUMBER(SEARCH({"dimensional analysis","dimensionless coefficients","Π","Pi","theorem","software","design","tools","development","architecture","similar"}, LOWER(Table1938[[#This Row],[Abstract]]))))&gt;0</f>
        <v>0</v>
      </c>
      <c r="AB607" s="2" t="b">
        <f>AND(OR(Table1938[[#This Row],[IC-01 @2024]:[IC-01 @2020]])=TRUE,Table1938[[#This Row],[IC-02]]=TRUE,Table1938[[#This Row],[IC-03]]=TRUE,Table1938[[#This Row],[IC-04]]=TRUE,Table1938[[#This Row],[IC-05]]=TRUE)</f>
        <v>0</v>
      </c>
      <c r="AC607" s="2" t="b">
        <f>AND(Table1938[[#This Row],[Pass-IC]]=TRUE,Table1938[[#This Row],[Pass-EC]]=TRUE)</f>
        <v>0</v>
      </c>
      <c r="AD607" s="2" t="b">
        <f>COUNTIF($D$25:D607, Table1938[[#This Row],[Title]]) = 1</f>
        <v>1</v>
      </c>
      <c r="AE607" s="2" t="b">
        <f>AND(Table1938[[#This Row],[IC + EC]:[Unique]])</f>
        <v>0</v>
      </c>
      <c r="AF607" s="2" t="b">
        <v>0</v>
      </c>
      <c r="AG607" s="2" t="b">
        <v>0</v>
      </c>
      <c r="AH607" s="2" t="b">
        <v>0</v>
      </c>
      <c r="AI607" s="2" t="b">
        <f>IF(AND(Table1938[[#This Row],[Double Check]]=TRUE,Table1938[[#This Row],[Inspected]]=TRUE,Table1938[[#This Row],[Relevant]]=TRUE),TRUE,FALSE)</f>
        <v>0</v>
      </c>
    </row>
    <row r="608" spans="1:35" ht="71.7" x14ac:dyDescent="0.5">
      <c r="A608" s="2">
        <v>607</v>
      </c>
      <c r="B608" s="20" t="s">
        <v>1</v>
      </c>
      <c r="C608" s="20" t="s">
        <v>3316</v>
      </c>
      <c r="D608" s="20" t="s">
        <v>276</v>
      </c>
      <c r="E608" s="20" t="s">
        <v>123</v>
      </c>
      <c r="F608" s="2" t="s">
        <v>123</v>
      </c>
      <c r="G608" s="20" t="s">
        <v>711</v>
      </c>
      <c r="H608" s="36">
        <v>42005</v>
      </c>
      <c r="I608" s="20">
        <v>2015</v>
      </c>
      <c r="J608" s="20" t="s">
        <v>688</v>
      </c>
      <c r="K608" s="20" t="s">
        <v>123</v>
      </c>
      <c r="L608" s="20" t="s">
        <v>642</v>
      </c>
      <c r="M608" s="20" t="s">
        <v>123</v>
      </c>
      <c r="N608" s="20" t="b">
        <v>0</v>
      </c>
      <c r="O608" s="2" t="b">
        <f>IF(Table1938[[#This Row],[Title]]="",TRUE,FALSE)</f>
        <v>0</v>
      </c>
      <c r="P608" s="2" t="b">
        <f>IF(Table1938[[#This Row],[Author]]="",TRUE,FALSE)</f>
        <v>1</v>
      </c>
      <c r="Q608" s="2" t="b">
        <f>IF(Table1938[[#This Row],[DOI]]&lt;&gt;"", FALSE,TRUE)</f>
        <v>1</v>
      </c>
      <c r="R608" s="2" t="b">
        <f>IF(Table1938[[#This Row],[Abstract]]="",TRUE,FALSE)</f>
        <v>1</v>
      </c>
      <c r="S608" s="2" t="b">
        <f>IF(OR(Table1938[[#This Row],[Document Type]]="book",Table1938[[#This Row],[Document Type]]="bookSection"),TRUE,FALSE)</f>
        <v>1</v>
      </c>
      <c r="T608" s="2" t="b">
        <f>NOT(IF(OR(Table1938[[#This Row],[Language]]&lt;&gt;"en",Table1938[[#This Row],[Language]]&lt;&gt;"EN",Table1938[[#This Row],[Language]]&lt;&gt;"spa",Table1938[[#This Row],[Language]]&lt;&gt;"SPA"),TRUE,FALSE))</f>
        <v>0</v>
      </c>
      <c r="U608" s="2" t="b">
        <f>IF(AND(Table1938[[#This Row],[EC-01]]=FALSE,Table1938[[#This Row],[EC-02]]=FALSE,Table1938[[#This Row],[EC-03]]=FALSE,Table1938[[#This Row],[EC-04]]=FALSE,Table1938[[#This Row],[EC-05]]=FALSE,Table1938[[#This Row],[EC-06]]=FALSE),TRUE,FALSE)</f>
        <v>0</v>
      </c>
      <c r="V608" s="2" t="b">
        <f>IF(Table1938[[#This Row],[Date]]&lt;&gt;"",AND(YEAR(Table1938[[#This Row],[Date]])&gt;=2010, YEAR(Table1938[[#This Row],[Date]])&lt;=2024),FALSE)</f>
        <v>1</v>
      </c>
      <c r="W608" s="2" t="b">
        <f>IF(Table1938[[#This Row],[Date]]&lt;&gt;"",AND(YEAR(Table1938[[#This Row],[Date]])&gt;=2010, YEAR(Table1938[[#This Row],[Date]])&lt;=2020),FALSE)</f>
        <v>1</v>
      </c>
      <c r="X608" s="2" t="b">
        <f>IF(AND(Table1938[[#This Row],[Accesible]]=TRUE,Table1938[[#This Row],[DOI]]&lt;&gt;""),TRUE,FALSE)</f>
        <v>0</v>
      </c>
      <c r="Y608" s="2" t="b">
        <f>OR(Table1938[[#This Row],[Document Type]]="journalArticle",Table1938[[#This Row],[Document Type]]="conferencePaper",Table1938[[#This Row],[Document Type]]="review")</f>
        <v>0</v>
      </c>
      <c r="Z608" s="2" t="b" cm="1">
        <f t="array" ref="Z608">SUMPRODUCT(--ISNUMBER(SEARCH({"dimensional analysis","dimensionless coefficients","Π","Pi","theorem","software","design","tools","development","architecture","similar"}, LOWER(Table1938[[#This Row],[Title]]))))&gt;0</f>
        <v>0</v>
      </c>
      <c r="AA608" s="2" t="b" cm="1">
        <f t="array" ref="AA608">SUMPRODUCT(--ISNUMBER(SEARCH({"dimensional analysis","dimensionless coefficients","Π","Pi","theorem","software","design","tools","development","architecture","similar"}, LOWER(Table1938[[#This Row],[Abstract]]))))&gt;0</f>
        <v>0</v>
      </c>
      <c r="AB608" s="2" t="b">
        <f>AND(OR(Table1938[[#This Row],[IC-01 @2024]:[IC-01 @2020]])=TRUE,Table1938[[#This Row],[IC-02]]=TRUE,Table1938[[#This Row],[IC-03]]=TRUE,Table1938[[#This Row],[IC-04]]=TRUE,Table1938[[#This Row],[IC-05]]=TRUE)</f>
        <v>0</v>
      </c>
      <c r="AC608" s="2" t="b">
        <f>AND(Table1938[[#This Row],[Pass-IC]]=TRUE,Table1938[[#This Row],[Pass-EC]]=TRUE)</f>
        <v>0</v>
      </c>
      <c r="AD608" s="2" t="b">
        <f>COUNTIF($D$25:D608, Table1938[[#This Row],[Title]]) = 1</f>
        <v>1</v>
      </c>
      <c r="AE608" s="2" t="b">
        <f>AND(Table1938[[#This Row],[IC + EC]:[Unique]])</f>
        <v>0</v>
      </c>
      <c r="AF608" s="2" t="b">
        <v>0</v>
      </c>
      <c r="AG608" s="2" t="b">
        <v>0</v>
      </c>
      <c r="AH608" s="2" t="b">
        <v>0</v>
      </c>
      <c r="AI608" s="2" t="b">
        <f>IF(AND(Table1938[[#This Row],[Double Check]]=TRUE,Table1938[[#This Row],[Inspected]]=TRUE,Table1938[[#This Row],[Relevant]]=TRUE),TRUE,FALSE)</f>
        <v>0</v>
      </c>
    </row>
    <row r="609" spans="1:35" ht="71.7" x14ac:dyDescent="0.5">
      <c r="A609" s="2">
        <v>608</v>
      </c>
      <c r="B609" s="20" t="s">
        <v>1</v>
      </c>
      <c r="C609" s="20" t="s">
        <v>3317</v>
      </c>
      <c r="D609" s="20" t="s">
        <v>128</v>
      </c>
      <c r="E609" s="20" t="s">
        <v>709</v>
      </c>
      <c r="F609" s="2" t="s">
        <v>123</v>
      </c>
      <c r="G609" s="20" t="s">
        <v>129</v>
      </c>
      <c r="H609" s="36">
        <v>41730</v>
      </c>
      <c r="I609" s="20">
        <v>2014</v>
      </c>
      <c r="J609" s="20" t="s">
        <v>61</v>
      </c>
      <c r="K609" s="20" t="s">
        <v>123</v>
      </c>
      <c r="L609" s="20" t="s">
        <v>642</v>
      </c>
      <c r="M609" s="20" t="s">
        <v>130</v>
      </c>
      <c r="N609" s="20" t="b">
        <v>0</v>
      </c>
      <c r="O609" s="2" t="b">
        <f>IF(Table1938[[#This Row],[Title]]="",TRUE,FALSE)</f>
        <v>0</v>
      </c>
      <c r="P609" s="2" t="b">
        <f>IF(Table1938[[#This Row],[Author]]="",TRUE,FALSE)</f>
        <v>0</v>
      </c>
      <c r="Q609" s="2" t="b">
        <f>IF(Table1938[[#This Row],[DOI]]&lt;&gt;"", FALSE,TRUE)</f>
        <v>0</v>
      </c>
      <c r="R609" s="2" t="b">
        <f>IF(Table1938[[#This Row],[Abstract]]="",TRUE,FALSE)</f>
        <v>1</v>
      </c>
      <c r="S609" s="2" t="b">
        <f>IF(OR(Table1938[[#This Row],[Document Type]]="book",Table1938[[#This Row],[Document Type]]="bookSection"),TRUE,FALSE)</f>
        <v>0</v>
      </c>
      <c r="T609" s="2" t="b">
        <f>NOT(IF(OR(Table1938[[#This Row],[Language]]&lt;&gt;"en",Table1938[[#This Row],[Language]]&lt;&gt;"EN",Table1938[[#This Row],[Language]]&lt;&gt;"spa",Table1938[[#This Row],[Language]]&lt;&gt;"SPA"),TRUE,FALSE))</f>
        <v>0</v>
      </c>
      <c r="U609" s="2" t="b">
        <f>IF(AND(Table1938[[#This Row],[EC-01]]=FALSE,Table1938[[#This Row],[EC-02]]=FALSE,Table1938[[#This Row],[EC-03]]=FALSE,Table1938[[#This Row],[EC-04]]=FALSE,Table1938[[#This Row],[EC-05]]=FALSE,Table1938[[#This Row],[EC-06]]=FALSE),TRUE,FALSE)</f>
        <v>0</v>
      </c>
      <c r="V609" s="2" t="b">
        <f>IF(Table1938[[#This Row],[Date]]&lt;&gt;"",AND(YEAR(Table1938[[#This Row],[Date]])&gt;=2010, YEAR(Table1938[[#This Row],[Date]])&lt;=2024),FALSE)</f>
        <v>1</v>
      </c>
      <c r="W609" s="2" t="b">
        <f>IF(Table1938[[#This Row],[Date]]&lt;&gt;"",AND(YEAR(Table1938[[#This Row],[Date]])&gt;=2010, YEAR(Table1938[[#This Row],[Date]])&lt;=2020),FALSE)</f>
        <v>1</v>
      </c>
      <c r="X609" s="2" t="b">
        <f>IF(AND(Table1938[[#This Row],[Accesible]]=TRUE,Table1938[[#This Row],[DOI]]&lt;&gt;""),TRUE,FALSE)</f>
        <v>0</v>
      </c>
      <c r="Y609" s="2" t="b">
        <f>OR(Table1938[[#This Row],[Document Type]]="journalArticle",Table1938[[#This Row],[Document Type]]="conferencePaper",Table1938[[#This Row],[Document Type]]="review")</f>
        <v>1</v>
      </c>
      <c r="Z609" s="2" t="b" cm="1">
        <f t="array" ref="Z609">SUMPRODUCT(--ISNUMBER(SEARCH({"dimensional analysis","dimensionless coefficients","Π","Pi","theorem","software","design","tools","development","architecture","similar"}, LOWER(Table1938[[#This Row],[Title]]))))&gt;0</f>
        <v>1</v>
      </c>
      <c r="AA609" s="2" t="b" cm="1">
        <f t="array" ref="AA609">SUMPRODUCT(--ISNUMBER(SEARCH({"dimensional analysis","dimensionless coefficients","Π","Pi","theorem","software","design","tools","development","architecture","similar"}, LOWER(Table1938[[#This Row],[Abstract]]))))&gt;0</f>
        <v>0</v>
      </c>
      <c r="AB609" s="2" t="b">
        <f>AND(OR(Table1938[[#This Row],[IC-01 @2024]:[IC-01 @2020]])=TRUE,Table1938[[#This Row],[IC-02]]=TRUE,Table1938[[#This Row],[IC-03]]=TRUE,Table1938[[#This Row],[IC-04]]=TRUE,Table1938[[#This Row],[IC-05]]=TRUE)</f>
        <v>0</v>
      </c>
      <c r="AC609" s="2" t="b">
        <f>AND(Table1938[[#This Row],[Pass-IC]]=TRUE,Table1938[[#This Row],[Pass-EC]]=TRUE)</f>
        <v>0</v>
      </c>
      <c r="AD609" s="2" t="b">
        <f>COUNTIF($D$25:D609, Table1938[[#This Row],[Title]]) = 1</f>
        <v>1</v>
      </c>
      <c r="AE609" s="2" t="b">
        <f>AND(Table1938[[#This Row],[IC + EC]:[Unique]])</f>
        <v>0</v>
      </c>
      <c r="AF609" s="2" t="b">
        <v>0</v>
      </c>
      <c r="AG609" s="2" t="b">
        <v>0</v>
      </c>
      <c r="AH609" s="2" t="b">
        <v>0</v>
      </c>
      <c r="AI609" s="2" t="b">
        <f>IF(AND(Table1938[[#This Row],[Double Check]]=TRUE,Table1938[[#This Row],[Inspected]]=TRUE,Table1938[[#This Row],[Relevant]]=TRUE),TRUE,FALSE)</f>
        <v>0</v>
      </c>
    </row>
    <row r="610" spans="1:35" ht="28.7" x14ac:dyDescent="0.5">
      <c r="A610" s="2">
        <v>609</v>
      </c>
      <c r="B610" s="20" t="s">
        <v>1</v>
      </c>
      <c r="C610" s="20" t="s">
        <v>3318</v>
      </c>
      <c r="D610" s="20" t="s">
        <v>277</v>
      </c>
      <c r="E610" s="20" t="s">
        <v>123</v>
      </c>
      <c r="F610" s="2" t="s">
        <v>123</v>
      </c>
      <c r="G610" s="20" t="s">
        <v>123</v>
      </c>
      <c r="H610" s="36">
        <v>42005</v>
      </c>
      <c r="I610" s="20">
        <v>2015</v>
      </c>
      <c r="J610" s="20" t="s">
        <v>63</v>
      </c>
      <c r="K610" s="20" t="s">
        <v>123</v>
      </c>
      <c r="L610" s="20" t="s">
        <v>642</v>
      </c>
      <c r="M610" s="20" t="s">
        <v>123</v>
      </c>
      <c r="N610" s="20" t="b">
        <v>0</v>
      </c>
      <c r="O610" s="2" t="b">
        <f>IF(Table1938[[#This Row],[Title]]="",TRUE,FALSE)</f>
        <v>0</v>
      </c>
      <c r="P610" s="2" t="b">
        <f>IF(Table1938[[#This Row],[Author]]="",TRUE,FALSE)</f>
        <v>1</v>
      </c>
      <c r="Q610" s="2" t="b">
        <f>IF(Table1938[[#This Row],[DOI]]&lt;&gt;"", FALSE,TRUE)</f>
        <v>1</v>
      </c>
      <c r="R610" s="2" t="b">
        <f>IF(Table1938[[#This Row],[Abstract]]="",TRUE,FALSE)</f>
        <v>1</v>
      </c>
      <c r="S610" s="2" t="b">
        <f>IF(OR(Table1938[[#This Row],[Document Type]]="book",Table1938[[#This Row],[Document Type]]="bookSection"),TRUE,FALSE)</f>
        <v>1</v>
      </c>
      <c r="T610" s="2" t="b">
        <f>NOT(IF(OR(Table1938[[#This Row],[Language]]&lt;&gt;"en",Table1938[[#This Row],[Language]]&lt;&gt;"EN",Table1938[[#This Row],[Language]]&lt;&gt;"spa",Table1938[[#This Row],[Language]]&lt;&gt;"SPA"),TRUE,FALSE))</f>
        <v>0</v>
      </c>
      <c r="U610" s="2" t="b">
        <f>IF(AND(Table1938[[#This Row],[EC-01]]=FALSE,Table1938[[#This Row],[EC-02]]=FALSE,Table1938[[#This Row],[EC-03]]=FALSE,Table1938[[#This Row],[EC-04]]=FALSE,Table1938[[#This Row],[EC-05]]=FALSE,Table1938[[#This Row],[EC-06]]=FALSE),TRUE,FALSE)</f>
        <v>0</v>
      </c>
      <c r="V610" s="2" t="b">
        <f>IF(Table1938[[#This Row],[Date]]&lt;&gt;"",AND(YEAR(Table1938[[#This Row],[Date]])&gt;=2010, YEAR(Table1938[[#This Row],[Date]])&lt;=2024),FALSE)</f>
        <v>1</v>
      </c>
      <c r="W610" s="2" t="b">
        <f>IF(Table1938[[#This Row],[Date]]&lt;&gt;"",AND(YEAR(Table1938[[#This Row],[Date]])&gt;=2010, YEAR(Table1938[[#This Row],[Date]])&lt;=2020),FALSE)</f>
        <v>1</v>
      </c>
      <c r="X610" s="2" t="b">
        <f>IF(AND(Table1938[[#This Row],[Accesible]]=TRUE,Table1938[[#This Row],[DOI]]&lt;&gt;""),TRUE,FALSE)</f>
        <v>0</v>
      </c>
      <c r="Y610" s="2" t="b">
        <f>OR(Table1938[[#This Row],[Document Type]]="journalArticle",Table1938[[#This Row],[Document Type]]="conferencePaper",Table1938[[#This Row],[Document Type]]="review")</f>
        <v>0</v>
      </c>
      <c r="Z610" s="2" t="b" cm="1">
        <f t="array" ref="Z610">SUMPRODUCT(--ISNUMBER(SEARCH({"dimensional analysis","dimensionless coefficients","Π","Pi","theorem","software","design","tools","development","architecture","similar"}, LOWER(Table1938[[#This Row],[Title]]))))&gt;0</f>
        <v>0</v>
      </c>
      <c r="AA610" s="2" t="b" cm="1">
        <f t="array" ref="AA610">SUMPRODUCT(--ISNUMBER(SEARCH({"dimensional analysis","dimensionless coefficients","Π","Pi","theorem","software","design","tools","development","architecture","similar"}, LOWER(Table1938[[#This Row],[Abstract]]))))&gt;0</f>
        <v>0</v>
      </c>
      <c r="AB610" s="2" t="b">
        <f>AND(OR(Table1938[[#This Row],[IC-01 @2024]:[IC-01 @2020]])=TRUE,Table1938[[#This Row],[IC-02]]=TRUE,Table1938[[#This Row],[IC-03]]=TRUE,Table1938[[#This Row],[IC-04]]=TRUE,Table1938[[#This Row],[IC-05]]=TRUE)</f>
        <v>0</v>
      </c>
      <c r="AC610" s="2" t="b">
        <f>AND(Table1938[[#This Row],[Pass-IC]]=TRUE,Table1938[[#This Row],[Pass-EC]]=TRUE)</f>
        <v>0</v>
      </c>
      <c r="AD610" s="2" t="b">
        <f>COUNTIF($D$25:D610, Table1938[[#This Row],[Title]]) = 1</f>
        <v>1</v>
      </c>
      <c r="AE610" s="2" t="b">
        <f>AND(Table1938[[#This Row],[IC + EC]:[Unique]])</f>
        <v>0</v>
      </c>
      <c r="AF610" s="2" t="b">
        <v>0</v>
      </c>
      <c r="AG610" s="2" t="b">
        <v>0</v>
      </c>
      <c r="AH610" s="2" t="b">
        <v>0</v>
      </c>
      <c r="AI610" s="2" t="b">
        <f>IF(AND(Table1938[[#This Row],[Double Check]]=TRUE,Table1938[[#This Row],[Inspected]]=TRUE,Table1938[[#This Row],[Relevant]]=TRUE),TRUE,FALSE)</f>
        <v>0</v>
      </c>
    </row>
    <row r="611" spans="1:35" ht="57.35" x14ac:dyDescent="0.5">
      <c r="A611" s="2">
        <v>610</v>
      </c>
      <c r="B611" s="20" t="s">
        <v>1</v>
      </c>
      <c r="C611" s="20" t="s">
        <v>3319</v>
      </c>
      <c r="D611" s="20" t="s">
        <v>278</v>
      </c>
      <c r="E611" s="20" t="s">
        <v>123</v>
      </c>
      <c r="F611" s="2" t="s">
        <v>123</v>
      </c>
      <c r="G611" s="20" t="s">
        <v>118</v>
      </c>
      <c r="H611" s="36">
        <v>42370</v>
      </c>
      <c r="I611" s="20">
        <v>2016</v>
      </c>
      <c r="J611" s="20" t="s">
        <v>688</v>
      </c>
      <c r="K611" s="20" t="s">
        <v>123</v>
      </c>
      <c r="L611" s="20" t="s">
        <v>642</v>
      </c>
      <c r="M611" s="20" t="s">
        <v>123</v>
      </c>
      <c r="N611" s="20" t="b">
        <v>0</v>
      </c>
      <c r="O611" s="2" t="b">
        <f>IF(Table1938[[#This Row],[Title]]="",TRUE,FALSE)</f>
        <v>0</v>
      </c>
      <c r="P611" s="2" t="b">
        <f>IF(Table1938[[#This Row],[Author]]="",TRUE,FALSE)</f>
        <v>1</v>
      </c>
      <c r="Q611" s="2" t="b">
        <f>IF(Table1938[[#This Row],[DOI]]&lt;&gt;"", FALSE,TRUE)</f>
        <v>1</v>
      </c>
      <c r="R611" s="2" t="b">
        <f>IF(Table1938[[#This Row],[Abstract]]="",TRUE,FALSE)</f>
        <v>1</v>
      </c>
      <c r="S611" s="2" t="b">
        <f>IF(OR(Table1938[[#This Row],[Document Type]]="book",Table1938[[#This Row],[Document Type]]="bookSection"),TRUE,FALSE)</f>
        <v>1</v>
      </c>
      <c r="T611" s="2" t="b">
        <f>NOT(IF(OR(Table1938[[#This Row],[Language]]&lt;&gt;"en",Table1938[[#This Row],[Language]]&lt;&gt;"EN",Table1938[[#This Row],[Language]]&lt;&gt;"spa",Table1938[[#This Row],[Language]]&lt;&gt;"SPA"),TRUE,FALSE))</f>
        <v>0</v>
      </c>
      <c r="U611" s="2" t="b">
        <f>IF(AND(Table1938[[#This Row],[EC-01]]=FALSE,Table1938[[#This Row],[EC-02]]=FALSE,Table1938[[#This Row],[EC-03]]=FALSE,Table1938[[#This Row],[EC-04]]=FALSE,Table1938[[#This Row],[EC-05]]=FALSE,Table1938[[#This Row],[EC-06]]=FALSE),TRUE,FALSE)</f>
        <v>0</v>
      </c>
      <c r="V611" s="2" t="b">
        <f>IF(Table1938[[#This Row],[Date]]&lt;&gt;"",AND(YEAR(Table1938[[#This Row],[Date]])&gt;=2010, YEAR(Table1938[[#This Row],[Date]])&lt;=2024),FALSE)</f>
        <v>1</v>
      </c>
      <c r="W611" s="2" t="b">
        <f>IF(Table1938[[#This Row],[Date]]&lt;&gt;"",AND(YEAR(Table1938[[#This Row],[Date]])&gt;=2010, YEAR(Table1938[[#This Row],[Date]])&lt;=2020),FALSE)</f>
        <v>1</v>
      </c>
      <c r="X611" s="2" t="b">
        <f>IF(AND(Table1938[[#This Row],[Accesible]]=TRUE,Table1938[[#This Row],[DOI]]&lt;&gt;""),TRUE,FALSE)</f>
        <v>0</v>
      </c>
      <c r="Y611" s="2" t="b">
        <f>OR(Table1938[[#This Row],[Document Type]]="journalArticle",Table1938[[#This Row],[Document Type]]="conferencePaper",Table1938[[#This Row],[Document Type]]="review")</f>
        <v>0</v>
      </c>
      <c r="Z611" s="2" t="b" cm="1">
        <f t="array" ref="Z611">SUMPRODUCT(--ISNUMBER(SEARCH({"dimensional analysis","dimensionless coefficients","Π","Pi","theorem","software","design","tools","development","architecture","similar"}, LOWER(Table1938[[#This Row],[Title]]))))&gt;0</f>
        <v>0</v>
      </c>
      <c r="AA611" s="2" t="b" cm="1">
        <f t="array" ref="AA611">SUMPRODUCT(--ISNUMBER(SEARCH({"dimensional analysis","dimensionless coefficients","Π","Pi","theorem","software","design","tools","development","architecture","similar"}, LOWER(Table1938[[#This Row],[Abstract]]))))&gt;0</f>
        <v>0</v>
      </c>
      <c r="AB611" s="2" t="b">
        <f>AND(OR(Table1938[[#This Row],[IC-01 @2024]:[IC-01 @2020]])=TRUE,Table1938[[#This Row],[IC-02]]=TRUE,Table1938[[#This Row],[IC-03]]=TRUE,Table1938[[#This Row],[IC-04]]=TRUE,Table1938[[#This Row],[IC-05]]=TRUE)</f>
        <v>0</v>
      </c>
      <c r="AC611" s="2" t="b">
        <f>AND(Table1938[[#This Row],[Pass-IC]]=TRUE,Table1938[[#This Row],[Pass-EC]]=TRUE)</f>
        <v>0</v>
      </c>
      <c r="AD611" s="2" t="b">
        <f>COUNTIF($D$25:D611, Table1938[[#This Row],[Title]]) = 1</f>
        <v>1</v>
      </c>
      <c r="AE611" s="2" t="b">
        <f>AND(Table1938[[#This Row],[IC + EC]:[Unique]])</f>
        <v>0</v>
      </c>
      <c r="AF611" s="2" t="b">
        <v>0</v>
      </c>
      <c r="AG611" s="2" t="b">
        <v>0</v>
      </c>
      <c r="AH611" s="2" t="b">
        <v>0</v>
      </c>
      <c r="AI611" s="2" t="b">
        <f>IF(AND(Table1938[[#This Row],[Double Check]]=TRUE,Table1938[[#This Row],[Inspected]]=TRUE,Table1938[[#This Row],[Relevant]]=TRUE),TRUE,FALSE)</f>
        <v>0</v>
      </c>
    </row>
    <row r="612" spans="1:35" ht="71.7" x14ac:dyDescent="0.5">
      <c r="A612" s="2">
        <v>611</v>
      </c>
      <c r="B612" s="20" t="s">
        <v>1</v>
      </c>
      <c r="C612" s="20" t="s">
        <v>3320</v>
      </c>
      <c r="D612" s="20" t="s">
        <v>704</v>
      </c>
      <c r="E612" s="20" t="s">
        <v>123</v>
      </c>
      <c r="F612" s="2" t="s">
        <v>123</v>
      </c>
      <c r="G612" s="20" t="s">
        <v>123</v>
      </c>
      <c r="H612" s="36">
        <v>42370</v>
      </c>
      <c r="I612" s="20">
        <v>2016</v>
      </c>
      <c r="J612" s="20" t="s">
        <v>63</v>
      </c>
      <c r="K612" s="20" t="s">
        <v>123</v>
      </c>
      <c r="L612" s="20" t="s">
        <v>642</v>
      </c>
      <c r="M612" s="20" t="s">
        <v>123</v>
      </c>
      <c r="N612" s="20" t="b">
        <v>0</v>
      </c>
      <c r="O612" s="2" t="b">
        <f>IF(Table1938[[#This Row],[Title]]="",TRUE,FALSE)</f>
        <v>0</v>
      </c>
      <c r="P612" s="2" t="b">
        <f>IF(Table1938[[#This Row],[Author]]="",TRUE,FALSE)</f>
        <v>1</v>
      </c>
      <c r="Q612" s="2" t="b">
        <f>IF(Table1938[[#This Row],[DOI]]&lt;&gt;"", FALSE,TRUE)</f>
        <v>1</v>
      </c>
      <c r="R612" s="2" t="b">
        <f>IF(Table1938[[#This Row],[Abstract]]="",TRUE,FALSE)</f>
        <v>1</v>
      </c>
      <c r="S612" s="2" t="b">
        <f>IF(OR(Table1938[[#This Row],[Document Type]]="book",Table1938[[#This Row],[Document Type]]="bookSection"),TRUE,FALSE)</f>
        <v>1</v>
      </c>
      <c r="T612" s="2" t="b">
        <f>NOT(IF(OR(Table1938[[#This Row],[Language]]&lt;&gt;"en",Table1938[[#This Row],[Language]]&lt;&gt;"EN",Table1938[[#This Row],[Language]]&lt;&gt;"spa",Table1938[[#This Row],[Language]]&lt;&gt;"SPA"),TRUE,FALSE))</f>
        <v>0</v>
      </c>
      <c r="U612" s="2" t="b">
        <f>IF(AND(Table1938[[#This Row],[EC-01]]=FALSE,Table1938[[#This Row],[EC-02]]=FALSE,Table1938[[#This Row],[EC-03]]=FALSE,Table1938[[#This Row],[EC-04]]=FALSE,Table1938[[#This Row],[EC-05]]=FALSE,Table1938[[#This Row],[EC-06]]=FALSE),TRUE,FALSE)</f>
        <v>0</v>
      </c>
      <c r="V612" s="2" t="b">
        <f>IF(Table1938[[#This Row],[Date]]&lt;&gt;"",AND(YEAR(Table1938[[#This Row],[Date]])&gt;=2010, YEAR(Table1938[[#This Row],[Date]])&lt;=2024),FALSE)</f>
        <v>1</v>
      </c>
      <c r="W612" s="2" t="b">
        <f>IF(Table1938[[#This Row],[Date]]&lt;&gt;"",AND(YEAR(Table1938[[#This Row],[Date]])&gt;=2010, YEAR(Table1938[[#This Row],[Date]])&lt;=2020),FALSE)</f>
        <v>1</v>
      </c>
      <c r="X612" s="2" t="b">
        <f>IF(AND(Table1938[[#This Row],[Accesible]]=TRUE,Table1938[[#This Row],[DOI]]&lt;&gt;""),TRUE,FALSE)</f>
        <v>0</v>
      </c>
      <c r="Y612" s="2" t="b">
        <f>OR(Table1938[[#This Row],[Document Type]]="journalArticle",Table1938[[#This Row],[Document Type]]="conferencePaper",Table1938[[#This Row],[Document Type]]="review")</f>
        <v>0</v>
      </c>
      <c r="Z612" s="2" t="b" cm="1">
        <f t="array" ref="Z612">SUMPRODUCT(--ISNUMBER(SEARCH({"dimensional analysis","dimensionless coefficients","Π","Pi","theorem","software","design","tools","development","architecture","similar"}, LOWER(Table1938[[#This Row],[Title]]))))&gt;0</f>
        <v>0</v>
      </c>
      <c r="AA612" s="2" t="b" cm="1">
        <f t="array" ref="AA612">SUMPRODUCT(--ISNUMBER(SEARCH({"dimensional analysis","dimensionless coefficients","Π","Pi","theorem","software","design","tools","development","architecture","similar"}, LOWER(Table1938[[#This Row],[Abstract]]))))&gt;0</f>
        <v>0</v>
      </c>
      <c r="AB612" s="2" t="b">
        <f>AND(OR(Table1938[[#This Row],[IC-01 @2024]:[IC-01 @2020]])=TRUE,Table1938[[#This Row],[IC-02]]=TRUE,Table1938[[#This Row],[IC-03]]=TRUE,Table1938[[#This Row],[IC-04]]=TRUE,Table1938[[#This Row],[IC-05]]=TRUE)</f>
        <v>0</v>
      </c>
      <c r="AC612" s="2" t="b">
        <f>AND(Table1938[[#This Row],[Pass-IC]]=TRUE,Table1938[[#This Row],[Pass-EC]]=TRUE)</f>
        <v>0</v>
      </c>
      <c r="AD612" s="2" t="b">
        <f>COUNTIF($D$25:D612, Table1938[[#This Row],[Title]]) = 1</f>
        <v>1</v>
      </c>
      <c r="AE612" s="2" t="b">
        <f>AND(Table1938[[#This Row],[IC + EC]:[Unique]])</f>
        <v>0</v>
      </c>
      <c r="AF612" s="2" t="b">
        <v>0</v>
      </c>
      <c r="AG612" s="2" t="b">
        <v>0</v>
      </c>
      <c r="AH612" s="2" t="b">
        <v>0</v>
      </c>
      <c r="AI612" s="2" t="b">
        <f>IF(AND(Table1938[[#This Row],[Double Check]]=TRUE,Table1938[[#This Row],[Inspected]]=TRUE,Table1938[[#This Row],[Relevant]]=TRUE),TRUE,FALSE)</f>
        <v>0</v>
      </c>
    </row>
    <row r="613" spans="1:35" x14ac:dyDescent="0.5">
      <c r="A613" s="2">
        <v>612</v>
      </c>
      <c r="B613" s="20" t="s">
        <v>1</v>
      </c>
      <c r="C613" s="20" t="s">
        <v>3321</v>
      </c>
      <c r="D613" s="20" t="s">
        <v>211</v>
      </c>
      <c r="E613" s="20" t="s">
        <v>123</v>
      </c>
      <c r="F613" s="2" t="s">
        <v>123</v>
      </c>
      <c r="G613" s="20" t="s">
        <v>59</v>
      </c>
      <c r="H613" s="36">
        <v>42370</v>
      </c>
      <c r="I613" s="20">
        <v>2016</v>
      </c>
      <c r="J613" s="20" t="s">
        <v>688</v>
      </c>
      <c r="K613" s="20" t="s">
        <v>123</v>
      </c>
      <c r="L613" s="20" t="s">
        <v>642</v>
      </c>
      <c r="M613" s="20" t="s">
        <v>123</v>
      </c>
      <c r="N613" s="20" t="b">
        <v>0</v>
      </c>
      <c r="O613" s="2" t="b">
        <f>IF(Table1938[[#This Row],[Title]]="",TRUE,FALSE)</f>
        <v>0</v>
      </c>
      <c r="P613" s="2" t="b">
        <f>IF(Table1938[[#This Row],[Author]]="",TRUE,FALSE)</f>
        <v>1</v>
      </c>
      <c r="Q613" s="2" t="b">
        <f>IF(Table1938[[#This Row],[DOI]]&lt;&gt;"", FALSE,TRUE)</f>
        <v>1</v>
      </c>
      <c r="R613" s="2" t="b">
        <f>IF(Table1938[[#This Row],[Abstract]]="",TRUE,FALSE)</f>
        <v>1</v>
      </c>
      <c r="S613" s="2" t="b">
        <f>IF(OR(Table1938[[#This Row],[Document Type]]="book",Table1938[[#This Row],[Document Type]]="bookSection"),TRUE,FALSE)</f>
        <v>1</v>
      </c>
      <c r="T613" s="2" t="b">
        <f>NOT(IF(OR(Table1938[[#This Row],[Language]]&lt;&gt;"en",Table1938[[#This Row],[Language]]&lt;&gt;"EN",Table1938[[#This Row],[Language]]&lt;&gt;"spa",Table1938[[#This Row],[Language]]&lt;&gt;"SPA"),TRUE,FALSE))</f>
        <v>0</v>
      </c>
      <c r="U613" s="2" t="b">
        <f>IF(AND(Table1938[[#This Row],[EC-01]]=FALSE,Table1938[[#This Row],[EC-02]]=FALSE,Table1938[[#This Row],[EC-03]]=FALSE,Table1938[[#This Row],[EC-04]]=FALSE,Table1938[[#This Row],[EC-05]]=FALSE,Table1938[[#This Row],[EC-06]]=FALSE),TRUE,FALSE)</f>
        <v>0</v>
      </c>
      <c r="V613" s="2" t="b">
        <f>IF(Table1938[[#This Row],[Date]]&lt;&gt;"",AND(YEAR(Table1938[[#This Row],[Date]])&gt;=2010, YEAR(Table1938[[#This Row],[Date]])&lt;=2024),FALSE)</f>
        <v>1</v>
      </c>
      <c r="W613" s="2" t="b">
        <f>IF(Table1938[[#This Row],[Date]]&lt;&gt;"",AND(YEAR(Table1938[[#This Row],[Date]])&gt;=2010, YEAR(Table1938[[#This Row],[Date]])&lt;=2020),FALSE)</f>
        <v>1</v>
      </c>
      <c r="X613" s="2" t="b">
        <f>IF(AND(Table1938[[#This Row],[Accesible]]=TRUE,Table1938[[#This Row],[DOI]]&lt;&gt;""),TRUE,FALSE)</f>
        <v>0</v>
      </c>
      <c r="Y613" s="2" t="b">
        <f>OR(Table1938[[#This Row],[Document Type]]="journalArticle",Table1938[[#This Row],[Document Type]]="conferencePaper",Table1938[[#This Row],[Document Type]]="review")</f>
        <v>0</v>
      </c>
      <c r="Z613" s="2" t="b" cm="1">
        <f t="array" ref="Z613">SUMPRODUCT(--ISNUMBER(SEARCH({"dimensional analysis","dimensionless coefficients","Π","Pi","theorem","software","design","tools","development","architecture","similar"}, LOWER(Table1938[[#This Row],[Title]]))))&gt;0</f>
        <v>0</v>
      </c>
      <c r="AA613" s="2" t="b" cm="1">
        <f t="array" ref="AA613">SUMPRODUCT(--ISNUMBER(SEARCH({"dimensional analysis","dimensionless coefficients","Π","Pi","theorem","software","design","tools","development","architecture","similar"}, LOWER(Table1938[[#This Row],[Abstract]]))))&gt;0</f>
        <v>0</v>
      </c>
      <c r="AB613" s="2" t="b">
        <f>AND(OR(Table1938[[#This Row],[IC-01 @2024]:[IC-01 @2020]])=TRUE,Table1938[[#This Row],[IC-02]]=TRUE,Table1938[[#This Row],[IC-03]]=TRUE,Table1938[[#This Row],[IC-04]]=TRUE,Table1938[[#This Row],[IC-05]]=TRUE)</f>
        <v>0</v>
      </c>
      <c r="AC613" s="2" t="b">
        <f>AND(Table1938[[#This Row],[Pass-IC]]=TRUE,Table1938[[#This Row],[Pass-EC]]=TRUE)</f>
        <v>0</v>
      </c>
      <c r="AD613" s="2" t="b">
        <f>COUNTIF($D$25:D613, Table1938[[#This Row],[Title]]) = 1</f>
        <v>1</v>
      </c>
      <c r="AE613" s="2" t="b">
        <f>AND(Table1938[[#This Row],[IC + EC]:[Unique]])</f>
        <v>0</v>
      </c>
      <c r="AF613" s="2" t="b">
        <v>0</v>
      </c>
      <c r="AG613" s="2" t="b">
        <v>0</v>
      </c>
      <c r="AH613" s="2" t="b">
        <v>0</v>
      </c>
      <c r="AI613" s="2" t="b">
        <f>IF(AND(Table1938[[#This Row],[Double Check]]=TRUE,Table1938[[#This Row],[Inspected]]=TRUE,Table1938[[#This Row],[Relevant]]=TRUE),TRUE,FALSE)</f>
        <v>0</v>
      </c>
    </row>
    <row r="614" spans="1:35" x14ac:dyDescent="0.5">
      <c r="A614" s="2">
        <v>613</v>
      </c>
      <c r="B614" s="20" t="s">
        <v>1</v>
      </c>
      <c r="C614" s="20" t="s">
        <v>3322</v>
      </c>
      <c r="D614" s="20" t="s">
        <v>58</v>
      </c>
      <c r="E614" s="20" t="s">
        <v>123</v>
      </c>
      <c r="F614" s="2" t="s">
        <v>123</v>
      </c>
      <c r="G614" s="20" t="s">
        <v>123</v>
      </c>
      <c r="H614" s="36">
        <v>42370</v>
      </c>
      <c r="I614" s="20">
        <v>2016</v>
      </c>
      <c r="J614" s="20" t="s">
        <v>63</v>
      </c>
      <c r="K614" s="20" t="s">
        <v>123</v>
      </c>
      <c r="L614" s="20" t="s">
        <v>642</v>
      </c>
      <c r="M614" s="20" t="s">
        <v>123</v>
      </c>
      <c r="N614" s="20" t="b">
        <v>0</v>
      </c>
      <c r="O614" s="2" t="b">
        <f>IF(Table1938[[#This Row],[Title]]="",TRUE,FALSE)</f>
        <v>0</v>
      </c>
      <c r="P614" s="2" t="b">
        <f>IF(Table1938[[#This Row],[Author]]="",TRUE,FALSE)</f>
        <v>1</v>
      </c>
      <c r="Q614" s="2" t="b">
        <f>IF(Table1938[[#This Row],[DOI]]&lt;&gt;"", FALSE,TRUE)</f>
        <v>1</v>
      </c>
      <c r="R614" s="2" t="b">
        <f>IF(Table1938[[#This Row],[Abstract]]="",TRUE,FALSE)</f>
        <v>1</v>
      </c>
      <c r="S614" s="2" t="b">
        <f>IF(OR(Table1938[[#This Row],[Document Type]]="book",Table1938[[#This Row],[Document Type]]="bookSection"),TRUE,FALSE)</f>
        <v>1</v>
      </c>
      <c r="T614" s="2" t="b">
        <f>NOT(IF(OR(Table1938[[#This Row],[Language]]&lt;&gt;"en",Table1938[[#This Row],[Language]]&lt;&gt;"EN",Table1938[[#This Row],[Language]]&lt;&gt;"spa",Table1938[[#This Row],[Language]]&lt;&gt;"SPA"),TRUE,FALSE))</f>
        <v>0</v>
      </c>
      <c r="U614" s="2" t="b">
        <f>IF(AND(Table1938[[#This Row],[EC-01]]=FALSE,Table1938[[#This Row],[EC-02]]=FALSE,Table1938[[#This Row],[EC-03]]=FALSE,Table1938[[#This Row],[EC-04]]=FALSE,Table1938[[#This Row],[EC-05]]=FALSE,Table1938[[#This Row],[EC-06]]=FALSE),TRUE,FALSE)</f>
        <v>0</v>
      </c>
      <c r="V614" s="2" t="b">
        <f>IF(Table1938[[#This Row],[Date]]&lt;&gt;"",AND(YEAR(Table1938[[#This Row],[Date]])&gt;=2010, YEAR(Table1938[[#This Row],[Date]])&lt;=2024),FALSE)</f>
        <v>1</v>
      </c>
      <c r="W614" s="2" t="b">
        <f>IF(Table1938[[#This Row],[Date]]&lt;&gt;"",AND(YEAR(Table1938[[#This Row],[Date]])&gt;=2010, YEAR(Table1938[[#This Row],[Date]])&lt;=2020),FALSE)</f>
        <v>1</v>
      </c>
      <c r="X614" s="2" t="b">
        <f>IF(AND(Table1938[[#This Row],[Accesible]]=TRUE,Table1938[[#This Row],[DOI]]&lt;&gt;""),TRUE,FALSE)</f>
        <v>0</v>
      </c>
      <c r="Y614" s="2" t="b">
        <f>OR(Table1938[[#This Row],[Document Type]]="journalArticle",Table1938[[#This Row],[Document Type]]="conferencePaper",Table1938[[#This Row],[Document Type]]="review")</f>
        <v>0</v>
      </c>
      <c r="Z614" s="2" t="b" cm="1">
        <f t="array" ref="Z614">SUMPRODUCT(--ISNUMBER(SEARCH({"dimensional analysis","dimensionless coefficients","Π","Pi","theorem","software","design","tools","development","architecture","similar"}, LOWER(Table1938[[#This Row],[Title]]))))&gt;0</f>
        <v>0</v>
      </c>
      <c r="AA614" s="2" t="b" cm="1">
        <f t="array" ref="AA614">SUMPRODUCT(--ISNUMBER(SEARCH({"dimensional analysis","dimensionless coefficients","Π","Pi","theorem","software","design","tools","development","architecture","similar"}, LOWER(Table1938[[#This Row],[Abstract]]))))&gt;0</f>
        <v>0</v>
      </c>
      <c r="AB614" s="2" t="b">
        <f>AND(OR(Table1938[[#This Row],[IC-01 @2024]:[IC-01 @2020]])=TRUE,Table1938[[#This Row],[IC-02]]=TRUE,Table1938[[#This Row],[IC-03]]=TRUE,Table1938[[#This Row],[IC-04]]=TRUE,Table1938[[#This Row],[IC-05]]=TRUE)</f>
        <v>0</v>
      </c>
      <c r="AC614" s="2" t="b">
        <f>AND(Table1938[[#This Row],[Pass-IC]]=TRUE,Table1938[[#This Row],[Pass-EC]]=TRUE)</f>
        <v>0</v>
      </c>
      <c r="AD614" s="2" t="b">
        <f>COUNTIF($D$25:D614, Table1938[[#This Row],[Title]]) = 1</f>
        <v>1</v>
      </c>
      <c r="AE614" s="2" t="b">
        <f>AND(Table1938[[#This Row],[IC + EC]:[Unique]])</f>
        <v>0</v>
      </c>
      <c r="AF614" s="2" t="b">
        <v>0</v>
      </c>
      <c r="AG614" s="2" t="b">
        <v>0</v>
      </c>
      <c r="AH614" s="2" t="b">
        <v>0</v>
      </c>
      <c r="AI614" s="2" t="b">
        <f>IF(AND(Table1938[[#This Row],[Double Check]]=TRUE,Table1938[[#This Row],[Inspected]]=TRUE,Table1938[[#This Row],[Relevant]]=TRUE),TRUE,FALSE)</f>
        <v>0</v>
      </c>
    </row>
    <row r="615" spans="1:35" ht="28.7" x14ac:dyDescent="0.5">
      <c r="A615" s="2">
        <v>614</v>
      </c>
      <c r="B615" s="20" t="s">
        <v>1</v>
      </c>
      <c r="C615" s="20" t="s">
        <v>3323</v>
      </c>
      <c r="D615" s="20" t="s">
        <v>294</v>
      </c>
      <c r="E615" s="20" t="s">
        <v>123</v>
      </c>
      <c r="F615" s="2" t="s">
        <v>123</v>
      </c>
      <c r="G615" s="20" t="s">
        <v>700</v>
      </c>
      <c r="H615" s="36">
        <v>42736</v>
      </c>
      <c r="I615" s="20">
        <v>2017</v>
      </c>
      <c r="J615" s="20" t="s">
        <v>688</v>
      </c>
      <c r="K615" s="20" t="s">
        <v>123</v>
      </c>
      <c r="L615" s="20" t="s">
        <v>2515</v>
      </c>
      <c r="M615" s="20" t="s">
        <v>123</v>
      </c>
      <c r="N615" s="20" t="b">
        <v>0</v>
      </c>
      <c r="O615" s="2" t="b">
        <f>IF(Table1938[[#This Row],[Title]]="",TRUE,FALSE)</f>
        <v>0</v>
      </c>
      <c r="P615" s="2" t="b">
        <f>IF(Table1938[[#This Row],[Author]]="",TRUE,FALSE)</f>
        <v>1</v>
      </c>
      <c r="Q615" s="2" t="b">
        <f>IF(Table1938[[#This Row],[DOI]]&lt;&gt;"", FALSE,TRUE)</f>
        <v>1</v>
      </c>
      <c r="R615" s="2" t="b">
        <f>IF(Table1938[[#This Row],[Abstract]]="",TRUE,FALSE)</f>
        <v>1</v>
      </c>
      <c r="S615" s="2" t="b">
        <f>IF(OR(Table1938[[#This Row],[Document Type]]="book",Table1938[[#This Row],[Document Type]]="bookSection"),TRUE,FALSE)</f>
        <v>1</v>
      </c>
      <c r="T615" s="2" t="b">
        <f>NOT(IF(OR(Table1938[[#This Row],[Language]]&lt;&gt;"en",Table1938[[#This Row],[Language]]&lt;&gt;"EN",Table1938[[#This Row],[Language]]&lt;&gt;"spa",Table1938[[#This Row],[Language]]&lt;&gt;"SPA"),TRUE,FALSE))</f>
        <v>0</v>
      </c>
      <c r="U615" s="2" t="b">
        <f>IF(AND(Table1938[[#This Row],[EC-01]]=FALSE,Table1938[[#This Row],[EC-02]]=FALSE,Table1938[[#This Row],[EC-03]]=FALSE,Table1938[[#This Row],[EC-04]]=FALSE,Table1938[[#This Row],[EC-05]]=FALSE,Table1938[[#This Row],[EC-06]]=FALSE),TRUE,FALSE)</f>
        <v>0</v>
      </c>
      <c r="V615" s="2" t="b">
        <f>IF(Table1938[[#This Row],[Date]]&lt;&gt;"",AND(YEAR(Table1938[[#This Row],[Date]])&gt;=2010, YEAR(Table1938[[#This Row],[Date]])&lt;=2024),FALSE)</f>
        <v>1</v>
      </c>
      <c r="W615" s="2" t="b">
        <f>IF(Table1938[[#This Row],[Date]]&lt;&gt;"",AND(YEAR(Table1938[[#This Row],[Date]])&gt;=2010, YEAR(Table1938[[#This Row],[Date]])&lt;=2020),FALSE)</f>
        <v>1</v>
      </c>
      <c r="X615" s="2" t="b">
        <f>IF(AND(Table1938[[#This Row],[Accesible]]=TRUE,Table1938[[#This Row],[DOI]]&lt;&gt;""),TRUE,FALSE)</f>
        <v>0</v>
      </c>
      <c r="Y615" s="2" t="b">
        <f>OR(Table1938[[#This Row],[Document Type]]="journalArticle",Table1938[[#This Row],[Document Type]]="conferencePaper",Table1938[[#This Row],[Document Type]]="review")</f>
        <v>0</v>
      </c>
      <c r="Z615" s="2" t="b" cm="1">
        <f t="array" ref="Z615">SUMPRODUCT(--ISNUMBER(SEARCH({"dimensional analysis","dimensionless coefficients","Π","Pi","theorem","software","design","tools","development","architecture","similar"}, LOWER(Table1938[[#This Row],[Title]]))))&gt;0</f>
        <v>0</v>
      </c>
      <c r="AA615" s="2" t="b" cm="1">
        <f t="array" ref="AA615">SUMPRODUCT(--ISNUMBER(SEARCH({"dimensional analysis","dimensionless coefficients","Π","Pi","theorem","software","design","tools","development","architecture","similar"}, LOWER(Table1938[[#This Row],[Abstract]]))))&gt;0</f>
        <v>0</v>
      </c>
      <c r="AB615" s="2" t="b">
        <f>AND(OR(Table1938[[#This Row],[IC-01 @2024]:[IC-01 @2020]])=TRUE,Table1938[[#This Row],[IC-02]]=TRUE,Table1938[[#This Row],[IC-03]]=TRUE,Table1938[[#This Row],[IC-04]]=TRUE,Table1938[[#This Row],[IC-05]]=TRUE)</f>
        <v>0</v>
      </c>
      <c r="AC615" s="2" t="b">
        <f>AND(Table1938[[#This Row],[Pass-IC]]=TRUE,Table1938[[#This Row],[Pass-EC]]=TRUE)</f>
        <v>0</v>
      </c>
      <c r="AD615" s="2" t="b">
        <f>COUNTIF($D$25:D615, Table1938[[#This Row],[Title]]) = 1</f>
        <v>1</v>
      </c>
      <c r="AE615" s="2" t="b">
        <f>AND(Table1938[[#This Row],[IC + EC]:[Unique]])</f>
        <v>0</v>
      </c>
      <c r="AF615" s="2" t="b">
        <v>0</v>
      </c>
      <c r="AG615" s="2" t="b">
        <v>0</v>
      </c>
      <c r="AH615" s="2" t="b">
        <v>0</v>
      </c>
      <c r="AI615" s="2" t="b">
        <f>IF(AND(Table1938[[#This Row],[Double Check]]=TRUE,Table1938[[#This Row],[Inspected]]=TRUE,Table1938[[#This Row],[Relevant]]=TRUE),TRUE,FALSE)</f>
        <v>0</v>
      </c>
    </row>
    <row r="616" spans="1:35" ht="28.7" x14ac:dyDescent="0.5">
      <c r="A616" s="2">
        <v>615</v>
      </c>
      <c r="B616" s="20" t="s">
        <v>1</v>
      </c>
      <c r="C616" s="20" t="s">
        <v>3324</v>
      </c>
      <c r="D616" s="20" t="s">
        <v>295</v>
      </c>
      <c r="E616" s="20" t="s">
        <v>123</v>
      </c>
      <c r="F616" s="2" t="s">
        <v>123</v>
      </c>
      <c r="G616" s="20" t="s">
        <v>123</v>
      </c>
      <c r="H616" s="36">
        <v>42736</v>
      </c>
      <c r="I616" s="20">
        <v>2017</v>
      </c>
      <c r="J616" s="20" t="s">
        <v>63</v>
      </c>
      <c r="K616" s="20" t="s">
        <v>123</v>
      </c>
      <c r="L616" s="20" t="s">
        <v>642</v>
      </c>
      <c r="M616" s="20" t="s">
        <v>123</v>
      </c>
      <c r="N616" s="20" t="b">
        <v>0</v>
      </c>
      <c r="O616" s="2" t="b">
        <f>IF(Table1938[[#This Row],[Title]]="",TRUE,FALSE)</f>
        <v>0</v>
      </c>
      <c r="P616" s="2" t="b">
        <f>IF(Table1938[[#This Row],[Author]]="",TRUE,FALSE)</f>
        <v>1</v>
      </c>
      <c r="Q616" s="2" t="b">
        <f>IF(Table1938[[#This Row],[DOI]]&lt;&gt;"", FALSE,TRUE)</f>
        <v>1</v>
      </c>
      <c r="R616" s="2" t="b">
        <f>IF(Table1938[[#This Row],[Abstract]]="",TRUE,FALSE)</f>
        <v>1</v>
      </c>
      <c r="S616" s="2" t="b">
        <f>IF(OR(Table1938[[#This Row],[Document Type]]="book",Table1938[[#This Row],[Document Type]]="bookSection"),TRUE,FALSE)</f>
        <v>1</v>
      </c>
      <c r="T616" s="2" t="b">
        <f>NOT(IF(OR(Table1938[[#This Row],[Language]]&lt;&gt;"en",Table1938[[#This Row],[Language]]&lt;&gt;"EN",Table1938[[#This Row],[Language]]&lt;&gt;"spa",Table1938[[#This Row],[Language]]&lt;&gt;"SPA"),TRUE,FALSE))</f>
        <v>0</v>
      </c>
      <c r="U616" s="2" t="b">
        <f>IF(AND(Table1938[[#This Row],[EC-01]]=FALSE,Table1938[[#This Row],[EC-02]]=FALSE,Table1938[[#This Row],[EC-03]]=FALSE,Table1938[[#This Row],[EC-04]]=FALSE,Table1938[[#This Row],[EC-05]]=FALSE,Table1938[[#This Row],[EC-06]]=FALSE),TRUE,FALSE)</f>
        <v>0</v>
      </c>
      <c r="V616" s="2" t="b">
        <f>IF(Table1938[[#This Row],[Date]]&lt;&gt;"",AND(YEAR(Table1938[[#This Row],[Date]])&gt;=2010, YEAR(Table1938[[#This Row],[Date]])&lt;=2024),FALSE)</f>
        <v>1</v>
      </c>
      <c r="W616" s="2" t="b">
        <f>IF(Table1938[[#This Row],[Date]]&lt;&gt;"",AND(YEAR(Table1938[[#This Row],[Date]])&gt;=2010, YEAR(Table1938[[#This Row],[Date]])&lt;=2020),FALSE)</f>
        <v>1</v>
      </c>
      <c r="X616" s="2" t="b">
        <f>IF(AND(Table1938[[#This Row],[Accesible]]=TRUE,Table1938[[#This Row],[DOI]]&lt;&gt;""),TRUE,FALSE)</f>
        <v>0</v>
      </c>
      <c r="Y616" s="2" t="b">
        <f>OR(Table1938[[#This Row],[Document Type]]="journalArticle",Table1938[[#This Row],[Document Type]]="conferencePaper",Table1938[[#This Row],[Document Type]]="review")</f>
        <v>0</v>
      </c>
      <c r="Z616" s="2" t="b" cm="1">
        <f t="array" ref="Z616">SUMPRODUCT(--ISNUMBER(SEARCH({"dimensional analysis","dimensionless coefficients","Π","Pi","theorem","software","design","tools","development","architecture","similar"}, LOWER(Table1938[[#This Row],[Title]]))))&gt;0</f>
        <v>0</v>
      </c>
      <c r="AA616" s="2" t="b" cm="1">
        <f t="array" ref="AA616">SUMPRODUCT(--ISNUMBER(SEARCH({"dimensional analysis","dimensionless coefficients","Π","Pi","theorem","software","design","tools","development","architecture","similar"}, LOWER(Table1938[[#This Row],[Abstract]]))))&gt;0</f>
        <v>0</v>
      </c>
      <c r="AB616" s="2" t="b">
        <f>AND(OR(Table1938[[#This Row],[IC-01 @2024]:[IC-01 @2020]])=TRUE,Table1938[[#This Row],[IC-02]]=TRUE,Table1938[[#This Row],[IC-03]]=TRUE,Table1938[[#This Row],[IC-04]]=TRUE,Table1938[[#This Row],[IC-05]]=TRUE)</f>
        <v>0</v>
      </c>
      <c r="AC616" s="2" t="b">
        <f>AND(Table1938[[#This Row],[Pass-IC]]=TRUE,Table1938[[#This Row],[Pass-EC]]=TRUE)</f>
        <v>0</v>
      </c>
      <c r="AD616" s="2" t="b">
        <f>COUNTIF($D$25:D616, Table1938[[#This Row],[Title]]) = 1</f>
        <v>1</v>
      </c>
      <c r="AE616" s="2" t="b">
        <f>AND(Table1938[[#This Row],[IC + EC]:[Unique]])</f>
        <v>0</v>
      </c>
      <c r="AF616" s="2" t="b">
        <v>0</v>
      </c>
      <c r="AG616" s="2" t="b">
        <v>0</v>
      </c>
      <c r="AH616" s="2" t="b">
        <v>0</v>
      </c>
      <c r="AI616" s="2" t="b">
        <f>IF(AND(Table1938[[#This Row],[Double Check]]=TRUE,Table1938[[#This Row],[Inspected]]=TRUE,Table1938[[#This Row],[Relevant]]=TRUE),TRUE,FALSE)</f>
        <v>0</v>
      </c>
    </row>
    <row r="617" spans="1:35" ht="57.35" x14ac:dyDescent="0.5">
      <c r="A617" s="2">
        <v>616</v>
      </c>
      <c r="B617" s="20" t="s">
        <v>1</v>
      </c>
      <c r="C617" s="20" t="s">
        <v>3325</v>
      </c>
      <c r="D617" s="20" t="s">
        <v>252</v>
      </c>
      <c r="E617" s="20" t="s">
        <v>714</v>
      </c>
      <c r="F617" s="2" t="s">
        <v>123</v>
      </c>
      <c r="G617" s="20" t="s">
        <v>253</v>
      </c>
      <c r="H617" s="36">
        <v>42248</v>
      </c>
      <c r="I617" s="20">
        <v>2015</v>
      </c>
      <c r="J617" s="20" t="s">
        <v>61</v>
      </c>
      <c r="K617" s="20" t="s">
        <v>123</v>
      </c>
      <c r="L617" s="20" t="s">
        <v>642</v>
      </c>
      <c r="M617" s="20" t="s">
        <v>254</v>
      </c>
      <c r="N617" s="20" t="b">
        <v>0</v>
      </c>
      <c r="O617" s="2" t="b">
        <f>IF(Table1938[[#This Row],[Title]]="",TRUE,FALSE)</f>
        <v>0</v>
      </c>
      <c r="P617" s="2" t="b">
        <f>IF(Table1938[[#This Row],[Author]]="",TRUE,FALSE)</f>
        <v>0</v>
      </c>
      <c r="Q617" s="2" t="b">
        <f>IF(Table1938[[#This Row],[DOI]]&lt;&gt;"", FALSE,TRUE)</f>
        <v>0</v>
      </c>
      <c r="R617" s="2" t="b">
        <f>IF(Table1938[[#This Row],[Abstract]]="",TRUE,FALSE)</f>
        <v>1</v>
      </c>
      <c r="S617" s="2" t="b">
        <f>IF(OR(Table1938[[#This Row],[Document Type]]="book",Table1938[[#This Row],[Document Type]]="bookSection"),TRUE,FALSE)</f>
        <v>0</v>
      </c>
      <c r="T617" s="2" t="b">
        <f>NOT(IF(OR(Table1938[[#This Row],[Language]]&lt;&gt;"en",Table1938[[#This Row],[Language]]&lt;&gt;"EN",Table1938[[#This Row],[Language]]&lt;&gt;"spa",Table1938[[#This Row],[Language]]&lt;&gt;"SPA"),TRUE,FALSE))</f>
        <v>0</v>
      </c>
      <c r="U617" s="2" t="b">
        <f>IF(AND(Table1938[[#This Row],[EC-01]]=FALSE,Table1938[[#This Row],[EC-02]]=FALSE,Table1938[[#This Row],[EC-03]]=FALSE,Table1938[[#This Row],[EC-04]]=FALSE,Table1938[[#This Row],[EC-05]]=FALSE,Table1938[[#This Row],[EC-06]]=FALSE),TRUE,FALSE)</f>
        <v>0</v>
      </c>
      <c r="V617" s="2" t="b">
        <f>IF(Table1938[[#This Row],[Date]]&lt;&gt;"",AND(YEAR(Table1938[[#This Row],[Date]])&gt;=2010, YEAR(Table1938[[#This Row],[Date]])&lt;=2024),FALSE)</f>
        <v>1</v>
      </c>
      <c r="W617" s="2" t="b">
        <f>IF(Table1938[[#This Row],[Date]]&lt;&gt;"",AND(YEAR(Table1938[[#This Row],[Date]])&gt;=2010, YEAR(Table1938[[#This Row],[Date]])&lt;=2020),FALSE)</f>
        <v>1</v>
      </c>
      <c r="X617" s="2" t="b">
        <f>IF(AND(Table1938[[#This Row],[Accesible]]=TRUE,Table1938[[#This Row],[DOI]]&lt;&gt;""),TRUE,FALSE)</f>
        <v>0</v>
      </c>
      <c r="Y617" s="2" t="b">
        <f>OR(Table1938[[#This Row],[Document Type]]="journalArticle",Table1938[[#This Row],[Document Type]]="conferencePaper",Table1938[[#This Row],[Document Type]]="review")</f>
        <v>1</v>
      </c>
      <c r="Z617" s="2" t="b" cm="1">
        <f t="array" ref="Z617">SUMPRODUCT(--ISNUMBER(SEARCH({"dimensional analysis","dimensionless coefficients","Π","Pi","theorem","software","design","tools","development","architecture","similar"}, LOWER(Table1938[[#This Row],[Title]]))))&gt;0</f>
        <v>1</v>
      </c>
      <c r="AA617" s="2" t="b" cm="1">
        <f t="array" ref="AA617">SUMPRODUCT(--ISNUMBER(SEARCH({"dimensional analysis","dimensionless coefficients","Π","Pi","theorem","software","design","tools","development","architecture","similar"}, LOWER(Table1938[[#This Row],[Abstract]]))))&gt;0</f>
        <v>0</v>
      </c>
      <c r="AB617" s="2" t="b">
        <f>AND(OR(Table1938[[#This Row],[IC-01 @2024]:[IC-01 @2020]])=TRUE,Table1938[[#This Row],[IC-02]]=TRUE,Table1938[[#This Row],[IC-03]]=TRUE,Table1938[[#This Row],[IC-04]]=TRUE,Table1938[[#This Row],[IC-05]]=TRUE)</f>
        <v>0</v>
      </c>
      <c r="AC617" s="2" t="b">
        <f>AND(Table1938[[#This Row],[Pass-IC]]=TRUE,Table1938[[#This Row],[Pass-EC]]=TRUE)</f>
        <v>0</v>
      </c>
      <c r="AD617" s="2" t="b">
        <f>COUNTIF($D$25:D617, Table1938[[#This Row],[Title]]) = 1</f>
        <v>1</v>
      </c>
      <c r="AE617" s="2" t="b">
        <f>AND(Table1938[[#This Row],[IC + EC]:[Unique]])</f>
        <v>0</v>
      </c>
      <c r="AF617" s="2" t="b">
        <v>0</v>
      </c>
      <c r="AG617" s="2" t="b">
        <v>0</v>
      </c>
      <c r="AH617" s="2" t="b">
        <v>0</v>
      </c>
      <c r="AI617" s="2" t="b">
        <f>IF(AND(Table1938[[#This Row],[Double Check]]=TRUE,Table1938[[#This Row],[Inspected]]=TRUE,Table1938[[#This Row],[Relevant]]=TRUE),TRUE,FALSE)</f>
        <v>0</v>
      </c>
    </row>
    <row r="618" spans="1:35" ht="28.7" x14ac:dyDescent="0.5">
      <c r="A618" s="2">
        <v>617</v>
      </c>
      <c r="B618" s="20" t="s">
        <v>1</v>
      </c>
      <c r="C618" s="20" t="s">
        <v>3326</v>
      </c>
      <c r="D618" s="20" t="s">
        <v>261</v>
      </c>
      <c r="E618" s="20" t="s">
        <v>123</v>
      </c>
      <c r="F618" s="2" t="s">
        <v>123</v>
      </c>
      <c r="G618" s="20" t="s">
        <v>262</v>
      </c>
      <c r="H618" s="36">
        <v>43101</v>
      </c>
      <c r="I618" s="20">
        <v>2018</v>
      </c>
      <c r="J618" s="20" t="s">
        <v>688</v>
      </c>
      <c r="K618" s="20" t="s">
        <v>123</v>
      </c>
      <c r="L618" s="20" t="s">
        <v>642</v>
      </c>
      <c r="M618" s="20" t="s">
        <v>123</v>
      </c>
      <c r="N618" s="20" t="b">
        <v>0</v>
      </c>
      <c r="O618" s="2" t="b">
        <f>IF(Table1938[[#This Row],[Title]]="",TRUE,FALSE)</f>
        <v>0</v>
      </c>
      <c r="P618" s="2" t="b">
        <f>IF(Table1938[[#This Row],[Author]]="",TRUE,FALSE)</f>
        <v>1</v>
      </c>
      <c r="Q618" s="2" t="b">
        <f>IF(Table1938[[#This Row],[DOI]]&lt;&gt;"", FALSE,TRUE)</f>
        <v>1</v>
      </c>
      <c r="R618" s="2" t="b">
        <f>IF(Table1938[[#This Row],[Abstract]]="",TRUE,FALSE)</f>
        <v>1</v>
      </c>
      <c r="S618" s="2" t="b">
        <f>IF(OR(Table1938[[#This Row],[Document Type]]="book",Table1938[[#This Row],[Document Type]]="bookSection"),TRUE,FALSE)</f>
        <v>1</v>
      </c>
      <c r="T618" s="2" t="b">
        <f>NOT(IF(OR(Table1938[[#This Row],[Language]]&lt;&gt;"en",Table1938[[#This Row],[Language]]&lt;&gt;"EN",Table1938[[#This Row],[Language]]&lt;&gt;"spa",Table1938[[#This Row],[Language]]&lt;&gt;"SPA"),TRUE,FALSE))</f>
        <v>0</v>
      </c>
      <c r="U618" s="2" t="b">
        <f>IF(AND(Table1938[[#This Row],[EC-01]]=FALSE,Table1938[[#This Row],[EC-02]]=FALSE,Table1938[[#This Row],[EC-03]]=FALSE,Table1938[[#This Row],[EC-04]]=FALSE,Table1938[[#This Row],[EC-05]]=FALSE,Table1938[[#This Row],[EC-06]]=FALSE),TRUE,FALSE)</f>
        <v>0</v>
      </c>
      <c r="V618" s="2" t="b">
        <f>IF(Table1938[[#This Row],[Date]]&lt;&gt;"",AND(YEAR(Table1938[[#This Row],[Date]])&gt;=2010, YEAR(Table1938[[#This Row],[Date]])&lt;=2024),FALSE)</f>
        <v>1</v>
      </c>
      <c r="W618" s="2" t="b">
        <f>IF(Table1938[[#This Row],[Date]]&lt;&gt;"",AND(YEAR(Table1938[[#This Row],[Date]])&gt;=2010, YEAR(Table1938[[#This Row],[Date]])&lt;=2020),FALSE)</f>
        <v>1</v>
      </c>
      <c r="X618" s="2" t="b">
        <f>IF(AND(Table1938[[#This Row],[Accesible]]=TRUE,Table1938[[#This Row],[DOI]]&lt;&gt;""),TRUE,FALSE)</f>
        <v>0</v>
      </c>
      <c r="Y618" s="2" t="b">
        <f>OR(Table1938[[#This Row],[Document Type]]="journalArticle",Table1938[[#This Row],[Document Type]]="conferencePaper",Table1938[[#This Row],[Document Type]]="review")</f>
        <v>0</v>
      </c>
      <c r="Z618" s="2" t="b" cm="1">
        <f t="array" ref="Z618">SUMPRODUCT(--ISNUMBER(SEARCH({"dimensional analysis","dimensionless coefficients","Π","Pi","theorem","software","design","tools","development","architecture","similar"}, LOWER(Table1938[[#This Row],[Title]]))))&gt;0</f>
        <v>1</v>
      </c>
      <c r="AA618" s="2" t="b" cm="1">
        <f t="array" ref="AA618">SUMPRODUCT(--ISNUMBER(SEARCH({"dimensional analysis","dimensionless coefficients","Π","Pi","theorem","software","design","tools","development","architecture","similar"}, LOWER(Table1938[[#This Row],[Abstract]]))))&gt;0</f>
        <v>0</v>
      </c>
      <c r="AB618" s="2" t="b">
        <f>AND(OR(Table1938[[#This Row],[IC-01 @2024]:[IC-01 @2020]])=TRUE,Table1938[[#This Row],[IC-02]]=TRUE,Table1938[[#This Row],[IC-03]]=TRUE,Table1938[[#This Row],[IC-04]]=TRUE,Table1938[[#This Row],[IC-05]]=TRUE)</f>
        <v>0</v>
      </c>
      <c r="AC618" s="2" t="b">
        <f>AND(Table1938[[#This Row],[Pass-IC]]=TRUE,Table1938[[#This Row],[Pass-EC]]=TRUE)</f>
        <v>0</v>
      </c>
      <c r="AD618" s="2" t="b">
        <f>COUNTIF($D$25:D618, Table1938[[#This Row],[Title]]) = 1</f>
        <v>1</v>
      </c>
      <c r="AE618" s="2" t="b">
        <f>AND(Table1938[[#This Row],[IC + EC]:[Unique]])</f>
        <v>0</v>
      </c>
      <c r="AF618" s="2" t="b">
        <v>0</v>
      </c>
      <c r="AG618" s="2" t="b">
        <v>0</v>
      </c>
      <c r="AH618" s="2" t="b">
        <v>0</v>
      </c>
      <c r="AI618" s="2" t="b">
        <f>IF(AND(Table1938[[#This Row],[Double Check]]=TRUE,Table1938[[#This Row],[Inspected]]=TRUE,Table1938[[#This Row],[Relevant]]=TRUE),TRUE,FALSE)</f>
        <v>0</v>
      </c>
    </row>
    <row r="619" spans="1:35" ht="28.7" x14ac:dyDescent="0.5">
      <c r="A619" s="2">
        <v>618</v>
      </c>
      <c r="B619" s="20" t="s">
        <v>1</v>
      </c>
      <c r="C619" s="20" t="s">
        <v>3327</v>
      </c>
      <c r="D619" s="20" t="s">
        <v>262</v>
      </c>
      <c r="E619" s="20" t="s">
        <v>703</v>
      </c>
      <c r="F619" s="2" t="s">
        <v>123</v>
      </c>
      <c r="G619" s="20" t="s">
        <v>123</v>
      </c>
      <c r="H619" s="36">
        <v>43101</v>
      </c>
      <c r="I619" s="20">
        <v>2018</v>
      </c>
      <c r="J619" s="20" t="s">
        <v>63</v>
      </c>
      <c r="K619" s="20" t="s">
        <v>123</v>
      </c>
      <c r="L619" s="20" t="s">
        <v>642</v>
      </c>
      <c r="M619" s="20" t="s">
        <v>123</v>
      </c>
      <c r="N619" s="20" t="b">
        <v>1</v>
      </c>
      <c r="O619" s="2" t="b">
        <f>IF(Table1938[[#This Row],[Title]]="",TRUE,FALSE)</f>
        <v>0</v>
      </c>
      <c r="P619" s="2" t="b">
        <f>IF(Table1938[[#This Row],[Author]]="",TRUE,FALSE)</f>
        <v>0</v>
      </c>
      <c r="Q619" s="2" t="b">
        <f>IF(Table1938[[#This Row],[DOI]]&lt;&gt;"", FALSE,TRUE)</f>
        <v>1</v>
      </c>
      <c r="R619" s="2" t="b">
        <f>IF(Table1938[[#This Row],[Abstract]]="",TRUE,FALSE)</f>
        <v>1</v>
      </c>
      <c r="S619" s="2" t="b">
        <f>IF(OR(Table1938[[#This Row],[Document Type]]="book",Table1938[[#This Row],[Document Type]]="bookSection"),TRUE,FALSE)</f>
        <v>1</v>
      </c>
      <c r="T619" s="2" t="b">
        <f>NOT(IF(OR(Table1938[[#This Row],[Language]]&lt;&gt;"en",Table1938[[#This Row],[Language]]&lt;&gt;"EN",Table1938[[#This Row],[Language]]&lt;&gt;"spa",Table1938[[#This Row],[Language]]&lt;&gt;"SPA"),TRUE,FALSE))</f>
        <v>0</v>
      </c>
      <c r="U619" s="2" t="b">
        <f>IF(AND(Table1938[[#This Row],[EC-01]]=FALSE,Table1938[[#This Row],[EC-02]]=FALSE,Table1938[[#This Row],[EC-03]]=FALSE,Table1938[[#This Row],[EC-04]]=FALSE,Table1938[[#This Row],[EC-05]]=FALSE,Table1938[[#This Row],[EC-06]]=FALSE),TRUE,FALSE)</f>
        <v>0</v>
      </c>
      <c r="V619" s="2" t="b">
        <f>IF(Table1938[[#This Row],[Date]]&lt;&gt;"",AND(YEAR(Table1938[[#This Row],[Date]])&gt;=2010, YEAR(Table1938[[#This Row],[Date]])&lt;=2024),FALSE)</f>
        <v>1</v>
      </c>
      <c r="W619" s="2" t="b">
        <f>IF(Table1938[[#This Row],[Date]]&lt;&gt;"",AND(YEAR(Table1938[[#This Row],[Date]])&gt;=2010, YEAR(Table1938[[#This Row],[Date]])&lt;=2020),FALSE)</f>
        <v>1</v>
      </c>
      <c r="X619" s="2" t="b">
        <f>IF(AND(Table1938[[#This Row],[Accesible]]=TRUE,Table1938[[#This Row],[DOI]]&lt;&gt;""),TRUE,FALSE)</f>
        <v>0</v>
      </c>
      <c r="Y619" s="2" t="b">
        <f>OR(Table1938[[#This Row],[Document Type]]="journalArticle",Table1938[[#This Row],[Document Type]]="conferencePaper",Table1938[[#This Row],[Document Type]]="review")</f>
        <v>0</v>
      </c>
      <c r="Z619" s="2" t="b" cm="1">
        <f t="array" ref="Z619">SUMPRODUCT(--ISNUMBER(SEARCH({"dimensional analysis","dimensionless coefficients","Π","Pi","theorem","software","design","tools","development","architecture","similar"}, LOWER(Table1938[[#This Row],[Title]]))))&gt;0</f>
        <v>0</v>
      </c>
      <c r="AA619" s="2" t="b" cm="1">
        <f t="array" ref="AA619">SUMPRODUCT(--ISNUMBER(SEARCH({"dimensional analysis","dimensionless coefficients","Π","Pi","theorem","software","design","tools","development","architecture","similar"}, LOWER(Table1938[[#This Row],[Abstract]]))))&gt;0</f>
        <v>0</v>
      </c>
      <c r="AB619" s="2" t="b">
        <f>AND(OR(Table1938[[#This Row],[IC-01 @2024]:[IC-01 @2020]])=TRUE,Table1938[[#This Row],[IC-02]]=TRUE,Table1938[[#This Row],[IC-03]]=TRUE,Table1938[[#This Row],[IC-04]]=TRUE,Table1938[[#This Row],[IC-05]]=TRUE)</f>
        <v>0</v>
      </c>
      <c r="AC619" s="2" t="b">
        <f>AND(Table1938[[#This Row],[Pass-IC]]=TRUE,Table1938[[#This Row],[Pass-EC]]=TRUE)</f>
        <v>0</v>
      </c>
      <c r="AD619" s="2" t="b">
        <f>COUNTIF($D$25:D619, Table1938[[#This Row],[Title]]) = 1</f>
        <v>1</v>
      </c>
      <c r="AE619" s="2" t="b">
        <f>AND(Table1938[[#This Row],[IC + EC]:[Unique]])</f>
        <v>0</v>
      </c>
      <c r="AF619" s="2" t="b">
        <v>0</v>
      </c>
      <c r="AG619" s="2" t="b">
        <v>0</v>
      </c>
      <c r="AH619" s="2" t="b">
        <v>0</v>
      </c>
      <c r="AI619" s="2" t="b">
        <f>IF(AND(Table1938[[#This Row],[Double Check]]=TRUE,Table1938[[#This Row],[Inspected]]=TRUE,Table1938[[#This Row],[Relevant]]=TRUE),TRUE,FALSE)</f>
        <v>0</v>
      </c>
    </row>
    <row r="620" spans="1:35" ht="43" x14ac:dyDescent="0.5">
      <c r="A620" s="2">
        <v>619</v>
      </c>
      <c r="B620" s="20" t="s">
        <v>1</v>
      </c>
      <c r="C620" s="20" t="s">
        <v>3328</v>
      </c>
      <c r="D620" s="20" t="s">
        <v>227</v>
      </c>
      <c r="E620" s="20" t="s">
        <v>716</v>
      </c>
      <c r="F620" s="2" t="s">
        <v>123</v>
      </c>
      <c r="G620" s="20" t="s">
        <v>228</v>
      </c>
      <c r="H620" s="36">
        <v>41852</v>
      </c>
      <c r="I620" s="20">
        <v>2014</v>
      </c>
      <c r="J620" s="20" t="s">
        <v>61</v>
      </c>
      <c r="K620" s="20" t="s">
        <v>123</v>
      </c>
      <c r="L620" s="20" t="s">
        <v>642</v>
      </c>
      <c r="M620" s="20" t="s">
        <v>229</v>
      </c>
      <c r="N620" s="20" t="b">
        <v>0</v>
      </c>
      <c r="O620" s="2" t="b">
        <f>IF(Table1938[[#This Row],[Title]]="",TRUE,FALSE)</f>
        <v>0</v>
      </c>
      <c r="P620" s="2" t="b">
        <f>IF(Table1938[[#This Row],[Author]]="",TRUE,FALSE)</f>
        <v>0</v>
      </c>
      <c r="Q620" s="2" t="b">
        <f>IF(Table1938[[#This Row],[DOI]]&lt;&gt;"", FALSE,TRUE)</f>
        <v>0</v>
      </c>
      <c r="R620" s="2" t="b">
        <f>IF(Table1938[[#This Row],[Abstract]]="",TRUE,FALSE)</f>
        <v>1</v>
      </c>
      <c r="S620" s="2" t="b">
        <f>IF(OR(Table1938[[#This Row],[Document Type]]="book",Table1938[[#This Row],[Document Type]]="bookSection"),TRUE,FALSE)</f>
        <v>0</v>
      </c>
      <c r="T620" s="2" t="b">
        <f>NOT(IF(OR(Table1938[[#This Row],[Language]]&lt;&gt;"en",Table1938[[#This Row],[Language]]&lt;&gt;"EN",Table1938[[#This Row],[Language]]&lt;&gt;"spa",Table1938[[#This Row],[Language]]&lt;&gt;"SPA"),TRUE,FALSE))</f>
        <v>0</v>
      </c>
      <c r="U620" s="2" t="b">
        <f>IF(AND(Table1938[[#This Row],[EC-01]]=FALSE,Table1938[[#This Row],[EC-02]]=FALSE,Table1938[[#This Row],[EC-03]]=FALSE,Table1938[[#This Row],[EC-04]]=FALSE,Table1938[[#This Row],[EC-05]]=FALSE,Table1938[[#This Row],[EC-06]]=FALSE),TRUE,FALSE)</f>
        <v>0</v>
      </c>
      <c r="V620" s="2" t="b">
        <f>IF(Table1938[[#This Row],[Date]]&lt;&gt;"",AND(YEAR(Table1938[[#This Row],[Date]])&gt;=2010, YEAR(Table1938[[#This Row],[Date]])&lt;=2024),FALSE)</f>
        <v>1</v>
      </c>
      <c r="W620" s="2" t="b">
        <f>IF(Table1938[[#This Row],[Date]]&lt;&gt;"",AND(YEAR(Table1938[[#This Row],[Date]])&gt;=2010, YEAR(Table1938[[#This Row],[Date]])&lt;=2020),FALSE)</f>
        <v>1</v>
      </c>
      <c r="X620" s="2" t="b">
        <f>IF(AND(Table1938[[#This Row],[Accesible]]=TRUE,Table1938[[#This Row],[DOI]]&lt;&gt;""),TRUE,FALSE)</f>
        <v>0</v>
      </c>
      <c r="Y620" s="2" t="b">
        <f>OR(Table1938[[#This Row],[Document Type]]="journalArticle",Table1938[[#This Row],[Document Type]]="conferencePaper",Table1938[[#This Row],[Document Type]]="review")</f>
        <v>1</v>
      </c>
      <c r="Z620" s="2" t="b" cm="1">
        <f t="array" ref="Z620">SUMPRODUCT(--ISNUMBER(SEARCH({"dimensional analysis","dimensionless coefficients","Π","Pi","theorem","software","design","tools","development","architecture","similar"}, LOWER(Table1938[[#This Row],[Title]]))))&gt;0</f>
        <v>0</v>
      </c>
      <c r="AA620" s="2" t="b" cm="1">
        <f t="array" ref="AA620">SUMPRODUCT(--ISNUMBER(SEARCH({"dimensional analysis","dimensionless coefficients","Π","Pi","theorem","software","design","tools","development","architecture","similar"}, LOWER(Table1938[[#This Row],[Abstract]]))))&gt;0</f>
        <v>0</v>
      </c>
      <c r="AB620" s="2" t="b">
        <f>AND(OR(Table1938[[#This Row],[IC-01 @2024]:[IC-01 @2020]])=TRUE,Table1938[[#This Row],[IC-02]]=TRUE,Table1938[[#This Row],[IC-03]]=TRUE,Table1938[[#This Row],[IC-04]]=TRUE,Table1938[[#This Row],[IC-05]]=TRUE)</f>
        <v>0</v>
      </c>
      <c r="AC620" s="2" t="b">
        <f>AND(Table1938[[#This Row],[Pass-IC]]=TRUE,Table1938[[#This Row],[Pass-EC]]=TRUE)</f>
        <v>0</v>
      </c>
      <c r="AD620" s="2" t="b">
        <f>COUNTIF($D$25:D620, Table1938[[#This Row],[Title]]) = 1</f>
        <v>1</v>
      </c>
      <c r="AE620" s="2" t="b">
        <f>AND(Table1938[[#This Row],[IC + EC]:[Unique]])</f>
        <v>0</v>
      </c>
      <c r="AF620" s="2" t="b">
        <v>0</v>
      </c>
      <c r="AG620" s="2" t="b">
        <v>0</v>
      </c>
      <c r="AH620" s="2" t="b">
        <v>0</v>
      </c>
      <c r="AI620" s="2" t="b">
        <f>IF(AND(Table1938[[#This Row],[Double Check]]=TRUE,Table1938[[#This Row],[Inspected]]=TRUE,Table1938[[#This Row],[Relevant]]=TRUE),TRUE,FALSE)</f>
        <v>0</v>
      </c>
    </row>
    <row r="621" spans="1:35" ht="71.7" x14ac:dyDescent="0.5">
      <c r="A621" s="2">
        <v>620</v>
      </c>
      <c r="B621" s="20" t="s">
        <v>1</v>
      </c>
      <c r="C621" s="20" t="s">
        <v>3329</v>
      </c>
      <c r="D621" s="20" t="s">
        <v>182</v>
      </c>
      <c r="E621" s="20" t="s">
        <v>123</v>
      </c>
      <c r="F621" s="2" t="s">
        <v>123</v>
      </c>
      <c r="G621" s="20" t="s">
        <v>56</v>
      </c>
      <c r="H621" s="36">
        <v>43466</v>
      </c>
      <c r="I621" s="20">
        <v>2019</v>
      </c>
      <c r="J621" s="20" t="s">
        <v>688</v>
      </c>
      <c r="K621" s="20" t="s">
        <v>123</v>
      </c>
      <c r="L621" s="20" t="s">
        <v>642</v>
      </c>
      <c r="M621" s="20" t="s">
        <v>123</v>
      </c>
      <c r="N621" s="20" t="b">
        <v>0</v>
      </c>
      <c r="O621" s="2" t="b">
        <f>IF(Table1938[[#This Row],[Title]]="",TRUE,FALSE)</f>
        <v>0</v>
      </c>
      <c r="P621" s="2" t="b">
        <f>IF(Table1938[[#This Row],[Author]]="",TRUE,FALSE)</f>
        <v>1</v>
      </c>
      <c r="Q621" s="2" t="b">
        <f>IF(Table1938[[#This Row],[DOI]]&lt;&gt;"", FALSE,TRUE)</f>
        <v>1</v>
      </c>
      <c r="R621" s="2" t="b">
        <f>IF(Table1938[[#This Row],[Abstract]]="",TRUE,FALSE)</f>
        <v>1</v>
      </c>
      <c r="S621" s="2" t="b">
        <f>IF(OR(Table1938[[#This Row],[Document Type]]="book",Table1938[[#This Row],[Document Type]]="bookSection"),TRUE,FALSE)</f>
        <v>1</v>
      </c>
      <c r="T621" s="2" t="b">
        <f>NOT(IF(OR(Table1938[[#This Row],[Language]]&lt;&gt;"en",Table1938[[#This Row],[Language]]&lt;&gt;"EN",Table1938[[#This Row],[Language]]&lt;&gt;"spa",Table1938[[#This Row],[Language]]&lt;&gt;"SPA"),TRUE,FALSE))</f>
        <v>0</v>
      </c>
      <c r="U621" s="2" t="b">
        <f>IF(AND(Table1938[[#This Row],[EC-01]]=FALSE,Table1938[[#This Row],[EC-02]]=FALSE,Table1938[[#This Row],[EC-03]]=FALSE,Table1938[[#This Row],[EC-04]]=FALSE,Table1938[[#This Row],[EC-05]]=FALSE,Table1938[[#This Row],[EC-06]]=FALSE),TRUE,FALSE)</f>
        <v>0</v>
      </c>
      <c r="V621" s="2" t="b">
        <f>IF(Table1938[[#This Row],[Date]]&lt;&gt;"",AND(YEAR(Table1938[[#This Row],[Date]])&gt;=2010, YEAR(Table1938[[#This Row],[Date]])&lt;=2024),FALSE)</f>
        <v>1</v>
      </c>
      <c r="W621" s="2" t="b">
        <f>IF(Table1938[[#This Row],[Date]]&lt;&gt;"",AND(YEAR(Table1938[[#This Row],[Date]])&gt;=2010, YEAR(Table1938[[#This Row],[Date]])&lt;=2020),FALSE)</f>
        <v>1</v>
      </c>
      <c r="X621" s="2" t="b">
        <f>IF(AND(Table1938[[#This Row],[Accesible]]=TRUE,Table1938[[#This Row],[DOI]]&lt;&gt;""),TRUE,FALSE)</f>
        <v>0</v>
      </c>
      <c r="Y621" s="2" t="b">
        <f>OR(Table1938[[#This Row],[Document Type]]="journalArticle",Table1938[[#This Row],[Document Type]]="conferencePaper",Table1938[[#This Row],[Document Type]]="review")</f>
        <v>0</v>
      </c>
      <c r="Z621" s="2" t="b" cm="1">
        <f t="array" ref="Z621">SUMPRODUCT(--ISNUMBER(SEARCH({"dimensional analysis","dimensionless coefficients","Π","Pi","theorem","software","design","tools","development","architecture","similar"}, LOWER(Table1938[[#This Row],[Title]]))))&gt;0</f>
        <v>0</v>
      </c>
      <c r="AA621" s="2" t="b" cm="1">
        <f t="array" ref="AA621">SUMPRODUCT(--ISNUMBER(SEARCH({"dimensional analysis","dimensionless coefficients","Π","Pi","theorem","software","design","tools","development","architecture","similar"}, LOWER(Table1938[[#This Row],[Abstract]]))))&gt;0</f>
        <v>0</v>
      </c>
      <c r="AB621" s="2" t="b">
        <f>AND(OR(Table1938[[#This Row],[IC-01 @2024]:[IC-01 @2020]])=TRUE,Table1938[[#This Row],[IC-02]]=TRUE,Table1938[[#This Row],[IC-03]]=TRUE,Table1938[[#This Row],[IC-04]]=TRUE,Table1938[[#This Row],[IC-05]]=TRUE)</f>
        <v>0</v>
      </c>
      <c r="AC621" s="2" t="b">
        <f>AND(Table1938[[#This Row],[Pass-IC]]=TRUE,Table1938[[#This Row],[Pass-EC]]=TRUE)</f>
        <v>0</v>
      </c>
      <c r="AD621" s="2" t="b">
        <f>COUNTIF($D$25:D621, Table1938[[#This Row],[Title]]) = 1</f>
        <v>1</v>
      </c>
      <c r="AE621" s="2" t="b">
        <f>AND(Table1938[[#This Row],[IC + EC]:[Unique]])</f>
        <v>0</v>
      </c>
      <c r="AF621" s="2" t="b">
        <v>0</v>
      </c>
      <c r="AG621" s="2" t="b">
        <v>0</v>
      </c>
      <c r="AH621" s="2" t="b">
        <v>0</v>
      </c>
      <c r="AI621" s="2" t="b">
        <f>IF(AND(Table1938[[#This Row],[Double Check]]=TRUE,Table1938[[#This Row],[Inspected]]=TRUE,Table1938[[#This Row],[Relevant]]=TRUE),TRUE,FALSE)</f>
        <v>0</v>
      </c>
    </row>
    <row r="622" spans="1:35" ht="57.35" x14ac:dyDescent="0.5">
      <c r="A622" s="2">
        <v>621</v>
      </c>
      <c r="B622" s="20" t="s">
        <v>1</v>
      </c>
      <c r="C622" s="20" t="s">
        <v>3330</v>
      </c>
      <c r="D622" s="20" t="s">
        <v>690</v>
      </c>
      <c r="E622" s="20" t="s">
        <v>123</v>
      </c>
      <c r="F622" s="2" t="s">
        <v>123</v>
      </c>
      <c r="G622" s="20" t="s">
        <v>123</v>
      </c>
      <c r="H622" s="36">
        <v>43466</v>
      </c>
      <c r="I622" s="20">
        <v>2019</v>
      </c>
      <c r="J622" s="20" t="s">
        <v>63</v>
      </c>
      <c r="K622" s="20" t="s">
        <v>123</v>
      </c>
      <c r="L622" s="20" t="s">
        <v>642</v>
      </c>
      <c r="M622" s="20" t="s">
        <v>123</v>
      </c>
      <c r="N622" s="20" t="b">
        <v>1</v>
      </c>
      <c r="O622" s="2" t="b">
        <f>IF(Table1938[[#This Row],[Title]]="",TRUE,FALSE)</f>
        <v>0</v>
      </c>
      <c r="P622" s="2" t="b">
        <f>IF(Table1938[[#This Row],[Author]]="",TRUE,FALSE)</f>
        <v>1</v>
      </c>
      <c r="Q622" s="2" t="b">
        <f>IF(Table1938[[#This Row],[DOI]]&lt;&gt;"", FALSE,TRUE)</f>
        <v>1</v>
      </c>
      <c r="R622" s="2" t="b">
        <f>IF(Table1938[[#This Row],[Abstract]]="",TRUE,FALSE)</f>
        <v>1</v>
      </c>
      <c r="S622" s="2" t="b">
        <f>IF(OR(Table1938[[#This Row],[Document Type]]="book",Table1938[[#This Row],[Document Type]]="bookSection"),TRUE,FALSE)</f>
        <v>1</v>
      </c>
      <c r="T622" s="2" t="b">
        <f>NOT(IF(OR(Table1938[[#This Row],[Language]]&lt;&gt;"en",Table1938[[#This Row],[Language]]&lt;&gt;"EN",Table1938[[#This Row],[Language]]&lt;&gt;"spa",Table1938[[#This Row],[Language]]&lt;&gt;"SPA"),TRUE,FALSE))</f>
        <v>0</v>
      </c>
      <c r="U622" s="2" t="b">
        <f>IF(AND(Table1938[[#This Row],[EC-01]]=FALSE,Table1938[[#This Row],[EC-02]]=FALSE,Table1938[[#This Row],[EC-03]]=FALSE,Table1938[[#This Row],[EC-04]]=FALSE,Table1938[[#This Row],[EC-05]]=FALSE,Table1938[[#This Row],[EC-06]]=FALSE),TRUE,FALSE)</f>
        <v>0</v>
      </c>
      <c r="V622" s="2" t="b">
        <f>IF(Table1938[[#This Row],[Date]]&lt;&gt;"",AND(YEAR(Table1938[[#This Row],[Date]])&gt;=2010, YEAR(Table1938[[#This Row],[Date]])&lt;=2024),FALSE)</f>
        <v>1</v>
      </c>
      <c r="W622" s="2" t="b">
        <f>IF(Table1938[[#This Row],[Date]]&lt;&gt;"",AND(YEAR(Table1938[[#This Row],[Date]])&gt;=2010, YEAR(Table1938[[#This Row],[Date]])&lt;=2020),FALSE)</f>
        <v>1</v>
      </c>
      <c r="X622" s="2" t="b">
        <f>IF(AND(Table1938[[#This Row],[Accesible]]=TRUE,Table1938[[#This Row],[DOI]]&lt;&gt;""),TRUE,FALSE)</f>
        <v>0</v>
      </c>
      <c r="Y622" s="2" t="b">
        <f>OR(Table1938[[#This Row],[Document Type]]="journalArticle",Table1938[[#This Row],[Document Type]]="conferencePaper",Table1938[[#This Row],[Document Type]]="review")</f>
        <v>0</v>
      </c>
      <c r="Z622" s="2" t="b" cm="1">
        <f t="array" ref="Z622">SUMPRODUCT(--ISNUMBER(SEARCH({"dimensional analysis","dimensionless coefficients","Π","Pi","theorem","software","design","tools","development","architecture","similar"}, LOWER(Table1938[[#This Row],[Title]]))))&gt;0</f>
        <v>0</v>
      </c>
      <c r="AA622" s="2" t="b" cm="1">
        <f t="array" ref="AA622">SUMPRODUCT(--ISNUMBER(SEARCH({"dimensional analysis","dimensionless coefficients","Π","Pi","theorem","software","design","tools","development","architecture","similar"}, LOWER(Table1938[[#This Row],[Abstract]]))))&gt;0</f>
        <v>0</v>
      </c>
      <c r="AB622" s="2" t="b">
        <f>AND(OR(Table1938[[#This Row],[IC-01 @2024]:[IC-01 @2020]])=TRUE,Table1938[[#This Row],[IC-02]]=TRUE,Table1938[[#This Row],[IC-03]]=TRUE,Table1938[[#This Row],[IC-04]]=TRUE,Table1938[[#This Row],[IC-05]]=TRUE)</f>
        <v>0</v>
      </c>
      <c r="AC622" s="2" t="b">
        <f>AND(Table1938[[#This Row],[Pass-IC]]=TRUE,Table1938[[#This Row],[Pass-EC]]=TRUE)</f>
        <v>0</v>
      </c>
      <c r="AD622" s="2" t="b">
        <f>COUNTIF($D$25:D622, Table1938[[#This Row],[Title]]) = 1</f>
        <v>1</v>
      </c>
      <c r="AE622" s="2" t="b">
        <f>AND(Table1938[[#This Row],[IC + EC]:[Unique]])</f>
        <v>0</v>
      </c>
      <c r="AF622" s="2" t="b">
        <v>0</v>
      </c>
      <c r="AG622" s="2" t="b">
        <v>0</v>
      </c>
      <c r="AH622" s="2" t="b">
        <v>0</v>
      </c>
      <c r="AI622" s="2" t="b">
        <f>IF(AND(Table1938[[#This Row],[Double Check]]=TRUE,Table1938[[#This Row],[Inspected]]=TRUE,Table1938[[#This Row],[Relevant]]=TRUE),TRUE,FALSE)</f>
        <v>0</v>
      </c>
    </row>
    <row r="623" spans="1:35" ht="57.35" x14ac:dyDescent="0.5">
      <c r="A623" s="2">
        <v>622</v>
      </c>
      <c r="B623" s="20" t="s">
        <v>1</v>
      </c>
      <c r="C623" s="20" t="s">
        <v>3331</v>
      </c>
      <c r="D623" s="20" t="s">
        <v>186</v>
      </c>
      <c r="E623" s="20" t="s">
        <v>123</v>
      </c>
      <c r="F623" s="2" t="s">
        <v>123</v>
      </c>
      <c r="G623" s="20" t="s">
        <v>55</v>
      </c>
      <c r="H623" s="36">
        <v>43466</v>
      </c>
      <c r="I623" s="20">
        <v>2019</v>
      </c>
      <c r="J623" s="20" t="s">
        <v>688</v>
      </c>
      <c r="K623" s="20" t="s">
        <v>123</v>
      </c>
      <c r="L623" s="20" t="s">
        <v>2515</v>
      </c>
      <c r="M623" s="20" t="s">
        <v>123</v>
      </c>
      <c r="N623" s="20" t="b">
        <v>0</v>
      </c>
      <c r="O623" s="2" t="b">
        <f>IF(Table1938[[#This Row],[Title]]="",TRUE,FALSE)</f>
        <v>0</v>
      </c>
      <c r="P623" s="2" t="b">
        <f>IF(Table1938[[#This Row],[Author]]="",TRUE,FALSE)</f>
        <v>1</v>
      </c>
      <c r="Q623" s="2" t="b">
        <f>IF(Table1938[[#This Row],[DOI]]&lt;&gt;"", FALSE,TRUE)</f>
        <v>1</v>
      </c>
      <c r="R623" s="2" t="b">
        <f>IF(Table1938[[#This Row],[Abstract]]="",TRUE,FALSE)</f>
        <v>1</v>
      </c>
      <c r="S623" s="2" t="b">
        <f>IF(OR(Table1938[[#This Row],[Document Type]]="book",Table1938[[#This Row],[Document Type]]="bookSection"),TRUE,FALSE)</f>
        <v>1</v>
      </c>
      <c r="T623" s="2" t="b">
        <f>NOT(IF(OR(Table1938[[#This Row],[Language]]&lt;&gt;"en",Table1938[[#This Row],[Language]]&lt;&gt;"EN",Table1938[[#This Row],[Language]]&lt;&gt;"spa",Table1938[[#This Row],[Language]]&lt;&gt;"SPA"),TRUE,FALSE))</f>
        <v>0</v>
      </c>
      <c r="U623" s="2" t="b">
        <f>IF(AND(Table1938[[#This Row],[EC-01]]=FALSE,Table1938[[#This Row],[EC-02]]=FALSE,Table1938[[#This Row],[EC-03]]=FALSE,Table1938[[#This Row],[EC-04]]=FALSE,Table1938[[#This Row],[EC-05]]=FALSE,Table1938[[#This Row],[EC-06]]=FALSE),TRUE,FALSE)</f>
        <v>0</v>
      </c>
      <c r="V623" s="2" t="b">
        <f>IF(Table1938[[#This Row],[Date]]&lt;&gt;"",AND(YEAR(Table1938[[#This Row],[Date]])&gt;=2010, YEAR(Table1938[[#This Row],[Date]])&lt;=2024),FALSE)</f>
        <v>1</v>
      </c>
      <c r="W623" s="2" t="b">
        <f>IF(Table1938[[#This Row],[Date]]&lt;&gt;"",AND(YEAR(Table1938[[#This Row],[Date]])&gt;=2010, YEAR(Table1938[[#This Row],[Date]])&lt;=2020),FALSE)</f>
        <v>1</v>
      </c>
      <c r="X623" s="2" t="b">
        <f>IF(AND(Table1938[[#This Row],[Accesible]]=TRUE,Table1938[[#This Row],[DOI]]&lt;&gt;""),TRUE,FALSE)</f>
        <v>0</v>
      </c>
      <c r="Y623" s="2" t="b">
        <f>OR(Table1938[[#This Row],[Document Type]]="journalArticle",Table1938[[#This Row],[Document Type]]="conferencePaper",Table1938[[#This Row],[Document Type]]="review")</f>
        <v>0</v>
      </c>
      <c r="Z623" s="2" t="b" cm="1">
        <f t="array" ref="Z623">SUMPRODUCT(--ISNUMBER(SEARCH({"dimensional analysis","dimensionless coefficients","Π","Pi","theorem","software","design","tools","development","architecture","similar"}, LOWER(Table1938[[#This Row],[Title]]))))&gt;0</f>
        <v>0</v>
      </c>
      <c r="AA623" s="2" t="b" cm="1">
        <f t="array" ref="AA623">SUMPRODUCT(--ISNUMBER(SEARCH({"dimensional analysis","dimensionless coefficients","Π","Pi","theorem","software","design","tools","development","architecture","similar"}, LOWER(Table1938[[#This Row],[Abstract]]))))&gt;0</f>
        <v>0</v>
      </c>
      <c r="AB623" s="2" t="b">
        <f>AND(OR(Table1938[[#This Row],[IC-01 @2024]:[IC-01 @2020]])=TRUE,Table1938[[#This Row],[IC-02]]=TRUE,Table1938[[#This Row],[IC-03]]=TRUE,Table1938[[#This Row],[IC-04]]=TRUE,Table1938[[#This Row],[IC-05]]=TRUE)</f>
        <v>0</v>
      </c>
      <c r="AC623" s="2" t="b">
        <f>AND(Table1938[[#This Row],[Pass-IC]]=TRUE,Table1938[[#This Row],[Pass-EC]]=TRUE)</f>
        <v>0</v>
      </c>
      <c r="AD623" s="2" t="b">
        <f>COUNTIF($D$25:D623, Table1938[[#This Row],[Title]]) = 1</f>
        <v>1</v>
      </c>
      <c r="AE623" s="2" t="b">
        <f>AND(Table1938[[#This Row],[IC + EC]:[Unique]])</f>
        <v>0</v>
      </c>
      <c r="AF623" s="2" t="b">
        <v>0</v>
      </c>
      <c r="AG623" s="2" t="b">
        <v>0</v>
      </c>
      <c r="AH623" s="2" t="b">
        <v>0</v>
      </c>
      <c r="AI623" s="2" t="b">
        <f>IF(AND(Table1938[[#This Row],[Double Check]]=TRUE,Table1938[[#This Row],[Inspected]]=TRUE,Table1938[[#This Row],[Relevant]]=TRUE),TRUE,FALSE)</f>
        <v>0</v>
      </c>
    </row>
    <row r="624" spans="1:35" ht="57.35" x14ac:dyDescent="0.5">
      <c r="A624" s="2">
        <v>623</v>
      </c>
      <c r="B624" s="20" t="s">
        <v>1</v>
      </c>
      <c r="C624" s="20" t="s">
        <v>3332</v>
      </c>
      <c r="D624" s="20" t="s">
        <v>691</v>
      </c>
      <c r="E624" s="20" t="s">
        <v>123</v>
      </c>
      <c r="F624" s="2" t="s">
        <v>123</v>
      </c>
      <c r="G624" s="20" t="s">
        <v>123</v>
      </c>
      <c r="H624" s="36">
        <v>43466</v>
      </c>
      <c r="I624" s="20">
        <v>2019</v>
      </c>
      <c r="J624" s="20" t="s">
        <v>63</v>
      </c>
      <c r="K624" s="20" t="s">
        <v>123</v>
      </c>
      <c r="L624" s="20" t="s">
        <v>2515</v>
      </c>
      <c r="M624" s="20" t="s">
        <v>123</v>
      </c>
      <c r="N624" s="20" t="b">
        <v>1</v>
      </c>
      <c r="O624" s="2" t="b">
        <f>IF(Table1938[[#This Row],[Title]]="",TRUE,FALSE)</f>
        <v>0</v>
      </c>
      <c r="P624" s="2" t="b">
        <f>IF(Table1938[[#This Row],[Author]]="",TRUE,FALSE)</f>
        <v>1</v>
      </c>
      <c r="Q624" s="2" t="b">
        <f>IF(Table1938[[#This Row],[DOI]]&lt;&gt;"", FALSE,TRUE)</f>
        <v>1</v>
      </c>
      <c r="R624" s="2" t="b">
        <f>IF(Table1938[[#This Row],[Abstract]]="",TRUE,FALSE)</f>
        <v>1</v>
      </c>
      <c r="S624" s="2" t="b">
        <f>IF(OR(Table1938[[#This Row],[Document Type]]="book",Table1938[[#This Row],[Document Type]]="bookSection"),TRUE,FALSE)</f>
        <v>1</v>
      </c>
      <c r="T624" s="2" t="b">
        <f>NOT(IF(OR(Table1938[[#This Row],[Language]]&lt;&gt;"en",Table1938[[#This Row],[Language]]&lt;&gt;"EN",Table1938[[#This Row],[Language]]&lt;&gt;"spa",Table1938[[#This Row],[Language]]&lt;&gt;"SPA"),TRUE,FALSE))</f>
        <v>0</v>
      </c>
      <c r="U624" s="2" t="b">
        <f>IF(AND(Table1938[[#This Row],[EC-01]]=FALSE,Table1938[[#This Row],[EC-02]]=FALSE,Table1938[[#This Row],[EC-03]]=FALSE,Table1938[[#This Row],[EC-04]]=FALSE,Table1938[[#This Row],[EC-05]]=FALSE,Table1938[[#This Row],[EC-06]]=FALSE),TRUE,FALSE)</f>
        <v>0</v>
      </c>
      <c r="V624" s="2" t="b">
        <f>IF(Table1938[[#This Row],[Date]]&lt;&gt;"",AND(YEAR(Table1938[[#This Row],[Date]])&gt;=2010, YEAR(Table1938[[#This Row],[Date]])&lt;=2024),FALSE)</f>
        <v>1</v>
      </c>
      <c r="W624" s="2" t="b">
        <f>IF(Table1938[[#This Row],[Date]]&lt;&gt;"",AND(YEAR(Table1938[[#This Row],[Date]])&gt;=2010, YEAR(Table1938[[#This Row],[Date]])&lt;=2020),FALSE)</f>
        <v>1</v>
      </c>
      <c r="X624" s="2" t="b">
        <f>IF(AND(Table1938[[#This Row],[Accesible]]=TRUE,Table1938[[#This Row],[DOI]]&lt;&gt;""),TRUE,FALSE)</f>
        <v>0</v>
      </c>
      <c r="Y624" s="2" t="b">
        <f>OR(Table1938[[#This Row],[Document Type]]="journalArticle",Table1938[[#This Row],[Document Type]]="conferencePaper",Table1938[[#This Row],[Document Type]]="review")</f>
        <v>0</v>
      </c>
      <c r="Z624" s="2" t="b" cm="1">
        <f t="array" ref="Z624">SUMPRODUCT(--ISNUMBER(SEARCH({"dimensional analysis","dimensionless coefficients","Π","Pi","theorem","software","design","tools","development","architecture","similar"}, LOWER(Table1938[[#This Row],[Title]]))))&gt;0</f>
        <v>0</v>
      </c>
      <c r="AA624" s="2" t="b" cm="1">
        <f t="array" ref="AA624">SUMPRODUCT(--ISNUMBER(SEARCH({"dimensional analysis","dimensionless coefficients","Π","Pi","theorem","software","design","tools","development","architecture","similar"}, LOWER(Table1938[[#This Row],[Abstract]]))))&gt;0</f>
        <v>0</v>
      </c>
      <c r="AB624" s="2" t="b">
        <f>AND(OR(Table1938[[#This Row],[IC-01 @2024]:[IC-01 @2020]])=TRUE,Table1938[[#This Row],[IC-02]]=TRUE,Table1938[[#This Row],[IC-03]]=TRUE,Table1938[[#This Row],[IC-04]]=TRUE,Table1938[[#This Row],[IC-05]]=TRUE)</f>
        <v>0</v>
      </c>
      <c r="AC624" s="2" t="b">
        <f>AND(Table1938[[#This Row],[Pass-IC]]=TRUE,Table1938[[#This Row],[Pass-EC]]=TRUE)</f>
        <v>0</v>
      </c>
      <c r="AD624" s="2" t="b">
        <f>COUNTIF($D$25:D624, Table1938[[#This Row],[Title]]) = 1</f>
        <v>1</v>
      </c>
      <c r="AE624" s="2" t="b">
        <f>AND(Table1938[[#This Row],[IC + EC]:[Unique]])</f>
        <v>0</v>
      </c>
      <c r="AF624" s="2" t="b">
        <v>0</v>
      </c>
      <c r="AG624" s="2" t="b">
        <v>0</v>
      </c>
      <c r="AH624" s="2" t="b">
        <v>0</v>
      </c>
      <c r="AI624" s="2" t="b">
        <f>IF(AND(Table1938[[#This Row],[Double Check]]=TRUE,Table1938[[#This Row],[Inspected]]=TRUE,Table1938[[#This Row],[Relevant]]=TRUE),TRUE,FALSE)</f>
        <v>0</v>
      </c>
    </row>
    <row r="625" spans="1:35" ht="71.7" x14ac:dyDescent="0.5">
      <c r="A625" s="2">
        <v>624</v>
      </c>
      <c r="B625" s="20" t="s">
        <v>1</v>
      </c>
      <c r="C625" s="20" t="s">
        <v>3333</v>
      </c>
      <c r="D625" s="20" t="s">
        <v>721</v>
      </c>
      <c r="E625" s="20" t="s">
        <v>720</v>
      </c>
      <c r="F625" s="2" t="s">
        <v>123</v>
      </c>
      <c r="G625" s="20" t="s">
        <v>280</v>
      </c>
      <c r="H625" s="36">
        <v>41365</v>
      </c>
      <c r="I625" s="20">
        <v>2013</v>
      </c>
      <c r="J625" s="20" t="s">
        <v>61</v>
      </c>
      <c r="K625" s="20" t="s">
        <v>123</v>
      </c>
      <c r="L625" s="20" t="s">
        <v>642</v>
      </c>
      <c r="M625" s="20" t="s">
        <v>281</v>
      </c>
      <c r="N625" s="20" t="b">
        <v>0</v>
      </c>
      <c r="O625" s="2" t="b">
        <f>IF(Table1938[[#This Row],[Title]]="",TRUE,FALSE)</f>
        <v>0</v>
      </c>
      <c r="P625" s="2" t="b">
        <f>IF(Table1938[[#This Row],[Author]]="",TRUE,FALSE)</f>
        <v>0</v>
      </c>
      <c r="Q625" s="2" t="b">
        <f>IF(Table1938[[#This Row],[DOI]]&lt;&gt;"", FALSE,TRUE)</f>
        <v>0</v>
      </c>
      <c r="R625" s="2" t="b">
        <f>IF(Table1938[[#This Row],[Abstract]]="",TRUE,FALSE)</f>
        <v>1</v>
      </c>
      <c r="S625" s="2" t="b">
        <f>IF(OR(Table1938[[#This Row],[Document Type]]="book",Table1938[[#This Row],[Document Type]]="bookSection"),TRUE,FALSE)</f>
        <v>0</v>
      </c>
      <c r="T625" s="2" t="b">
        <f>NOT(IF(OR(Table1938[[#This Row],[Language]]&lt;&gt;"en",Table1938[[#This Row],[Language]]&lt;&gt;"EN",Table1938[[#This Row],[Language]]&lt;&gt;"spa",Table1938[[#This Row],[Language]]&lt;&gt;"SPA"),TRUE,FALSE))</f>
        <v>0</v>
      </c>
      <c r="U625" s="2" t="b">
        <f>IF(AND(Table1938[[#This Row],[EC-01]]=FALSE,Table1938[[#This Row],[EC-02]]=FALSE,Table1938[[#This Row],[EC-03]]=FALSE,Table1938[[#This Row],[EC-04]]=FALSE,Table1938[[#This Row],[EC-05]]=FALSE,Table1938[[#This Row],[EC-06]]=FALSE),TRUE,FALSE)</f>
        <v>0</v>
      </c>
      <c r="V625" s="2" t="b">
        <f>IF(Table1938[[#This Row],[Date]]&lt;&gt;"",AND(YEAR(Table1938[[#This Row],[Date]])&gt;=2010, YEAR(Table1938[[#This Row],[Date]])&lt;=2024),FALSE)</f>
        <v>1</v>
      </c>
      <c r="W625" s="2" t="b">
        <f>IF(Table1938[[#This Row],[Date]]&lt;&gt;"",AND(YEAR(Table1938[[#This Row],[Date]])&gt;=2010, YEAR(Table1938[[#This Row],[Date]])&lt;=2020),FALSE)</f>
        <v>1</v>
      </c>
      <c r="X625" s="2" t="b">
        <f>IF(AND(Table1938[[#This Row],[Accesible]]=TRUE,Table1938[[#This Row],[DOI]]&lt;&gt;""),TRUE,FALSE)</f>
        <v>0</v>
      </c>
      <c r="Y625" s="2" t="b">
        <f>OR(Table1938[[#This Row],[Document Type]]="journalArticle",Table1938[[#This Row],[Document Type]]="conferencePaper",Table1938[[#This Row],[Document Type]]="review")</f>
        <v>1</v>
      </c>
      <c r="Z625" s="2" t="b" cm="1">
        <f t="array" ref="Z625">SUMPRODUCT(--ISNUMBER(SEARCH({"dimensional analysis","dimensionless coefficients","Π","Pi","theorem","software","design","tools","development","architecture","similar"}, LOWER(Table1938[[#This Row],[Title]]))))&gt;0</f>
        <v>0</v>
      </c>
      <c r="AA625" s="2" t="b" cm="1">
        <f t="array" ref="AA625">SUMPRODUCT(--ISNUMBER(SEARCH({"dimensional analysis","dimensionless coefficients","Π","Pi","theorem","software","design","tools","development","architecture","similar"}, LOWER(Table1938[[#This Row],[Abstract]]))))&gt;0</f>
        <v>0</v>
      </c>
      <c r="AB625" s="2" t="b">
        <f>AND(OR(Table1938[[#This Row],[IC-01 @2024]:[IC-01 @2020]])=TRUE,Table1938[[#This Row],[IC-02]]=TRUE,Table1938[[#This Row],[IC-03]]=TRUE,Table1938[[#This Row],[IC-04]]=TRUE,Table1938[[#This Row],[IC-05]]=TRUE)</f>
        <v>0</v>
      </c>
      <c r="AC625" s="2" t="b">
        <f>AND(Table1938[[#This Row],[Pass-IC]]=TRUE,Table1938[[#This Row],[Pass-EC]]=TRUE)</f>
        <v>0</v>
      </c>
      <c r="AD625" s="2" t="b">
        <f>COUNTIF($D$25:D625, Table1938[[#This Row],[Title]]) = 1</f>
        <v>1</v>
      </c>
      <c r="AE625" s="2" t="b">
        <f>AND(Table1938[[#This Row],[IC + EC]:[Unique]])</f>
        <v>0</v>
      </c>
      <c r="AF625" s="2" t="b">
        <v>0</v>
      </c>
      <c r="AG625" s="2" t="b">
        <v>0</v>
      </c>
      <c r="AH625" s="2" t="b">
        <v>0</v>
      </c>
      <c r="AI625" s="2" t="b">
        <f>IF(AND(Table1938[[#This Row],[Double Check]]=TRUE,Table1938[[#This Row],[Inspected]]=TRUE,Table1938[[#This Row],[Relevant]]=TRUE),TRUE,FALSE)</f>
        <v>0</v>
      </c>
    </row>
    <row r="626" spans="1:35" ht="57.35" x14ac:dyDescent="0.5">
      <c r="A626" s="2">
        <v>625</v>
      </c>
      <c r="B626" s="20" t="s">
        <v>1</v>
      </c>
      <c r="C626" s="20" t="s">
        <v>3334</v>
      </c>
      <c r="D626" s="20" t="s">
        <v>293</v>
      </c>
      <c r="E626" s="20" t="s">
        <v>123</v>
      </c>
      <c r="F626" s="2" t="s">
        <v>123</v>
      </c>
      <c r="G626" s="20" t="s">
        <v>60</v>
      </c>
      <c r="H626" s="36">
        <v>43831</v>
      </c>
      <c r="I626" s="20">
        <v>2020</v>
      </c>
      <c r="J626" s="20" t="s">
        <v>688</v>
      </c>
      <c r="K626" s="20" t="s">
        <v>123</v>
      </c>
      <c r="L626" s="20" t="s">
        <v>642</v>
      </c>
      <c r="M626" s="20" t="s">
        <v>123</v>
      </c>
      <c r="N626" s="20" t="b">
        <v>0</v>
      </c>
      <c r="O626" s="2" t="b">
        <f>IF(Table1938[[#This Row],[Title]]="",TRUE,FALSE)</f>
        <v>0</v>
      </c>
      <c r="P626" s="2" t="b">
        <f>IF(Table1938[[#This Row],[Author]]="",TRUE,FALSE)</f>
        <v>1</v>
      </c>
      <c r="Q626" s="2" t="b">
        <f>IF(Table1938[[#This Row],[DOI]]&lt;&gt;"", FALSE,TRUE)</f>
        <v>1</v>
      </c>
      <c r="R626" s="2" t="b">
        <f>IF(Table1938[[#This Row],[Abstract]]="",TRUE,FALSE)</f>
        <v>1</v>
      </c>
      <c r="S626" s="2" t="b">
        <f>IF(OR(Table1938[[#This Row],[Document Type]]="book",Table1938[[#This Row],[Document Type]]="bookSection"),TRUE,FALSE)</f>
        <v>1</v>
      </c>
      <c r="T626" s="2" t="b">
        <f>NOT(IF(OR(Table1938[[#This Row],[Language]]&lt;&gt;"en",Table1938[[#This Row],[Language]]&lt;&gt;"EN",Table1938[[#This Row],[Language]]&lt;&gt;"spa",Table1938[[#This Row],[Language]]&lt;&gt;"SPA"),TRUE,FALSE))</f>
        <v>0</v>
      </c>
      <c r="U626" s="2" t="b">
        <f>IF(AND(Table1938[[#This Row],[EC-01]]=FALSE,Table1938[[#This Row],[EC-02]]=FALSE,Table1938[[#This Row],[EC-03]]=FALSE,Table1938[[#This Row],[EC-04]]=FALSE,Table1938[[#This Row],[EC-05]]=FALSE,Table1938[[#This Row],[EC-06]]=FALSE),TRUE,FALSE)</f>
        <v>0</v>
      </c>
      <c r="V626" s="2" t="b">
        <f>IF(Table1938[[#This Row],[Date]]&lt;&gt;"",AND(YEAR(Table1938[[#This Row],[Date]])&gt;=2010, YEAR(Table1938[[#This Row],[Date]])&lt;=2024),FALSE)</f>
        <v>1</v>
      </c>
      <c r="W626" s="2" t="b">
        <f>IF(Table1938[[#This Row],[Date]]&lt;&gt;"",AND(YEAR(Table1938[[#This Row],[Date]])&gt;=2010, YEAR(Table1938[[#This Row],[Date]])&lt;=2020),FALSE)</f>
        <v>1</v>
      </c>
      <c r="X626" s="2" t="b">
        <f>IF(AND(Table1938[[#This Row],[Accesible]]=TRUE,Table1938[[#This Row],[DOI]]&lt;&gt;""),TRUE,FALSE)</f>
        <v>0</v>
      </c>
      <c r="Y626" s="2" t="b">
        <f>OR(Table1938[[#This Row],[Document Type]]="journalArticle",Table1938[[#This Row],[Document Type]]="conferencePaper",Table1938[[#This Row],[Document Type]]="review")</f>
        <v>0</v>
      </c>
      <c r="Z626" s="2" t="b" cm="1">
        <f t="array" ref="Z626">SUMPRODUCT(--ISNUMBER(SEARCH({"dimensional analysis","dimensionless coefficients","Π","Pi","theorem","software","design","tools","development","architecture","similar"}, LOWER(Table1938[[#This Row],[Title]]))))&gt;0</f>
        <v>0</v>
      </c>
      <c r="AA626" s="2" t="b" cm="1">
        <f t="array" ref="AA626">SUMPRODUCT(--ISNUMBER(SEARCH({"dimensional analysis","dimensionless coefficients","Π","Pi","theorem","software","design","tools","development","architecture","similar"}, LOWER(Table1938[[#This Row],[Abstract]]))))&gt;0</f>
        <v>0</v>
      </c>
      <c r="AB626" s="2" t="b">
        <f>AND(OR(Table1938[[#This Row],[IC-01 @2024]:[IC-01 @2020]])=TRUE,Table1938[[#This Row],[IC-02]]=TRUE,Table1938[[#This Row],[IC-03]]=TRUE,Table1938[[#This Row],[IC-04]]=TRUE,Table1938[[#This Row],[IC-05]]=TRUE)</f>
        <v>0</v>
      </c>
      <c r="AC626" s="2" t="b">
        <f>AND(Table1938[[#This Row],[Pass-IC]]=TRUE,Table1938[[#This Row],[Pass-EC]]=TRUE)</f>
        <v>0</v>
      </c>
      <c r="AD626" s="2" t="b">
        <f>COUNTIF($D$25:D626, Table1938[[#This Row],[Title]]) = 1</f>
        <v>1</v>
      </c>
      <c r="AE626" s="2" t="b">
        <f>AND(Table1938[[#This Row],[IC + EC]:[Unique]])</f>
        <v>0</v>
      </c>
      <c r="AF626" s="2" t="b">
        <v>0</v>
      </c>
      <c r="AG626" s="2" t="b">
        <v>0</v>
      </c>
      <c r="AH626" s="2" t="b">
        <v>0</v>
      </c>
      <c r="AI626" s="2" t="b">
        <f>IF(AND(Table1938[[#This Row],[Double Check]]=TRUE,Table1938[[#This Row],[Inspected]]=TRUE,Table1938[[#This Row],[Relevant]]=TRUE),TRUE,FALSE)</f>
        <v>0</v>
      </c>
    </row>
    <row r="627" spans="1:35" ht="57.35" x14ac:dyDescent="0.5">
      <c r="A627" s="2">
        <v>626</v>
      </c>
      <c r="B627" s="20" t="s">
        <v>1</v>
      </c>
      <c r="C627" s="20" t="s">
        <v>3335</v>
      </c>
      <c r="D627" s="20" t="s">
        <v>689</v>
      </c>
      <c r="E627" s="20" t="s">
        <v>123</v>
      </c>
      <c r="F627" s="2" t="s">
        <v>123</v>
      </c>
      <c r="G627" s="20" t="s">
        <v>123</v>
      </c>
      <c r="H627" s="36">
        <v>43831</v>
      </c>
      <c r="I627" s="20">
        <v>2020</v>
      </c>
      <c r="J627" s="20" t="s">
        <v>63</v>
      </c>
      <c r="K627" s="20" t="s">
        <v>123</v>
      </c>
      <c r="L627" s="20" t="s">
        <v>642</v>
      </c>
      <c r="M627" s="20" t="s">
        <v>123</v>
      </c>
      <c r="N627" s="20" t="b">
        <v>0</v>
      </c>
      <c r="O627" s="2" t="b">
        <f>IF(Table1938[[#This Row],[Title]]="",TRUE,FALSE)</f>
        <v>0</v>
      </c>
      <c r="P627" s="2" t="b">
        <f>IF(Table1938[[#This Row],[Author]]="",TRUE,FALSE)</f>
        <v>1</v>
      </c>
      <c r="Q627" s="2" t="b">
        <f>IF(Table1938[[#This Row],[DOI]]&lt;&gt;"", FALSE,TRUE)</f>
        <v>1</v>
      </c>
      <c r="R627" s="2" t="b">
        <f>IF(Table1938[[#This Row],[Abstract]]="",TRUE,FALSE)</f>
        <v>1</v>
      </c>
      <c r="S627" s="2" t="b">
        <f>IF(OR(Table1938[[#This Row],[Document Type]]="book",Table1938[[#This Row],[Document Type]]="bookSection"),TRUE,FALSE)</f>
        <v>1</v>
      </c>
      <c r="T627" s="2" t="b">
        <f>NOT(IF(OR(Table1938[[#This Row],[Language]]&lt;&gt;"en",Table1938[[#This Row],[Language]]&lt;&gt;"EN",Table1938[[#This Row],[Language]]&lt;&gt;"spa",Table1938[[#This Row],[Language]]&lt;&gt;"SPA"),TRUE,FALSE))</f>
        <v>0</v>
      </c>
      <c r="U627" s="2" t="b">
        <f>IF(AND(Table1938[[#This Row],[EC-01]]=FALSE,Table1938[[#This Row],[EC-02]]=FALSE,Table1938[[#This Row],[EC-03]]=FALSE,Table1938[[#This Row],[EC-04]]=FALSE,Table1938[[#This Row],[EC-05]]=FALSE,Table1938[[#This Row],[EC-06]]=FALSE),TRUE,FALSE)</f>
        <v>0</v>
      </c>
      <c r="V627" s="2" t="b">
        <f>IF(Table1938[[#This Row],[Date]]&lt;&gt;"",AND(YEAR(Table1938[[#This Row],[Date]])&gt;=2010, YEAR(Table1938[[#This Row],[Date]])&lt;=2024),FALSE)</f>
        <v>1</v>
      </c>
      <c r="W627" s="2" t="b">
        <f>IF(Table1938[[#This Row],[Date]]&lt;&gt;"",AND(YEAR(Table1938[[#This Row],[Date]])&gt;=2010, YEAR(Table1938[[#This Row],[Date]])&lt;=2020),FALSE)</f>
        <v>1</v>
      </c>
      <c r="X627" s="2" t="b">
        <f>IF(AND(Table1938[[#This Row],[Accesible]]=TRUE,Table1938[[#This Row],[DOI]]&lt;&gt;""),TRUE,FALSE)</f>
        <v>0</v>
      </c>
      <c r="Y627" s="2" t="b">
        <f>OR(Table1938[[#This Row],[Document Type]]="journalArticle",Table1938[[#This Row],[Document Type]]="conferencePaper",Table1938[[#This Row],[Document Type]]="review")</f>
        <v>0</v>
      </c>
      <c r="Z627" s="2" t="b" cm="1">
        <f t="array" ref="Z627">SUMPRODUCT(--ISNUMBER(SEARCH({"dimensional analysis","dimensionless coefficients","Π","Pi","theorem","software","design","tools","development","architecture","similar"}, LOWER(Table1938[[#This Row],[Title]]))))&gt;0</f>
        <v>0</v>
      </c>
      <c r="AA627" s="2" t="b" cm="1">
        <f t="array" ref="AA627">SUMPRODUCT(--ISNUMBER(SEARCH({"dimensional analysis","dimensionless coefficients","Π","Pi","theorem","software","design","tools","development","architecture","similar"}, LOWER(Table1938[[#This Row],[Abstract]]))))&gt;0</f>
        <v>0</v>
      </c>
      <c r="AB627" s="2" t="b">
        <f>AND(OR(Table1938[[#This Row],[IC-01 @2024]:[IC-01 @2020]])=TRUE,Table1938[[#This Row],[IC-02]]=TRUE,Table1938[[#This Row],[IC-03]]=TRUE,Table1938[[#This Row],[IC-04]]=TRUE,Table1938[[#This Row],[IC-05]]=TRUE)</f>
        <v>0</v>
      </c>
      <c r="AC627" s="2" t="b">
        <f>AND(Table1938[[#This Row],[Pass-IC]]=TRUE,Table1938[[#This Row],[Pass-EC]]=TRUE)</f>
        <v>0</v>
      </c>
      <c r="AD627" s="2" t="b">
        <f>COUNTIF($D$25:D627, Table1938[[#This Row],[Title]]) = 1</f>
        <v>1</v>
      </c>
      <c r="AE627" s="2" t="b">
        <f>AND(Table1938[[#This Row],[IC + EC]:[Unique]])</f>
        <v>0</v>
      </c>
      <c r="AF627" s="2" t="b">
        <v>0</v>
      </c>
      <c r="AG627" s="2" t="b">
        <v>0</v>
      </c>
      <c r="AH627" s="2" t="b">
        <v>0</v>
      </c>
      <c r="AI627" s="2" t="b">
        <f>IF(AND(Table1938[[#This Row],[Double Check]]=TRUE,Table1938[[#This Row],[Inspected]]=TRUE,Table1938[[#This Row],[Relevant]]=TRUE),TRUE,FALSE)</f>
        <v>0</v>
      </c>
    </row>
    <row r="628" spans="1:35" ht="57.35" x14ac:dyDescent="0.5">
      <c r="A628" s="2">
        <v>627</v>
      </c>
      <c r="B628" s="20" t="s">
        <v>1</v>
      </c>
      <c r="C628" s="20" t="s">
        <v>3336</v>
      </c>
      <c r="D628" s="20" t="s">
        <v>272</v>
      </c>
      <c r="E628" s="20" t="s">
        <v>722</v>
      </c>
      <c r="F628" s="2" t="s">
        <v>123</v>
      </c>
      <c r="G628" s="20" t="s">
        <v>124</v>
      </c>
      <c r="H628" s="36">
        <v>40664</v>
      </c>
      <c r="I628" s="20">
        <v>2011</v>
      </c>
      <c r="J628" s="20" t="s">
        <v>61</v>
      </c>
      <c r="K628" s="20" t="s">
        <v>123</v>
      </c>
      <c r="L628" s="20" t="s">
        <v>642</v>
      </c>
      <c r="M628" s="20" t="s">
        <v>273</v>
      </c>
      <c r="N628" s="20" t="b">
        <v>0</v>
      </c>
      <c r="O628" s="2" t="b">
        <f>IF(Table1938[[#This Row],[Title]]="",TRUE,FALSE)</f>
        <v>0</v>
      </c>
      <c r="P628" s="2" t="b">
        <f>IF(Table1938[[#This Row],[Author]]="",TRUE,FALSE)</f>
        <v>0</v>
      </c>
      <c r="Q628" s="2" t="b">
        <f>IF(Table1938[[#This Row],[DOI]]&lt;&gt;"", FALSE,TRUE)</f>
        <v>0</v>
      </c>
      <c r="R628" s="2" t="b">
        <f>IF(Table1938[[#This Row],[Abstract]]="",TRUE,FALSE)</f>
        <v>1</v>
      </c>
      <c r="S628" s="2" t="b">
        <f>IF(OR(Table1938[[#This Row],[Document Type]]="book",Table1938[[#This Row],[Document Type]]="bookSection"),TRUE,FALSE)</f>
        <v>0</v>
      </c>
      <c r="T628" s="2" t="b">
        <f>NOT(IF(OR(Table1938[[#This Row],[Language]]&lt;&gt;"en",Table1938[[#This Row],[Language]]&lt;&gt;"EN",Table1938[[#This Row],[Language]]&lt;&gt;"spa",Table1938[[#This Row],[Language]]&lt;&gt;"SPA"),TRUE,FALSE))</f>
        <v>0</v>
      </c>
      <c r="U628" s="2" t="b">
        <f>IF(AND(Table1938[[#This Row],[EC-01]]=FALSE,Table1938[[#This Row],[EC-02]]=FALSE,Table1938[[#This Row],[EC-03]]=FALSE,Table1938[[#This Row],[EC-04]]=FALSE,Table1938[[#This Row],[EC-05]]=FALSE,Table1938[[#This Row],[EC-06]]=FALSE),TRUE,FALSE)</f>
        <v>0</v>
      </c>
      <c r="V628" s="2" t="b">
        <f>IF(Table1938[[#This Row],[Date]]&lt;&gt;"",AND(YEAR(Table1938[[#This Row],[Date]])&gt;=2010, YEAR(Table1938[[#This Row],[Date]])&lt;=2024),FALSE)</f>
        <v>1</v>
      </c>
      <c r="W628" s="2" t="b">
        <f>IF(Table1938[[#This Row],[Date]]&lt;&gt;"",AND(YEAR(Table1938[[#This Row],[Date]])&gt;=2010, YEAR(Table1938[[#This Row],[Date]])&lt;=2020),FALSE)</f>
        <v>1</v>
      </c>
      <c r="X628" s="2" t="b">
        <f>IF(AND(Table1938[[#This Row],[Accesible]]=TRUE,Table1938[[#This Row],[DOI]]&lt;&gt;""),TRUE,FALSE)</f>
        <v>0</v>
      </c>
      <c r="Y628" s="2" t="b">
        <f>OR(Table1938[[#This Row],[Document Type]]="journalArticle",Table1938[[#This Row],[Document Type]]="conferencePaper",Table1938[[#This Row],[Document Type]]="review")</f>
        <v>1</v>
      </c>
      <c r="Z628" s="2" t="b" cm="1">
        <f t="array" ref="Z628">SUMPRODUCT(--ISNUMBER(SEARCH({"dimensional analysis","dimensionless coefficients","Π","Pi","theorem","software","design","tools","development","architecture","similar"}, LOWER(Table1938[[#This Row],[Title]]))))&gt;0</f>
        <v>0</v>
      </c>
      <c r="AA628" s="2" t="b" cm="1">
        <f t="array" ref="AA628">SUMPRODUCT(--ISNUMBER(SEARCH({"dimensional analysis","dimensionless coefficients","Π","Pi","theorem","software","design","tools","development","architecture","similar"}, LOWER(Table1938[[#This Row],[Abstract]]))))&gt;0</f>
        <v>0</v>
      </c>
      <c r="AB628" s="2" t="b">
        <f>AND(OR(Table1938[[#This Row],[IC-01 @2024]:[IC-01 @2020]])=TRUE,Table1938[[#This Row],[IC-02]]=TRUE,Table1938[[#This Row],[IC-03]]=TRUE,Table1938[[#This Row],[IC-04]]=TRUE,Table1938[[#This Row],[IC-05]]=TRUE)</f>
        <v>0</v>
      </c>
      <c r="AC628" s="2" t="b">
        <f>AND(Table1938[[#This Row],[Pass-IC]]=TRUE,Table1938[[#This Row],[Pass-EC]]=TRUE)</f>
        <v>0</v>
      </c>
      <c r="AD628" s="2" t="b">
        <f>COUNTIF($D$25:D628, Table1938[[#This Row],[Title]]) = 1</f>
        <v>1</v>
      </c>
      <c r="AE628" s="2" t="b">
        <f>AND(Table1938[[#This Row],[IC + EC]:[Unique]])</f>
        <v>0</v>
      </c>
      <c r="AF628" s="2" t="b">
        <v>0</v>
      </c>
      <c r="AG628" s="2" t="b">
        <v>0</v>
      </c>
      <c r="AH628" s="2" t="b">
        <v>0</v>
      </c>
      <c r="AI628" s="2" t="b">
        <f>IF(AND(Table1938[[#This Row],[Double Check]]=TRUE,Table1938[[#This Row],[Inspected]]=TRUE,Table1938[[#This Row],[Relevant]]=TRUE),TRUE,FALSE)</f>
        <v>0</v>
      </c>
    </row>
    <row r="629" spans="1:35" ht="43" x14ac:dyDescent="0.5">
      <c r="A629" s="2">
        <v>628</v>
      </c>
      <c r="B629" s="20" t="s">
        <v>1</v>
      </c>
      <c r="C629" s="20" t="s">
        <v>3337</v>
      </c>
      <c r="D629" s="20" t="s">
        <v>724</v>
      </c>
      <c r="E629" s="20" t="s">
        <v>723</v>
      </c>
      <c r="F629" s="2" t="s">
        <v>123</v>
      </c>
      <c r="G629" s="20" t="s">
        <v>124</v>
      </c>
      <c r="H629" s="36">
        <v>45566</v>
      </c>
      <c r="I629" s="20">
        <v>2024</v>
      </c>
      <c r="J629" s="20" t="s">
        <v>61</v>
      </c>
      <c r="K629" s="20" t="s">
        <v>123</v>
      </c>
      <c r="L629" s="20" t="s">
        <v>642</v>
      </c>
      <c r="M629" s="20" t="s">
        <v>725</v>
      </c>
      <c r="N629" s="20" t="b">
        <v>0</v>
      </c>
      <c r="O629" s="2" t="b">
        <f>IF(Table1938[[#This Row],[Title]]="",TRUE,FALSE)</f>
        <v>0</v>
      </c>
      <c r="P629" s="2" t="b">
        <f>IF(Table1938[[#This Row],[Author]]="",TRUE,FALSE)</f>
        <v>0</v>
      </c>
      <c r="Q629" s="2" t="b">
        <f>IF(Table1938[[#This Row],[DOI]]&lt;&gt;"", FALSE,TRUE)</f>
        <v>0</v>
      </c>
      <c r="R629" s="2" t="b">
        <f>IF(Table1938[[#This Row],[Abstract]]="",TRUE,FALSE)</f>
        <v>1</v>
      </c>
      <c r="S629" s="2" t="b">
        <f>IF(OR(Table1938[[#This Row],[Document Type]]="book",Table1938[[#This Row],[Document Type]]="bookSection"),TRUE,FALSE)</f>
        <v>0</v>
      </c>
      <c r="T629" s="2" t="b">
        <f>NOT(IF(OR(Table1938[[#This Row],[Language]]&lt;&gt;"en",Table1938[[#This Row],[Language]]&lt;&gt;"EN",Table1938[[#This Row],[Language]]&lt;&gt;"spa",Table1938[[#This Row],[Language]]&lt;&gt;"SPA"),TRUE,FALSE))</f>
        <v>0</v>
      </c>
      <c r="U629" s="2" t="b">
        <f>IF(AND(Table1938[[#This Row],[EC-01]]=FALSE,Table1938[[#This Row],[EC-02]]=FALSE,Table1938[[#This Row],[EC-03]]=FALSE,Table1938[[#This Row],[EC-04]]=FALSE,Table1938[[#This Row],[EC-05]]=FALSE,Table1938[[#This Row],[EC-06]]=FALSE),TRUE,FALSE)</f>
        <v>0</v>
      </c>
      <c r="V629" s="2" t="b">
        <f>IF(Table1938[[#This Row],[Date]]&lt;&gt;"",AND(YEAR(Table1938[[#This Row],[Date]])&gt;=2010, YEAR(Table1938[[#This Row],[Date]])&lt;=2024),FALSE)</f>
        <v>1</v>
      </c>
      <c r="W629" s="2" t="b">
        <f>IF(Table1938[[#This Row],[Date]]&lt;&gt;"",AND(YEAR(Table1938[[#This Row],[Date]])&gt;=2010, YEAR(Table1938[[#This Row],[Date]])&lt;=2020),FALSE)</f>
        <v>0</v>
      </c>
      <c r="X629" s="2" t="b">
        <f>IF(AND(Table1938[[#This Row],[Accesible]]=TRUE,Table1938[[#This Row],[DOI]]&lt;&gt;""),TRUE,FALSE)</f>
        <v>0</v>
      </c>
      <c r="Y629" s="2" t="b">
        <f>OR(Table1938[[#This Row],[Document Type]]="journalArticle",Table1938[[#This Row],[Document Type]]="conferencePaper",Table1938[[#This Row],[Document Type]]="review")</f>
        <v>1</v>
      </c>
      <c r="Z629" s="2" t="b" cm="1">
        <f t="array" ref="Z629">SUMPRODUCT(--ISNUMBER(SEARCH({"dimensional analysis","dimensionless coefficients","Π","Pi","theorem","software","design","tools","development","architecture","similar"}, LOWER(Table1938[[#This Row],[Title]]))))&gt;0</f>
        <v>1</v>
      </c>
      <c r="AA629" s="2" t="b" cm="1">
        <f t="array" ref="AA629">SUMPRODUCT(--ISNUMBER(SEARCH({"dimensional analysis","dimensionless coefficients","Π","Pi","theorem","software","design","tools","development","architecture","similar"}, LOWER(Table1938[[#This Row],[Abstract]]))))&gt;0</f>
        <v>0</v>
      </c>
      <c r="AB629" s="2" t="b">
        <f>AND(OR(Table1938[[#This Row],[IC-01 @2024]:[IC-01 @2020]])=TRUE,Table1938[[#This Row],[IC-02]]=TRUE,Table1938[[#This Row],[IC-03]]=TRUE,Table1938[[#This Row],[IC-04]]=TRUE,Table1938[[#This Row],[IC-05]]=TRUE)</f>
        <v>0</v>
      </c>
      <c r="AC629" s="2" t="b">
        <f>AND(Table1938[[#This Row],[Pass-IC]]=TRUE,Table1938[[#This Row],[Pass-EC]]=TRUE)</f>
        <v>0</v>
      </c>
      <c r="AD629" s="2" t="b">
        <f>COUNTIF($D$25:D629, Table1938[[#This Row],[Title]]) = 1</f>
        <v>1</v>
      </c>
      <c r="AE629" s="2" t="b">
        <f>AND(Table1938[[#This Row],[IC + EC]:[Unique]])</f>
        <v>0</v>
      </c>
      <c r="AF629" s="2" t="b">
        <v>0</v>
      </c>
      <c r="AG629" s="2" t="b">
        <v>0</v>
      </c>
      <c r="AH629" s="2" t="b">
        <v>0</v>
      </c>
      <c r="AI629" s="2" t="b">
        <f>IF(AND(Table1938[[#This Row],[Double Check]]=TRUE,Table1938[[#This Row],[Inspected]]=TRUE,Table1938[[#This Row],[Relevant]]=TRUE),TRUE,FALSE)</f>
        <v>0</v>
      </c>
    </row>
    <row r="630" spans="1:35" ht="28.7" x14ac:dyDescent="0.5">
      <c r="A630" s="2">
        <v>629</v>
      </c>
      <c r="B630" s="20" t="s">
        <v>1</v>
      </c>
      <c r="C630" s="20" t="s">
        <v>3338</v>
      </c>
      <c r="D630" s="20" t="s">
        <v>245</v>
      </c>
      <c r="E630" s="20" t="s">
        <v>123</v>
      </c>
      <c r="F630" s="2" t="s">
        <v>123</v>
      </c>
      <c r="G630" s="20" t="s">
        <v>126</v>
      </c>
      <c r="H630" s="36">
        <v>44197</v>
      </c>
      <c r="I630" s="20">
        <v>2021</v>
      </c>
      <c r="J630" s="20" t="s">
        <v>688</v>
      </c>
      <c r="K630" s="20" t="s">
        <v>123</v>
      </c>
      <c r="L630" s="20" t="s">
        <v>642</v>
      </c>
      <c r="M630" s="20" t="s">
        <v>123</v>
      </c>
      <c r="N630" s="20" t="b">
        <v>0</v>
      </c>
      <c r="O630" s="2" t="b">
        <f>IF(Table1938[[#This Row],[Title]]="",TRUE,FALSE)</f>
        <v>0</v>
      </c>
      <c r="P630" s="2" t="b">
        <f>IF(Table1938[[#This Row],[Author]]="",TRUE,FALSE)</f>
        <v>1</v>
      </c>
      <c r="Q630" s="2" t="b">
        <f>IF(Table1938[[#This Row],[DOI]]&lt;&gt;"", FALSE,TRUE)</f>
        <v>1</v>
      </c>
      <c r="R630" s="2" t="b">
        <f>IF(Table1938[[#This Row],[Abstract]]="",TRUE,FALSE)</f>
        <v>1</v>
      </c>
      <c r="S630" s="2" t="b">
        <f>IF(OR(Table1938[[#This Row],[Document Type]]="book",Table1938[[#This Row],[Document Type]]="bookSection"),TRUE,FALSE)</f>
        <v>1</v>
      </c>
      <c r="T630" s="2" t="b">
        <f>NOT(IF(OR(Table1938[[#This Row],[Language]]&lt;&gt;"en",Table1938[[#This Row],[Language]]&lt;&gt;"EN",Table1938[[#This Row],[Language]]&lt;&gt;"spa",Table1938[[#This Row],[Language]]&lt;&gt;"SPA"),TRUE,FALSE))</f>
        <v>0</v>
      </c>
      <c r="U630" s="2" t="b">
        <f>IF(AND(Table1938[[#This Row],[EC-01]]=FALSE,Table1938[[#This Row],[EC-02]]=FALSE,Table1938[[#This Row],[EC-03]]=FALSE,Table1938[[#This Row],[EC-04]]=FALSE,Table1938[[#This Row],[EC-05]]=FALSE,Table1938[[#This Row],[EC-06]]=FALSE),TRUE,FALSE)</f>
        <v>0</v>
      </c>
      <c r="V630" s="2" t="b">
        <f>IF(Table1938[[#This Row],[Date]]&lt;&gt;"",AND(YEAR(Table1938[[#This Row],[Date]])&gt;=2010, YEAR(Table1938[[#This Row],[Date]])&lt;=2024),FALSE)</f>
        <v>1</v>
      </c>
      <c r="W630" s="2" t="b">
        <f>IF(Table1938[[#This Row],[Date]]&lt;&gt;"",AND(YEAR(Table1938[[#This Row],[Date]])&gt;=2010, YEAR(Table1938[[#This Row],[Date]])&lt;=2020),FALSE)</f>
        <v>0</v>
      </c>
      <c r="X630" s="2" t="b">
        <f>IF(AND(Table1938[[#This Row],[Accesible]]=TRUE,Table1938[[#This Row],[DOI]]&lt;&gt;""),TRUE,FALSE)</f>
        <v>0</v>
      </c>
      <c r="Y630" s="2" t="b">
        <f>OR(Table1938[[#This Row],[Document Type]]="journalArticle",Table1938[[#This Row],[Document Type]]="conferencePaper",Table1938[[#This Row],[Document Type]]="review")</f>
        <v>0</v>
      </c>
      <c r="Z630" s="2" t="b" cm="1">
        <f t="array" ref="Z630">SUMPRODUCT(--ISNUMBER(SEARCH({"dimensional analysis","dimensionless coefficients","Π","Pi","theorem","software","design","tools","development","architecture","similar"}, LOWER(Table1938[[#This Row],[Title]]))))&gt;0</f>
        <v>0</v>
      </c>
      <c r="AA630" s="2" t="b" cm="1">
        <f t="array" ref="AA630">SUMPRODUCT(--ISNUMBER(SEARCH({"dimensional analysis","dimensionless coefficients","Π","Pi","theorem","software","design","tools","development","architecture","similar"}, LOWER(Table1938[[#This Row],[Abstract]]))))&gt;0</f>
        <v>0</v>
      </c>
      <c r="AB630" s="2" t="b">
        <f>AND(OR(Table1938[[#This Row],[IC-01 @2024]:[IC-01 @2020]])=TRUE,Table1938[[#This Row],[IC-02]]=TRUE,Table1938[[#This Row],[IC-03]]=TRUE,Table1938[[#This Row],[IC-04]]=TRUE,Table1938[[#This Row],[IC-05]]=TRUE)</f>
        <v>0</v>
      </c>
      <c r="AC630" s="2" t="b">
        <f>AND(Table1938[[#This Row],[Pass-IC]]=TRUE,Table1938[[#This Row],[Pass-EC]]=TRUE)</f>
        <v>0</v>
      </c>
      <c r="AD630" s="2" t="b">
        <f>COUNTIF($D$25:D630, Table1938[[#This Row],[Title]]) = 1</f>
        <v>1</v>
      </c>
      <c r="AE630" s="2" t="b">
        <f>AND(Table1938[[#This Row],[IC + EC]:[Unique]])</f>
        <v>0</v>
      </c>
      <c r="AF630" s="2" t="b">
        <v>0</v>
      </c>
      <c r="AG630" s="2" t="b">
        <v>0</v>
      </c>
      <c r="AH630" s="2" t="b">
        <v>0</v>
      </c>
      <c r="AI630" s="2" t="b">
        <f>IF(AND(Table1938[[#This Row],[Double Check]]=TRUE,Table1938[[#This Row],[Inspected]]=TRUE,Table1938[[#This Row],[Relevant]]=TRUE),TRUE,FALSE)</f>
        <v>0</v>
      </c>
    </row>
    <row r="631" spans="1:35" ht="43" x14ac:dyDescent="0.5">
      <c r="A631" s="2">
        <v>630</v>
      </c>
      <c r="B631" s="20" t="s">
        <v>1</v>
      </c>
      <c r="C631" s="20" t="s">
        <v>3339</v>
      </c>
      <c r="D631" s="20" t="s">
        <v>246</v>
      </c>
      <c r="E631" s="20" t="s">
        <v>123</v>
      </c>
      <c r="F631" s="2" t="s">
        <v>123</v>
      </c>
      <c r="G631" s="20" t="s">
        <v>123</v>
      </c>
      <c r="H631" s="36">
        <v>44197</v>
      </c>
      <c r="I631" s="20">
        <v>2021</v>
      </c>
      <c r="J631" s="20" t="s">
        <v>63</v>
      </c>
      <c r="K631" s="20" t="s">
        <v>123</v>
      </c>
      <c r="L631" s="20" t="s">
        <v>642</v>
      </c>
      <c r="M631" s="20" t="s">
        <v>123</v>
      </c>
      <c r="N631" s="20" t="b">
        <v>1</v>
      </c>
      <c r="O631" s="2" t="b">
        <f>IF(Table1938[[#This Row],[Title]]="",TRUE,FALSE)</f>
        <v>0</v>
      </c>
      <c r="P631" s="2" t="b">
        <f>IF(Table1938[[#This Row],[Author]]="",TRUE,FALSE)</f>
        <v>1</v>
      </c>
      <c r="Q631" s="2" t="b">
        <f>IF(Table1938[[#This Row],[DOI]]&lt;&gt;"", FALSE,TRUE)</f>
        <v>1</v>
      </c>
      <c r="R631" s="2" t="b">
        <f>IF(Table1938[[#This Row],[Abstract]]="",TRUE,FALSE)</f>
        <v>1</v>
      </c>
      <c r="S631" s="2" t="b">
        <f>IF(OR(Table1938[[#This Row],[Document Type]]="book",Table1938[[#This Row],[Document Type]]="bookSection"),TRUE,FALSE)</f>
        <v>1</v>
      </c>
      <c r="T631" s="2" t="b">
        <f>NOT(IF(OR(Table1938[[#This Row],[Language]]&lt;&gt;"en",Table1938[[#This Row],[Language]]&lt;&gt;"EN",Table1938[[#This Row],[Language]]&lt;&gt;"spa",Table1938[[#This Row],[Language]]&lt;&gt;"SPA"),TRUE,FALSE))</f>
        <v>0</v>
      </c>
      <c r="U631" s="2" t="b">
        <f>IF(AND(Table1938[[#This Row],[EC-01]]=FALSE,Table1938[[#This Row],[EC-02]]=FALSE,Table1938[[#This Row],[EC-03]]=FALSE,Table1938[[#This Row],[EC-04]]=FALSE,Table1938[[#This Row],[EC-05]]=FALSE,Table1938[[#This Row],[EC-06]]=FALSE),TRUE,FALSE)</f>
        <v>0</v>
      </c>
      <c r="V631" s="2" t="b">
        <f>IF(Table1938[[#This Row],[Date]]&lt;&gt;"",AND(YEAR(Table1938[[#This Row],[Date]])&gt;=2010, YEAR(Table1938[[#This Row],[Date]])&lt;=2024),FALSE)</f>
        <v>1</v>
      </c>
      <c r="W631" s="2" t="b">
        <f>IF(Table1938[[#This Row],[Date]]&lt;&gt;"",AND(YEAR(Table1938[[#This Row],[Date]])&gt;=2010, YEAR(Table1938[[#This Row],[Date]])&lt;=2020),FALSE)</f>
        <v>0</v>
      </c>
      <c r="X631" s="2" t="b">
        <f>IF(AND(Table1938[[#This Row],[Accesible]]=TRUE,Table1938[[#This Row],[DOI]]&lt;&gt;""),TRUE,FALSE)</f>
        <v>0</v>
      </c>
      <c r="Y631" s="2" t="b">
        <f>OR(Table1938[[#This Row],[Document Type]]="journalArticle",Table1938[[#This Row],[Document Type]]="conferencePaper",Table1938[[#This Row],[Document Type]]="review")</f>
        <v>0</v>
      </c>
      <c r="Z631" s="2" t="b" cm="1">
        <f t="array" ref="Z631">SUMPRODUCT(--ISNUMBER(SEARCH({"dimensional analysis","dimensionless coefficients","Π","Pi","theorem","software","design","tools","development","architecture","similar"}, LOWER(Table1938[[#This Row],[Title]]))))&gt;0</f>
        <v>1</v>
      </c>
      <c r="AA631" s="2" t="b" cm="1">
        <f t="array" ref="AA631">SUMPRODUCT(--ISNUMBER(SEARCH({"dimensional analysis","dimensionless coefficients","Π","Pi","theorem","software","design","tools","development","architecture","similar"}, LOWER(Table1938[[#This Row],[Abstract]]))))&gt;0</f>
        <v>0</v>
      </c>
      <c r="AB631" s="2" t="b">
        <f>AND(OR(Table1938[[#This Row],[IC-01 @2024]:[IC-01 @2020]])=TRUE,Table1938[[#This Row],[IC-02]]=TRUE,Table1938[[#This Row],[IC-03]]=TRUE,Table1938[[#This Row],[IC-04]]=TRUE,Table1938[[#This Row],[IC-05]]=TRUE)</f>
        <v>0</v>
      </c>
      <c r="AC631" s="2" t="b">
        <f>AND(Table1938[[#This Row],[Pass-IC]]=TRUE,Table1938[[#This Row],[Pass-EC]]=TRUE)</f>
        <v>0</v>
      </c>
      <c r="AD631" s="2" t="b">
        <f>COUNTIF($D$25:D631, Table1938[[#This Row],[Title]]) = 1</f>
        <v>1</v>
      </c>
      <c r="AE631" s="2" t="b">
        <f>AND(Table1938[[#This Row],[IC + EC]:[Unique]])</f>
        <v>0</v>
      </c>
      <c r="AF631" s="2" t="b">
        <v>0</v>
      </c>
      <c r="AG631" s="2" t="b">
        <v>0</v>
      </c>
      <c r="AH631" s="2" t="b">
        <v>0</v>
      </c>
      <c r="AI631" s="2" t="b">
        <f>IF(AND(Table1938[[#This Row],[Double Check]]=TRUE,Table1938[[#This Row],[Inspected]]=TRUE,Table1938[[#This Row],[Relevant]]=TRUE),TRUE,FALSE)</f>
        <v>0</v>
      </c>
    </row>
    <row r="632" spans="1:35" ht="43" x14ac:dyDescent="0.5">
      <c r="A632" s="2">
        <v>631</v>
      </c>
      <c r="B632" s="20" t="s">
        <v>1</v>
      </c>
      <c r="C632" s="20" t="s">
        <v>3340</v>
      </c>
      <c r="D632" s="20" t="s">
        <v>729</v>
      </c>
      <c r="E632" s="20" t="s">
        <v>728</v>
      </c>
      <c r="F632" s="2" t="s">
        <v>123</v>
      </c>
      <c r="G632" s="20" t="s">
        <v>201</v>
      </c>
      <c r="H632" s="36">
        <v>45215</v>
      </c>
      <c r="I632" s="20">
        <v>2023</v>
      </c>
      <c r="J632" s="20" t="s">
        <v>61</v>
      </c>
      <c r="K632" s="20" t="s">
        <v>123</v>
      </c>
      <c r="L632" s="20" t="s">
        <v>642</v>
      </c>
      <c r="M632" s="20" t="s">
        <v>730</v>
      </c>
      <c r="N632" s="20" t="b">
        <v>0</v>
      </c>
      <c r="O632" s="2" t="b">
        <f>IF(Table1938[[#This Row],[Title]]="",TRUE,FALSE)</f>
        <v>0</v>
      </c>
      <c r="P632" s="2" t="b">
        <f>IF(Table1938[[#This Row],[Author]]="",TRUE,FALSE)</f>
        <v>0</v>
      </c>
      <c r="Q632" s="2" t="b">
        <f>IF(Table1938[[#This Row],[DOI]]&lt;&gt;"", FALSE,TRUE)</f>
        <v>0</v>
      </c>
      <c r="R632" s="2" t="b">
        <f>IF(Table1938[[#This Row],[Abstract]]="",TRUE,FALSE)</f>
        <v>1</v>
      </c>
      <c r="S632" s="2" t="b">
        <f>IF(OR(Table1938[[#This Row],[Document Type]]="book",Table1938[[#This Row],[Document Type]]="bookSection"),TRUE,FALSE)</f>
        <v>0</v>
      </c>
      <c r="T632" s="2" t="b">
        <f>NOT(IF(OR(Table1938[[#This Row],[Language]]&lt;&gt;"en",Table1938[[#This Row],[Language]]&lt;&gt;"EN",Table1938[[#This Row],[Language]]&lt;&gt;"spa",Table1938[[#This Row],[Language]]&lt;&gt;"SPA"),TRUE,FALSE))</f>
        <v>0</v>
      </c>
      <c r="U632" s="2" t="b">
        <f>IF(AND(Table1938[[#This Row],[EC-01]]=FALSE,Table1938[[#This Row],[EC-02]]=FALSE,Table1938[[#This Row],[EC-03]]=FALSE,Table1938[[#This Row],[EC-04]]=FALSE,Table1938[[#This Row],[EC-05]]=FALSE,Table1938[[#This Row],[EC-06]]=FALSE),TRUE,FALSE)</f>
        <v>0</v>
      </c>
      <c r="V632" s="2" t="b">
        <f>IF(Table1938[[#This Row],[Date]]&lt;&gt;"",AND(YEAR(Table1938[[#This Row],[Date]])&gt;=2010, YEAR(Table1938[[#This Row],[Date]])&lt;=2024),FALSE)</f>
        <v>1</v>
      </c>
      <c r="W632" s="2" t="b">
        <f>IF(Table1938[[#This Row],[Date]]&lt;&gt;"",AND(YEAR(Table1938[[#This Row],[Date]])&gt;=2010, YEAR(Table1938[[#This Row],[Date]])&lt;=2020),FALSE)</f>
        <v>0</v>
      </c>
      <c r="X632" s="2" t="b">
        <f>IF(AND(Table1938[[#This Row],[Accesible]]=TRUE,Table1938[[#This Row],[DOI]]&lt;&gt;""),TRUE,FALSE)</f>
        <v>0</v>
      </c>
      <c r="Y632" s="2" t="b">
        <f>OR(Table1938[[#This Row],[Document Type]]="journalArticle",Table1938[[#This Row],[Document Type]]="conferencePaper",Table1938[[#This Row],[Document Type]]="review")</f>
        <v>1</v>
      </c>
      <c r="Z632" s="2" t="b" cm="1">
        <f t="array" ref="Z632">SUMPRODUCT(--ISNUMBER(SEARCH({"dimensional analysis","dimensionless coefficients","Π","Pi","theorem","software","design","tools","development","architecture","similar"}, LOWER(Table1938[[#This Row],[Title]]))))&gt;0</f>
        <v>0</v>
      </c>
      <c r="AA632" s="2" t="b" cm="1">
        <f t="array" ref="AA632">SUMPRODUCT(--ISNUMBER(SEARCH({"dimensional analysis","dimensionless coefficients","Π","Pi","theorem","software","design","tools","development","architecture","similar"}, LOWER(Table1938[[#This Row],[Abstract]]))))&gt;0</f>
        <v>0</v>
      </c>
      <c r="AB632" s="2" t="b">
        <f>AND(OR(Table1938[[#This Row],[IC-01 @2024]:[IC-01 @2020]])=TRUE,Table1938[[#This Row],[IC-02]]=TRUE,Table1938[[#This Row],[IC-03]]=TRUE,Table1938[[#This Row],[IC-04]]=TRUE,Table1938[[#This Row],[IC-05]]=TRUE)</f>
        <v>0</v>
      </c>
      <c r="AC632" s="2" t="b">
        <f>AND(Table1938[[#This Row],[Pass-IC]]=TRUE,Table1938[[#This Row],[Pass-EC]]=TRUE)</f>
        <v>0</v>
      </c>
      <c r="AD632" s="2" t="b">
        <f>COUNTIF($D$25:D632, Table1938[[#This Row],[Title]]) = 1</f>
        <v>1</v>
      </c>
      <c r="AE632" s="2" t="b">
        <f>AND(Table1938[[#This Row],[IC + EC]:[Unique]])</f>
        <v>0</v>
      </c>
      <c r="AF632" s="2" t="b">
        <v>0</v>
      </c>
      <c r="AG632" s="2" t="b">
        <v>0</v>
      </c>
      <c r="AH632" s="2" t="b">
        <v>0</v>
      </c>
      <c r="AI632" s="2" t="b">
        <f>IF(AND(Table1938[[#This Row],[Double Check]]=TRUE,Table1938[[#This Row],[Inspected]]=TRUE,Table1938[[#This Row],[Relevant]]=TRUE),TRUE,FALSE)</f>
        <v>0</v>
      </c>
    </row>
    <row r="633" spans="1:35" ht="43" x14ac:dyDescent="0.5">
      <c r="A633" s="2">
        <v>632</v>
      </c>
      <c r="B633" s="20" t="s">
        <v>1</v>
      </c>
      <c r="C633" s="20" t="s">
        <v>3341</v>
      </c>
      <c r="D633" s="20" t="s">
        <v>266</v>
      </c>
      <c r="E633" s="20" t="s">
        <v>123</v>
      </c>
      <c r="F633" s="2" t="s">
        <v>123</v>
      </c>
      <c r="G633" s="20" t="s">
        <v>134</v>
      </c>
      <c r="H633" s="36">
        <v>44197</v>
      </c>
      <c r="I633" s="20">
        <v>2021</v>
      </c>
      <c r="J633" s="20" t="s">
        <v>688</v>
      </c>
      <c r="K633" s="20" t="s">
        <v>123</v>
      </c>
      <c r="L633" s="20" t="s">
        <v>642</v>
      </c>
      <c r="M633" s="20" t="s">
        <v>123</v>
      </c>
      <c r="N633" s="20" t="b">
        <v>0</v>
      </c>
      <c r="O633" s="2" t="b">
        <f>IF(Table1938[[#This Row],[Title]]="",TRUE,FALSE)</f>
        <v>0</v>
      </c>
      <c r="P633" s="2" t="b">
        <f>IF(Table1938[[#This Row],[Author]]="",TRUE,FALSE)</f>
        <v>1</v>
      </c>
      <c r="Q633" s="2" t="b">
        <f>IF(Table1938[[#This Row],[DOI]]&lt;&gt;"", FALSE,TRUE)</f>
        <v>1</v>
      </c>
      <c r="R633" s="2" t="b">
        <f>IF(Table1938[[#This Row],[Abstract]]="",TRUE,FALSE)</f>
        <v>1</v>
      </c>
      <c r="S633" s="2" t="b">
        <f>IF(OR(Table1938[[#This Row],[Document Type]]="book",Table1938[[#This Row],[Document Type]]="bookSection"),TRUE,FALSE)</f>
        <v>1</v>
      </c>
      <c r="T633" s="2" t="b">
        <f>NOT(IF(OR(Table1938[[#This Row],[Language]]&lt;&gt;"en",Table1938[[#This Row],[Language]]&lt;&gt;"EN",Table1938[[#This Row],[Language]]&lt;&gt;"spa",Table1938[[#This Row],[Language]]&lt;&gt;"SPA"),TRUE,FALSE))</f>
        <v>0</v>
      </c>
      <c r="U633" s="2" t="b">
        <f>IF(AND(Table1938[[#This Row],[EC-01]]=FALSE,Table1938[[#This Row],[EC-02]]=FALSE,Table1938[[#This Row],[EC-03]]=FALSE,Table1938[[#This Row],[EC-04]]=FALSE,Table1938[[#This Row],[EC-05]]=FALSE,Table1938[[#This Row],[EC-06]]=FALSE),TRUE,FALSE)</f>
        <v>0</v>
      </c>
      <c r="V633" s="2" t="b">
        <f>IF(Table1938[[#This Row],[Date]]&lt;&gt;"",AND(YEAR(Table1938[[#This Row],[Date]])&gt;=2010, YEAR(Table1938[[#This Row],[Date]])&lt;=2024),FALSE)</f>
        <v>1</v>
      </c>
      <c r="W633" s="2" t="b">
        <f>IF(Table1938[[#This Row],[Date]]&lt;&gt;"",AND(YEAR(Table1938[[#This Row],[Date]])&gt;=2010, YEAR(Table1938[[#This Row],[Date]])&lt;=2020),FALSE)</f>
        <v>0</v>
      </c>
      <c r="X633" s="2" t="b">
        <f>IF(AND(Table1938[[#This Row],[Accesible]]=TRUE,Table1938[[#This Row],[DOI]]&lt;&gt;""),TRUE,FALSE)</f>
        <v>0</v>
      </c>
      <c r="Y633" s="2" t="b">
        <f>OR(Table1938[[#This Row],[Document Type]]="journalArticle",Table1938[[#This Row],[Document Type]]="conferencePaper",Table1938[[#This Row],[Document Type]]="review")</f>
        <v>0</v>
      </c>
      <c r="Z633" s="2" t="b" cm="1">
        <f t="array" ref="Z633">SUMPRODUCT(--ISNUMBER(SEARCH({"dimensional analysis","dimensionless coefficients","Π","Pi","theorem","software","design","tools","development","architecture","similar"}, LOWER(Table1938[[#This Row],[Title]]))))&gt;0</f>
        <v>0</v>
      </c>
      <c r="AA633" s="2" t="b" cm="1">
        <f t="array" ref="AA633">SUMPRODUCT(--ISNUMBER(SEARCH({"dimensional analysis","dimensionless coefficients","Π","Pi","theorem","software","design","tools","development","architecture","similar"}, LOWER(Table1938[[#This Row],[Abstract]]))))&gt;0</f>
        <v>0</v>
      </c>
      <c r="AB633" s="2" t="b">
        <f>AND(OR(Table1938[[#This Row],[IC-01 @2024]:[IC-01 @2020]])=TRUE,Table1938[[#This Row],[IC-02]]=TRUE,Table1938[[#This Row],[IC-03]]=TRUE,Table1938[[#This Row],[IC-04]]=TRUE,Table1938[[#This Row],[IC-05]]=TRUE)</f>
        <v>0</v>
      </c>
      <c r="AC633" s="2" t="b">
        <f>AND(Table1938[[#This Row],[Pass-IC]]=TRUE,Table1938[[#This Row],[Pass-EC]]=TRUE)</f>
        <v>0</v>
      </c>
      <c r="AD633" s="2" t="b">
        <f>COUNTIF($D$25:D633, Table1938[[#This Row],[Title]]) = 1</f>
        <v>1</v>
      </c>
      <c r="AE633" s="2" t="b">
        <f>AND(Table1938[[#This Row],[IC + EC]:[Unique]])</f>
        <v>0</v>
      </c>
      <c r="AF633" s="2" t="b">
        <v>0</v>
      </c>
      <c r="AG633" s="2" t="b">
        <v>0</v>
      </c>
      <c r="AH633" s="2" t="b">
        <v>0</v>
      </c>
      <c r="AI633" s="2" t="b">
        <f>IF(AND(Table1938[[#This Row],[Double Check]]=TRUE,Table1938[[#This Row],[Inspected]]=TRUE,Table1938[[#This Row],[Relevant]]=TRUE),TRUE,FALSE)</f>
        <v>0</v>
      </c>
    </row>
    <row r="634" spans="1:35" ht="28.7" x14ac:dyDescent="0.5">
      <c r="A634" s="2">
        <v>633</v>
      </c>
      <c r="B634" s="20" t="s">
        <v>1</v>
      </c>
      <c r="C634" s="20" t="s">
        <v>3342</v>
      </c>
      <c r="D634" s="20" t="s">
        <v>807</v>
      </c>
      <c r="E634" s="20" t="s">
        <v>123</v>
      </c>
      <c r="F634" s="2" t="s">
        <v>123</v>
      </c>
      <c r="G634" s="20" t="s">
        <v>123</v>
      </c>
      <c r="H634" s="36">
        <v>44197</v>
      </c>
      <c r="I634" s="20">
        <v>2021</v>
      </c>
      <c r="J634" s="20" t="s">
        <v>63</v>
      </c>
      <c r="K634" s="20" t="s">
        <v>123</v>
      </c>
      <c r="L634" s="20" t="s">
        <v>642</v>
      </c>
      <c r="M634" s="20" t="s">
        <v>123</v>
      </c>
      <c r="N634" s="20" t="b">
        <v>0</v>
      </c>
      <c r="O634" s="2" t="b">
        <f>IF(Table1938[[#This Row],[Title]]="",TRUE,FALSE)</f>
        <v>0</v>
      </c>
      <c r="P634" s="2" t="b">
        <f>IF(Table1938[[#This Row],[Author]]="",TRUE,FALSE)</f>
        <v>1</v>
      </c>
      <c r="Q634" s="2" t="b">
        <f>IF(Table1938[[#This Row],[DOI]]&lt;&gt;"", FALSE,TRUE)</f>
        <v>1</v>
      </c>
      <c r="R634" s="2" t="b">
        <f>IF(Table1938[[#This Row],[Abstract]]="",TRUE,FALSE)</f>
        <v>1</v>
      </c>
      <c r="S634" s="2" t="b">
        <f>IF(OR(Table1938[[#This Row],[Document Type]]="book",Table1938[[#This Row],[Document Type]]="bookSection"),TRUE,FALSE)</f>
        <v>1</v>
      </c>
      <c r="T634" s="2" t="b">
        <f>NOT(IF(OR(Table1938[[#This Row],[Language]]&lt;&gt;"en",Table1938[[#This Row],[Language]]&lt;&gt;"EN",Table1938[[#This Row],[Language]]&lt;&gt;"spa",Table1938[[#This Row],[Language]]&lt;&gt;"SPA"),TRUE,FALSE))</f>
        <v>0</v>
      </c>
      <c r="U634" s="2" t="b">
        <f>IF(AND(Table1938[[#This Row],[EC-01]]=FALSE,Table1938[[#This Row],[EC-02]]=FALSE,Table1938[[#This Row],[EC-03]]=FALSE,Table1938[[#This Row],[EC-04]]=FALSE,Table1938[[#This Row],[EC-05]]=FALSE,Table1938[[#This Row],[EC-06]]=FALSE),TRUE,FALSE)</f>
        <v>0</v>
      </c>
      <c r="V634" s="2" t="b">
        <f>IF(Table1938[[#This Row],[Date]]&lt;&gt;"",AND(YEAR(Table1938[[#This Row],[Date]])&gt;=2010, YEAR(Table1938[[#This Row],[Date]])&lt;=2024),FALSE)</f>
        <v>1</v>
      </c>
      <c r="W634" s="2" t="b">
        <f>IF(Table1938[[#This Row],[Date]]&lt;&gt;"",AND(YEAR(Table1938[[#This Row],[Date]])&gt;=2010, YEAR(Table1938[[#This Row],[Date]])&lt;=2020),FALSE)</f>
        <v>0</v>
      </c>
      <c r="X634" s="2" t="b">
        <f>IF(AND(Table1938[[#This Row],[Accesible]]=TRUE,Table1938[[#This Row],[DOI]]&lt;&gt;""),TRUE,FALSE)</f>
        <v>0</v>
      </c>
      <c r="Y634" s="2" t="b">
        <f>OR(Table1938[[#This Row],[Document Type]]="journalArticle",Table1938[[#This Row],[Document Type]]="conferencePaper",Table1938[[#This Row],[Document Type]]="review")</f>
        <v>0</v>
      </c>
      <c r="Z634" s="2" t="b" cm="1">
        <f t="array" ref="Z634">SUMPRODUCT(--ISNUMBER(SEARCH({"dimensional analysis","dimensionless coefficients","Π","Pi","theorem","software","design","tools","development","architecture","similar"}, LOWER(Table1938[[#This Row],[Title]]))))&gt;0</f>
        <v>1</v>
      </c>
      <c r="AA634" s="2" t="b" cm="1">
        <f t="array" ref="AA634">SUMPRODUCT(--ISNUMBER(SEARCH({"dimensional analysis","dimensionless coefficients","Π","Pi","theorem","software","design","tools","development","architecture","similar"}, LOWER(Table1938[[#This Row],[Abstract]]))))&gt;0</f>
        <v>0</v>
      </c>
      <c r="AB634" s="2" t="b">
        <f>AND(OR(Table1938[[#This Row],[IC-01 @2024]:[IC-01 @2020]])=TRUE,Table1938[[#This Row],[IC-02]]=TRUE,Table1938[[#This Row],[IC-03]]=TRUE,Table1938[[#This Row],[IC-04]]=TRUE,Table1938[[#This Row],[IC-05]]=TRUE)</f>
        <v>0</v>
      </c>
      <c r="AC634" s="2" t="b">
        <f>AND(Table1938[[#This Row],[Pass-IC]]=TRUE,Table1938[[#This Row],[Pass-EC]]=TRUE)</f>
        <v>0</v>
      </c>
      <c r="AD634" s="2" t="b">
        <f>COUNTIF($D$25:D634, Table1938[[#This Row],[Title]]) = 1</f>
        <v>1</v>
      </c>
      <c r="AE634" s="2" t="b">
        <f>AND(Table1938[[#This Row],[IC + EC]:[Unique]])</f>
        <v>0</v>
      </c>
      <c r="AF634" s="2" t="b">
        <v>0</v>
      </c>
      <c r="AG634" s="2" t="b">
        <v>0</v>
      </c>
      <c r="AH634" s="2" t="b">
        <v>0</v>
      </c>
      <c r="AI634" s="2" t="b">
        <f>IF(AND(Table1938[[#This Row],[Double Check]]=TRUE,Table1938[[#This Row],[Inspected]]=TRUE,Table1938[[#This Row],[Relevant]]=TRUE),TRUE,FALSE)</f>
        <v>0</v>
      </c>
    </row>
    <row r="635" spans="1:35" ht="28.7" x14ac:dyDescent="0.5">
      <c r="A635" s="2">
        <v>634</v>
      </c>
      <c r="B635" s="20" t="s">
        <v>1</v>
      </c>
      <c r="C635" s="20" t="s">
        <v>3343</v>
      </c>
      <c r="D635" s="20" t="s">
        <v>161</v>
      </c>
      <c r="E635" s="20" t="s">
        <v>123</v>
      </c>
      <c r="F635" s="2" t="s">
        <v>123</v>
      </c>
      <c r="G635" s="20" t="s">
        <v>122</v>
      </c>
      <c r="H635" s="36">
        <v>44562</v>
      </c>
      <c r="I635" s="20">
        <v>2022</v>
      </c>
      <c r="J635" s="20" t="s">
        <v>688</v>
      </c>
      <c r="K635" s="20" t="s">
        <v>123</v>
      </c>
      <c r="L635" s="20" t="s">
        <v>642</v>
      </c>
      <c r="M635" s="20" t="s">
        <v>123</v>
      </c>
      <c r="N635" s="20" t="b">
        <v>0</v>
      </c>
      <c r="O635" s="2" t="b">
        <f>IF(Table1938[[#This Row],[Title]]="",TRUE,FALSE)</f>
        <v>0</v>
      </c>
      <c r="P635" s="2" t="b">
        <f>IF(Table1938[[#This Row],[Author]]="",TRUE,FALSE)</f>
        <v>1</v>
      </c>
      <c r="Q635" s="2" t="b">
        <f>IF(Table1938[[#This Row],[DOI]]&lt;&gt;"", FALSE,TRUE)</f>
        <v>1</v>
      </c>
      <c r="R635" s="2" t="b">
        <f>IF(Table1938[[#This Row],[Abstract]]="",TRUE,FALSE)</f>
        <v>1</v>
      </c>
      <c r="S635" s="2" t="b">
        <f>IF(OR(Table1938[[#This Row],[Document Type]]="book",Table1938[[#This Row],[Document Type]]="bookSection"),TRUE,FALSE)</f>
        <v>1</v>
      </c>
      <c r="T635" s="2" t="b">
        <f>NOT(IF(OR(Table1938[[#This Row],[Language]]&lt;&gt;"en",Table1938[[#This Row],[Language]]&lt;&gt;"EN",Table1938[[#This Row],[Language]]&lt;&gt;"spa",Table1938[[#This Row],[Language]]&lt;&gt;"SPA"),TRUE,FALSE))</f>
        <v>0</v>
      </c>
      <c r="U635" s="2" t="b">
        <f>IF(AND(Table1938[[#This Row],[EC-01]]=FALSE,Table1938[[#This Row],[EC-02]]=FALSE,Table1938[[#This Row],[EC-03]]=FALSE,Table1938[[#This Row],[EC-04]]=FALSE,Table1938[[#This Row],[EC-05]]=FALSE,Table1938[[#This Row],[EC-06]]=FALSE),TRUE,FALSE)</f>
        <v>0</v>
      </c>
      <c r="V635" s="2" t="b">
        <f>IF(Table1938[[#This Row],[Date]]&lt;&gt;"",AND(YEAR(Table1938[[#This Row],[Date]])&gt;=2010, YEAR(Table1938[[#This Row],[Date]])&lt;=2024),FALSE)</f>
        <v>1</v>
      </c>
      <c r="W635" s="2" t="b">
        <f>IF(Table1938[[#This Row],[Date]]&lt;&gt;"",AND(YEAR(Table1938[[#This Row],[Date]])&gt;=2010, YEAR(Table1938[[#This Row],[Date]])&lt;=2020),FALSE)</f>
        <v>0</v>
      </c>
      <c r="X635" s="2" t="b">
        <f>IF(AND(Table1938[[#This Row],[Accesible]]=TRUE,Table1938[[#This Row],[DOI]]&lt;&gt;""),TRUE,FALSE)</f>
        <v>0</v>
      </c>
      <c r="Y635" s="2" t="b">
        <f>OR(Table1938[[#This Row],[Document Type]]="journalArticle",Table1938[[#This Row],[Document Type]]="conferencePaper",Table1938[[#This Row],[Document Type]]="review")</f>
        <v>0</v>
      </c>
      <c r="Z635" s="2" t="b" cm="1">
        <f t="array" ref="Z635">SUMPRODUCT(--ISNUMBER(SEARCH({"dimensional analysis","dimensionless coefficients","Π","Pi","theorem","software","design","tools","development","architecture","similar"}, LOWER(Table1938[[#This Row],[Title]]))))&gt;0</f>
        <v>0</v>
      </c>
      <c r="AA635" s="2" t="b" cm="1">
        <f t="array" ref="AA635">SUMPRODUCT(--ISNUMBER(SEARCH({"dimensional analysis","dimensionless coefficients","Π","Pi","theorem","software","design","tools","development","architecture","similar"}, LOWER(Table1938[[#This Row],[Abstract]]))))&gt;0</f>
        <v>0</v>
      </c>
      <c r="AB635" s="2" t="b">
        <f>AND(OR(Table1938[[#This Row],[IC-01 @2024]:[IC-01 @2020]])=TRUE,Table1938[[#This Row],[IC-02]]=TRUE,Table1938[[#This Row],[IC-03]]=TRUE,Table1938[[#This Row],[IC-04]]=TRUE,Table1938[[#This Row],[IC-05]]=TRUE)</f>
        <v>0</v>
      </c>
      <c r="AC635" s="2" t="b">
        <f>AND(Table1938[[#This Row],[Pass-IC]]=TRUE,Table1938[[#This Row],[Pass-EC]]=TRUE)</f>
        <v>0</v>
      </c>
      <c r="AD635" s="2" t="b">
        <f>COUNTIF($D$25:D635, Table1938[[#This Row],[Title]]) = 1</f>
        <v>1</v>
      </c>
      <c r="AE635" s="2" t="b">
        <f>AND(Table1938[[#This Row],[IC + EC]:[Unique]])</f>
        <v>0</v>
      </c>
      <c r="AF635" s="2" t="b">
        <v>0</v>
      </c>
      <c r="AG635" s="2" t="b">
        <v>0</v>
      </c>
      <c r="AH635" s="2" t="b">
        <v>0</v>
      </c>
      <c r="AI635" s="2" t="b">
        <f>IF(AND(Table1938[[#This Row],[Double Check]]=TRUE,Table1938[[#This Row],[Inspected]]=TRUE,Table1938[[#This Row],[Relevant]]=TRUE),TRUE,FALSE)</f>
        <v>0</v>
      </c>
    </row>
    <row r="636" spans="1:35" ht="43" x14ac:dyDescent="0.5">
      <c r="A636" s="2">
        <v>635</v>
      </c>
      <c r="B636" s="20" t="s">
        <v>1</v>
      </c>
      <c r="C636" s="20" t="s">
        <v>3344</v>
      </c>
      <c r="D636" s="20" t="s">
        <v>121</v>
      </c>
      <c r="E636" s="20" t="s">
        <v>767</v>
      </c>
      <c r="F636" s="2" t="s">
        <v>123</v>
      </c>
      <c r="G636" s="20" t="s">
        <v>123</v>
      </c>
      <c r="H636" s="36">
        <v>44562</v>
      </c>
      <c r="I636" s="20">
        <v>2022</v>
      </c>
      <c r="J636" s="20" t="s">
        <v>63</v>
      </c>
      <c r="K636" s="20" t="s">
        <v>123</v>
      </c>
      <c r="L636" s="20" t="s">
        <v>642</v>
      </c>
      <c r="M636" s="20" t="s">
        <v>123</v>
      </c>
      <c r="N636" s="20" t="b">
        <v>0</v>
      </c>
      <c r="O636" s="2" t="b">
        <f>IF(Table1938[[#This Row],[Title]]="",TRUE,FALSE)</f>
        <v>0</v>
      </c>
      <c r="P636" s="2" t="b">
        <f>IF(Table1938[[#This Row],[Author]]="",TRUE,FALSE)</f>
        <v>0</v>
      </c>
      <c r="Q636" s="2" t="b">
        <f>IF(Table1938[[#This Row],[DOI]]&lt;&gt;"", FALSE,TRUE)</f>
        <v>1</v>
      </c>
      <c r="R636" s="2" t="b">
        <f>IF(Table1938[[#This Row],[Abstract]]="",TRUE,FALSE)</f>
        <v>1</v>
      </c>
      <c r="S636" s="2" t="b">
        <f>IF(OR(Table1938[[#This Row],[Document Type]]="book",Table1938[[#This Row],[Document Type]]="bookSection"),TRUE,FALSE)</f>
        <v>1</v>
      </c>
      <c r="T636" s="2" t="b">
        <f>NOT(IF(OR(Table1938[[#This Row],[Language]]&lt;&gt;"en",Table1938[[#This Row],[Language]]&lt;&gt;"EN",Table1938[[#This Row],[Language]]&lt;&gt;"spa",Table1938[[#This Row],[Language]]&lt;&gt;"SPA"),TRUE,FALSE))</f>
        <v>0</v>
      </c>
      <c r="U636" s="2" t="b">
        <f>IF(AND(Table1938[[#This Row],[EC-01]]=FALSE,Table1938[[#This Row],[EC-02]]=FALSE,Table1938[[#This Row],[EC-03]]=FALSE,Table1938[[#This Row],[EC-04]]=FALSE,Table1938[[#This Row],[EC-05]]=FALSE,Table1938[[#This Row],[EC-06]]=FALSE),TRUE,FALSE)</f>
        <v>0</v>
      </c>
      <c r="V636" s="2" t="b">
        <f>IF(Table1938[[#This Row],[Date]]&lt;&gt;"",AND(YEAR(Table1938[[#This Row],[Date]])&gt;=2010, YEAR(Table1938[[#This Row],[Date]])&lt;=2024),FALSE)</f>
        <v>1</v>
      </c>
      <c r="W636" s="2" t="b">
        <f>IF(Table1938[[#This Row],[Date]]&lt;&gt;"",AND(YEAR(Table1938[[#This Row],[Date]])&gt;=2010, YEAR(Table1938[[#This Row],[Date]])&lt;=2020),FALSE)</f>
        <v>0</v>
      </c>
      <c r="X636" s="2" t="b">
        <f>IF(AND(Table1938[[#This Row],[Accesible]]=TRUE,Table1938[[#This Row],[DOI]]&lt;&gt;""),TRUE,FALSE)</f>
        <v>0</v>
      </c>
      <c r="Y636" s="2" t="b">
        <f>OR(Table1938[[#This Row],[Document Type]]="journalArticle",Table1938[[#This Row],[Document Type]]="conferencePaper",Table1938[[#This Row],[Document Type]]="review")</f>
        <v>0</v>
      </c>
      <c r="Z636" s="2" t="b" cm="1">
        <f t="array" ref="Z636">SUMPRODUCT(--ISNUMBER(SEARCH({"dimensional analysis","dimensionless coefficients","Π","Pi","theorem","software","design","tools","development","architecture","similar"}, LOWER(Table1938[[#This Row],[Title]]))))&gt;0</f>
        <v>1</v>
      </c>
      <c r="AA636" s="2" t="b" cm="1">
        <f t="array" ref="AA636">SUMPRODUCT(--ISNUMBER(SEARCH({"dimensional analysis","dimensionless coefficients","Π","Pi","theorem","software","design","tools","development","architecture","similar"}, LOWER(Table1938[[#This Row],[Abstract]]))))&gt;0</f>
        <v>0</v>
      </c>
      <c r="AB636" s="2" t="b">
        <f>AND(OR(Table1938[[#This Row],[IC-01 @2024]:[IC-01 @2020]])=TRUE,Table1938[[#This Row],[IC-02]]=TRUE,Table1938[[#This Row],[IC-03]]=TRUE,Table1938[[#This Row],[IC-04]]=TRUE,Table1938[[#This Row],[IC-05]]=TRUE)</f>
        <v>0</v>
      </c>
      <c r="AC636" s="2" t="b">
        <f>AND(Table1938[[#This Row],[Pass-IC]]=TRUE,Table1938[[#This Row],[Pass-EC]]=TRUE)</f>
        <v>0</v>
      </c>
      <c r="AD636" s="2" t="b">
        <f>COUNTIF($D$25:D636, Table1938[[#This Row],[Title]]) = 1</f>
        <v>1</v>
      </c>
      <c r="AE636" s="2" t="b">
        <f>AND(Table1938[[#This Row],[IC + EC]:[Unique]])</f>
        <v>0</v>
      </c>
      <c r="AF636" s="2" t="b">
        <v>0</v>
      </c>
      <c r="AG636" s="2" t="b">
        <v>0</v>
      </c>
      <c r="AH636" s="2" t="b">
        <v>0</v>
      </c>
      <c r="AI636" s="2" t="b">
        <f>IF(AND(Table1938[[#This Row],[Double Check]]=TRUE,Table1938[[#This Row],[Inspected]]=TRUE,Table1938[[#This Row],[Relevant]]=TRUE),TRUE,FALSE)</f>
        <v>0</v>
      </c>
    </row>
    <row r="637" spans="1:35" ht="57.35" x14ac:dyDescent="0.5">
      <c r="A637" s="2">
        <v>636</v>
      </c>
      <c r="B637" s="20" t="s">
        <v>1</v>
      </c>
      <c r="C637" s="20" t="s">
        <v>3345</v>
      </c>
      <c r="D637" s="20" t="s">
        <v>737</v>
      </c>
      <c r="E637" s="20" t="s">
        <v>736</v>
      </c>
      <c r="F637" s="2" t="s">
        <v>740</v>
      </c>
      <c r="G637" s="20" t="s">
        <v>738</v>
      </c>
      <c r="H637" s="36">
        <v>45536</v>
      </c>
      <c r="I637" s="20">
        <v>2024</v>
      </c>
      <c r="J637" s="20" t="s">
        <v>61</v>
      </c>
      <c r="K637" s="20" t="s">
        <v>123</v>
      </c>
      <c r="L637" s="20" t="s">
        <v>642</v>
      </c>
      <c r="M637" s="20" t="s">
        <v>739</v>
      </c>
      <c r="N637" s="20" t="b">
        <v>1</v>
      </c>
      <c r="O637" s="2" t="b">
        <f>IF(Table1938[[#This Row],[Title]]="",TRUE,FALSE)</f>
        <v>0</v>
      </c>
      <c r="P637" s="2" t="b">
        <f>IF(Table1938[[#This Row],[Author]]="",TRUE,FALSE)</f>
        <v>0</v>
      </c>
      <c r="Q637" s="2" t="b">
        <f>IF(Table1938[[#This Row],[DOI]]&lt;&gt;"", FALSE,TRUE)</f>
        <v>0</v>
      </c>
      <c r="R637" s="2" t="b">
        <f>IF(Table1938[[#This Row],[Abstract]]="",TRUE,FALSE)</f>
        <v>0</v>
      </c>
      <c r="S637" s="2" t="b">
        <f>IF(OR(Table1938[[#This Row],[Document Type]]="book",Table1938[[#This Row],[Document Type]]="bookSection"),TRUE,FALSE)</f>
        <v>0</v>
      </c>
      <c r="T637" s="2" t="b">
        <f>NOT(IF(OR(Table1938[[#This Row],[Language]]&lt;&gt;"en",Table1938[[#This Row],[Language]]&lt;&gt;"EN",Table1938[[#This Row],[Language]]&lt;&gt;"spa",Table1938[[#This Row],[Language]]&lt;&gt;"SPA"),TRUE,FALSE))</f>
        <v>0</v>
      </c>
      <c r="U637" s="2" t="b">
        <f>IF(AND(Table1938[[#This Row],[EC-01]]=FALSE,Table1938[[#This Row],[EC-02]]=FALSE,Table1938[[#This Row],[EC-03]]=FALSE,Table1938[[#This Row],[EC-04]]=FALSE,Table1938[[#This Row],[EC-05]]=FALSE,Table1938[[#This Row],[EC-06]]=FALSE),TRUE,FALSE)</f>
        <v>1</v>
      </c>
      <c r="V637" s="2" t="b">
        <f>IF(Table1938[[#This Row],[Date]]&lt;&gt;"",AND(YEAR(Table1938[[#This Row],[Date]])&gt;=2010, YEAR(Table1938[[#This Row],[Date]])&lt;=2024),FALSE)</f>
        <v>1</v>
      </c>
      <c r="W637" s="2" t="b">
        <f>IF(Table1938[[#This Row],[Date]]&lt;&gt;"",AND(YEAR(Table1938[[#This Row],[Date]])&gt;=2010, YEAR(Table1938[[#This Row],[Date]])&lt;=2020),FALSE)</f>
        <v>0</v>
      </c>
      <c r="X637" s="2" t="b">
        <f>IF(AND(Table1938[[#This Row],[Accesible]]=TRUE,Table1938[[#This Row],[DOI]]&lt;&gt;""),TRUE,FALSE)</f>
        <v>1</v>
      </c>
      <c r="Y637" s="2" t="b">
        <f>OR(Table1938[[#This Row],[Document Type]]="journalArticle",Table1938[[#This Row],[Document Type]]="conferencePaper",Table1938[[#This Row],[Document Type]]="review")</f>
        <v>1</v>
      </c>
      <c r="Z637" s="2" t="b" cm="1">
        <f t="array" ref="Z637">SUMPRODUCT(--ISNUMBER(SEARCH({"dimensional analysis","dimensionless coefficients","Π","Pi","theorem","software","design","tools","development","architecture","similar"}, LOWER(Table1938[[#This Row],[Title]]))))&gt;0</f>
        <v>0</v>
      </c>
      <c r="AA637" s="2" t="b" cm="1">
        <f t="array" ref="AA637">SUMPRODUCT(--ISNUMBER(SEARCH({"dimensional analysis","dimensionless coefficients","Π","Pi","theorem","software","design","tools","development","architecture","similar"}, LOWER(Table1938[[#This Row],[Abstract]]))))&gt;0</f>
        <v>1</v>
      </c>
      <c r="AB637" s="2" t="b">
        <f>AND(OR(Table1938[[#This Row],[IC-01 @2024]:[IC-01 @2020]])=TRUE,Table1938[[#This Row],[IC-02]]=TRUE,Table1938[[#This Row],[IC-03]]=TRUE,Table1938[[#This Row],[IC-04]]=TRUE,Table1938[[#This Row],[IC-05]]=TRUE)</f>
        <v>0</v>
      </c>
      <c r="AC637" s="2" t="b">
        <f>AND(Table1938[[#This Row],[Pass-IC]]=TRUE,Table1938[[#This Row],[Pass-EC]]=TRUE)</f>
        <v>0</v>
      </c>
      <c r="AD637" s="2" t="b">
        <f>COUNTIF($D$25:D637, Table1938[[#This Row],[Title]]) = 1</f>
        <v>1</v>
      </c>
      <c r="AE637" s="2" t="b">
        <f>AND(Table1938[[#This Row],[IC + EC]:[Unique]])</f>
        <v>0</v>
      </c>
      <c r="AF637" s="2" t="b">
        <v>0</v>
      </c>
      <c r="AG637" s="2" t="b">
        <v>0</v>
      </c>
      <c r="AH637" s="2" t="b">
        <v>0</v>
      </c>
      <c r="AI637" s="2" t="b">
        <f>IF(AND(Table1938[[#This Row],[Double Check]]=TRUE,Table1938[[#This Row],[Inspected]]=TRUE,Table1938[[#This Row],[Relevant]]=TRUE),TRUE,FALSE)</f>
        <v>0</v>
      </c>
    </row>
    <row r="638" spans="1:35" ht="57.35" x14ac:dyDescent="0.5">
      <c r="A638" s="2">
        <v>637</v>
      </c>
      <c r="B638" s="20" t="s">
        <v>1</v>
      </c>
      <c r="C638" s="20" t="s">
        <v>3346</v>
      </c>
      <c r="D638" s="20" t="s">
        <v>742</v>
      </c>
      <c r="E638" s="20" t="s">
        <v>741</v>
      </c>
      <c r="F638" s="2" t="s">
        <v>745</v>
      </c>
      <c r="G638" s="20" t="s">
        <v>743</v>
      </c>
      <c r="H638" s="36">
        <v>45261</v>
      </c>
      <c r="I638" s="20">
        <v>2023</v>
      </c>
      <c r="J638" s="20" t="s">
        <v>61</v>
      </c>
      <c r="K638" s="20" t="s">
        <v>123</v>
      </c>
      <c r="L638" s="20" t="s">
        <v>642</v>
      </c>
      <c r="M638" s="20" t="s">
        <v>744</v>
      </c>
      <c r="N638" s="20" t="b">
        <v>1</v>
      </c>
      <c r="O638" s="2" t="b">
        <f>IF(Table1938[[#This Row],[Title]]="",TRUE,FALSE)</f>
        <v>0</v>
      </c>
      <c r="P638" s="2" t="b">
        <f>IF(Table1938[[#This Row],[Author]]="",TRUE,FALSE)</f>
        <v>0</v>
      </c>
      <c r="Q638" s="2" t="b">
        <f>IF(Table1938[[#This Row],[DOI]]&lt;&gt;"", FALSE,TRUE)</f>
        <v>0</v>
      </c>
      <c r="R638" s="2" t="b">
        <f>IF(Table1938[[#This Row],[Abstract]]="",TRUE,FALSE)</f>
        <v>0</v>
      </c>
      <c r="S638" s="2" t="b">
        <f>IF(OR(Table1938[[#This Row],[Document Type]]="book",Table1938[[#This Row],[Document Type]]="bookSection"),TRUE,FALSE)</f>
        <v>0</v>
      </c>
      <c r="T638" s="2" t="b">
        <f>NOT(IF(OR(Table1938[[#This Row],[Language]]&lt;&gt;"en",Table1938[[#This Row],[Language]]&lt;&gt;"EN",Table1938[[#This Row],[Language]]&lt;&gt;"spa",Table1938[[#This Row],[Language]]&lt;&gt;"SPA"),TRUE,FALSE))</f>
        <v>0</v>
      </c>
      <c r="U638" s="2" t="b">
        <f>IF(AND(Table1938[[#This Row],[EC-01]]=FALSE,Table1938[[#This Row],[EC-02]]=FALSE,Table1938[[#This Row],[EC-03]]=FALSE,Table1938[[#This Row],[EC-04]]=FALSE,Table1938[[#This Row],[EC-05]]=FALSE,Table1938[[#This Row],[EC-06]]=FALSE),TRUE,FALSE)</f>
        <v>1</v>
      </c>
      <c r="V638" s="2" t="b">
        <f>IF(Table1938[[#This Row],[Date]]&lt;&gt;"",AND(YEAR(Table1938[[#This Row],[Date]])&gt;=2010, YEAR(Table1938[[#This Row],[Date]])&lt;=2024),FALSE)</f>
        <v>1</v>
      </c>
      <c r="W638" s="2" t="b">
        <f>IF(Table1938[[#This Row],[Date]]&lt;&gt;"",AND(YEAR(Table1938[[#This Row],[Date]])&gt;=2010, YEAR(Table1938[[#This Row],[Date]])&lt;=2020),FALSE)</f>
        <v>0</v>
      </c>
      <c r="X638" s="2" t="b">
        <f>IF(AND(Table1938[[#This Row],[Accesible]]=TRUE,Table1938[[#This Row],[DOI]]&lt;&gt;""),TRUE,FALSE)</f>
        <v>1</v>
      </c>
      <c r="Y638" s="2" t="b">
        <f>OR(Table1938[[#This Row],[Document Type]]="journalArticle",Table1938[[#This Row],[Document Type]]="conferencePaper",Table1938[[#This Row],[Document Type]]="review")</f>
        <v>1</v>
      </c>
      <c r="Z638" s="2" t="b" cm="1">
        <f t="array" ref="Z638">SUMPRODUCT(--ISNUMBER(SEARCH({"dimensional analysis","dimensionless coefficients","Π","Pi","theorem","software","design","tools","development","architecture","similar"}, LOWER(Table1938[[#This Row],[Title]]))))&gt;0</f>
        <v>0</v>
      </c>
      <c r="AA638" s="2" t="b" cm="1">
        <f t="array" ref="AA638">SUMPRODUCT(--ISNUMBER(SEARCH({"dimensional analysis","dimensionless coefficients","Π","Pi","theorem","software","design","tools","development","architecture","similar"}, LOWER(Table1938[[#This Row],[Abstract]]))))&gt;0</f>
        <v>1</v>
      </c>
      <c r="AB638" s="2" t="b">
        <f>AND(OR(Table1938[[#This Row],[IC-01 @2024]:[IC-01 @2020]])=TRUE,Table1938[[#This Row],[IC-02]]=TRUE,Table1938[[#This Row],[IC-03]]=TRUE,Table1938[[#This Row],[IC-04]]=TRUE,Table1938[[#This Row],[IC-05]]=TRUE)</f>
        <v>0</v>
      </c>
      <c r="AC638" s="2" t="b">
        <f>AND(Table1938[[#This Row],[Pass-IC]]=TRUE,Table1938[[#This Row],[Pass-EC]]=TRUE)</f>
        <v>0</v>
      </c>
      <c r="AD638" s="2" t="b">
        <f>COUNTIF($D$25:D638, Table1938[[#This Row],[Title]]) = 1</f>
        <v>1</v>
      </c>
      <c r="AE638" s="2" t="b">
        <f>AND(Table1938[[#This Row],[IC + EC]:[Unique]])</f>
        <v>0</v>
      </c>
      <c r="AF638" s="2" t="b">
        <v>0</v>
      </c>
      <c r="AG638" s="2" t="b">
        <v>0</v>
      </c>
      <c r="AH638" s="2" t="b">
        <v>0</v>
      </c>
      <c r="AI638" s="2" t="b">
        <f>IF(AND(Table1938[[#This Row],[Double Check]]=TRUE,Table1938[[#This Row],[Inspected]]=TRUE,Table1938[[#This Row],[Relevant]]=TRUE),TRUE,FALSE)</f>
        <v>0</v>
      </c>
    </row>
    <row r="639" spans="1:35" ht="43" x14ac:dyDescent="0.5">
      <c r="A639" s="2">
        <v>638</v>
      </c>
      <c r="B639" s="20" t="s">
        <v>1</v>
      </c>
      <c r="C639" s="20" t="s">
        <v>3347</v>
      </c>
      <c r="D639" s="20" t="s">
        <v>286</v>
      </c>
      <c r="E639" s="20" t="s">
        <v>123</v>
      </c>
      <c r="F639" s="2" t="s">
        <v>123</v>
      </c>
      <c r="G639" s="20" t="s">
        <v>173</v>
      </c>
      <c r="H639" s="36">
        <v>44562</v>
      </c>
      <c r="I639" s="20">
        <v>2022</v>
      </c>
      <c r="J639" s="20" t="s">
        <v>688</v>
      </c>
      <c r="K639" s="20" t="s">
        <v>123</v>
      </c>
      <c r="L639" s="20" t="s">
        <v>642</v>
      </c>
      <c r="M639" s="20" t="s">
        <v>123</v>
      </c>
      <c r="N639" s="20" t="b">
        <v>0</v>
      </c>
      <c r="O639" s="2" t="b">
        <f>IF(Table1938[[#This Row],[Title]]="",TRUE,FALSE)</f>
        <v>0</v>
      </c>
      <c r="P639" s="2" t="b">
        <f>IF(Table1938[[#This Row],[Author]]="",TRUE,FALSE)</f>
        <v>1</v>
      </c>
      <c r="Q639" s="2" t="b">
        <f>IF(Table1938[[#This Row],[DOI]]&lt;&gt;"", FALSE,TRUE)</f>
        <v>1</v>
      </c>
      <c r="R639" s="2" t="b">
        <f>IF(Table1938[[#This Row],[Abstract]]="",TRUE,FALSE)</f>
        <v>1</v>
      </c>
      <c r="S639" s="2" t="b">
        <f>IF(OR(Table1938[[#This Row],[Document Type]]="book",Table1938[[#This Row],[Document Type]]="bookSection"),TRUE,FALSE)</f>
        <v>1</v>
      </c>
      <c r="T639" s="2" t="b">
        <f>NOT(IF(OR(Table1938[[#This Row],[Language]]&lt;&gt;"en",Table1938[[#This Row],[Language]]&lt;&gt;"EN",Table1938[[#This Row],[Language]]&lt;&gt;"spa",Table1938[[#This Row],[Language]]&lt;&gt;"SPA"),TRUE,FALSE))</f>
        <v>0</v>
      </c>
      <c r="U639" s="2" t="b">
        <f>IF(AND(Table1938[[#This Row],[EC-01]]=FALSE,Table1938[[#This Row],[EC-02]]=FALSE,Table1938[[#This Row],[EC-03]]=FALSE,Table1938[[#This Row],[EC-04]]=FALSE,Table1938[[#This Row],[EC-05]]=FALSE,Table1938[[#This Row],[EC-06]]=FALSE),TRUE,FALSE)</f>
        <v>0</v>
      </c>
      <c r="V639" s="2" t="b">
        <f>IF(Table1938[[#This Row],[Date]]&lt;&gt;"",AND(YEAR(Table1938[[#This Row],[Date]])&gt;=2010, YEAR(Table1938[[#This Row],[Date]])&lt;=2024),FALSE)</f>
        <v>1</v>
      </c>
      <c r="W639" s="2" t="b">
        <f>IF(Table1938[[#This Row],[Date]]&lt;&gt;"",AND(YEAR(Table1938[[#This Row],[Date]])&gt;=2010, YEAR(Table1938[[#This Row],[Date]])&lt;=2020),FALSE)</f>
        <v>0</v>
      </c>
      <c r="X639" s="2" t="b">
        <f>IF(AND(Table1938[[#This Row],[Accesible]]=TRUE,Table1938[[#This Row],[DOI]]&lt;&gt;""),TRUE,FALSE)</f>
        <v>0</v>
      </c>
      <c r="Y639" s="2" t="b">
        <f>OR(Table1938[[#This Row],[Document Type]]="journalArticle",Table1938[[#This Row],[Document Type]]="conferencePaper",Table1938[[#This Row],[Document Type]]="review")</f>
        <v>0</v>
      </c>
      <c r="Z639" s="2" t="b" cm="1">
        <f t="array" ref="Z639">SUMPRODUCT(--ISNUMBER(SEARCH({"dimensional analysis","dimensionless coefficients","Π","Pi","theorem","software","design","tools","development","architecture","similar"}, LOWER(Table1938[[#This Row],[Title]]))))&gt;0</f>
        <v>0</v>
      </c>
      <c r="AA639" s="2" t="b" cm="1">
        <f t="array" ref="AA639">SUMPRODUCT(--ISNUMBER(SEARCH({"dimensional analysis","dimensionless coefficients","Π","Pi","theorem","software","design","tools","development","architecture","similar"}, LOWER(Table1938[[#This Row],[Abstract]]))))&gt;0</f>
        <v>0</v>
      </c>
      <c r="AB639" s="2" t="b">
        <f>AND(OR(Table1938[[#This Row],[IC-01 @2024]:[IC-01 @2020]])=TRUE,Table1938[[#This Row],[IC-02]]=TRUE,Table1938[[#This Row],[IC-03]]=TRUE,Table1938[[#This Row],[IC-04]]=TRUE,Table1938[[#This Row],[IC-05]]=TRUE)</f>
        <v>0</v>
      </c>
      <c r="AC639" s="2" t="b">
        <f>AND(Table1938[[#This Row],[Pass-IC]]=TRUE,Table1938[[#This Row],[Pass-EC]]=TRUE)</f>
        <v>0</v>
      </c>
      <c r="AD639" s="2" t="b">
        <f>COUNTIF($D$25:D639, Table1938[[#This Row],[Title]]) = 1</f>
        <v>1</v>
      </c>
      <c r="AE639" s="2" t="b">
        <f>AND(Table1938[[#This Row],[IC + EC]:[Unique]])</f>
        <v>0</v>
      </c>
      <c r="AF639" s="2" t="b">
        <v>0</v>
      </c>
      <c r="AG639" s="2" t="b">
        <v>0</v>
      </c>
      <c r="AH639" s="2" t="b">
        <v>0</v>
      </c>
      <c r="AI639" s="2" t="b">
        <f>IF(AND(Table1938[[#This Row],[Double Check]]=TRUE,Table1938[[#This Row],[Inspected]]=TRUE,Table1938[[#This Row],[Relevant]]=TRUE),TRUE,FALSE)</f>
        <v>0</v>
      </c>
    </row>
    <row r="640" spans="1:35" ht="28.7" x14ac:dyDescent="0.5">
      <c r="A640" s="2">
        <v>639</v>
      </c>
      <c r="B640" s="20" t="s">
        <v>1</v>
      </c>
      <c r="C640" s="20" t="s">
        <v>3348</v>
      </c>
      <c r="D640" s="20" t="s">
        <v>172</v>
      </c>
      <c r="E640" s="20" t="s">
        <v>833</v>
      </c>
      <c r="F640" s="2" t="s">
        <v>123</v>
      </c>
      <c r="G640" s="20" t="s">
        <v>123</v>
      </c>
      <c r="H640" s="36">
        <v>44562</v>
      </c>
      <c r="I640" s="20">
        <v>2022</v>
      </c>
      <c r="J640" s="20" t="s">
        <v>63</v>
      </c>
      <c r="K640" s="20" t="s">
        <v>123</v>
      </c>
      <c r="L640" s="20" t="s">
        <v>642</v>
      </c>
      <c r="M640" s="20" t="s">
        <v>123</v>
      </c>
      <c r="N640" s="20" t="b">
        <v>0</v>
      </c>
      <c r="O640" s="2" t="b">
        <f>IF(Table1938[[#This Row],[Title]]="",TRUE,FALSE)</f>
        <v>0</v>
      </c>
      <c r="P640" s="2" t="b">
        <f>IF(Table1938[[#This Row],[Author]]="",TRUE,FALSE)</f>
        <v>0</v>
      </c>
      <c r="Q640" s="2" t="b">
        <f>IF(Table1938[[#This Row],[DOI]]&lt;&gt;"", FALSE,TRUE)</f>
        <v>1</v>
      </c>
      <c r="R640" s="2" t="b">
        <f>IF(Table1938[[#This Row],[Abstract]]="",TRUE,FALSE)</f>
        <v>1</v>
      </c>
      <c r="S640" s="2" t="b">
        <f>IF(OR(Table1938[[#This Row],[Document Type]]="book",Table1938[[#This Row],[Document Type]]="bookSection"),TRUE,FALSE)</f>
        <v>1</v>
      </c>
      <c r="T640" s="2" t="b">
        <f>NOT(IF(OR(Table1938[[#This Row],[Language]]&lt;&gt;"en",Table1938[[#This Row],[Language]]&lt;&gt;"EN",Table1938[[#This Row],[Language]]&lt;&gt;"spa",Table1938[[#This Row],[Language]]&lt;&gt;"SPA"),TRUE,FALSE))</f>
        <v>0</v>
      </c>
      <c r="U640" s="2" t="b">
        <f>IF(AND(Table1938[[#This Row],[EC-01]]=FALSE,Table1938[[#This Row],[EC-02]]=FALSE,Table1938[[#This Row],[EC-03]]=FALSE,Table1938[[#This Row],[EC-04]]=FALSE,Table1938[[#This Row],[EC-05]]=FALSE,Table1938[[#This Row],[EC-06]]=FALSE),TRUE,FALSE)</f>
        <v>0</v>
      </c>
      <c r="V640" s="2" t="b">
        <f>IF(Table1938[[#This Row],[Date]]&lt;&gt;"",AND(YEAR(Table1938[[#This Row],[Date]])&gt;=2010, YEAR(Table1938[[#This Row],[Date]])&lt;=2024),FALSE)</f>
        <v>1</v>
      </c>
      <c r="W640" s="2" t="b">
        <f>IF(Table1938[[#This Row],[Date]]&lt;&gt;"",AND(YEAR(Table1938[[#This Row],[Date]])&gt;=2010, YEAR(Table1938[[#This Row],[Date]])&lt;=2020),FALSE)</f>
        <v>0</v>
      </c>
      <c r="X640" s="2" t="b">
        <f>IF(AND(Table1938[[#This Row],[Accesible]]=TRUE,Table1938[[#This Row],[DOI]]&lt;&gt;""),TRUE,FALSE)</f>
        <v>0</v>
      </c>
      <c r="Y640" s="2" t="b">
        <f>OR(Table1938[[#This Row],[Document Type]]="journalArticle",Table1938[[#This Row],[Document Type]]="conferencePaper",Table1938[[#This Row],[Document Type]]="review")</f>
        <v>0</v>
      </c>
      <c r="Z640" s="2" t="b" cm="1">
        <f t="array" ref="Z640">SUMPRODUCT(--ISNUMBER(SEARCH({"dimensional analysis","dimensionless coefficients","Π","Pi","theorem","software","design","tools","development","architecture","similar"}, LOWER(Table1938[[#This Row],[Title]]))))&gt;0</f>
        <v>0</v>
      </c>
      <c r="AA640" s="2" t="b" cm="1">
        <f t="array" ref="AA640">SUMPRODUCT(--ISNUMBER(SEARCH({"dimensional analysis","dimensionless coefficients","Π","Pi","theorem","software","design","tools","development","architecture","similar"}, LOWER(Table1938[[#This Row],[Abstract]]))))&gt;0</f>
        <v>0</v>
      </c>
      <c r="AB640" s="2" t="b">
        <f>AND(OR(Table1938[[#This Row],[IC-01 @2024]:[IC-01 @2020]])=TRUE,Table1938[[#This Row],[IC-02]]=TRUE,Table1938[[#This Row],[IC-03]]=TRUE,Table1938[[#This Row],[IC-04]]=TRUE,Table1938[[#This Row],[IC-05]]=TRUE)</f>
        <v>0</v>
      </c>
      <c r="AC640" s="2" t="b">
        <f>AND(Table1938[[#This Row],[Pass-IC]]=TRUE,Table1938[[#This Row],[Pass-EC]]=TRUE)</f>
        <v>0</v>
      </c>
      <c r="AD640" s="2" t="b">
        <f>COUNTIF($D$25:D640, Table1938[[#This Row],[Title]]) = 1</f>
        <v>1</v>
      </c>
      <c r="AE640" s="2" t="b">
        <f>AND(Table1938[[#This Row],[IC + EC]:[Unique]])</f>
        <v>0</v>
      </c>
      <c r="AF640" s="2" t="b">
        <v>0</v>
      </c>
      <c r="AG640" s="2" t="b">
        <v>0</v>
      </c>
      <c r="AH640" s="2" t="b">
        <v>0</v>
      </c>
      <c r="AI640" s="2" t="b">
        <f>IF(AND(Table1938[[#This Row],[Double Check]]=TRUE,Table1938[[#This Row],[Inspected]]=TRUE,Table1938[[#This Row],[Relevant]]=TRUE),TRUE,FALSE)</f>
        <v>0</v>
      </c>
    </row>
    <row r="641" spans="1:35" ht="43" x14ac:dyDescent="0.5">
      <c r="A641" s="2">
        <v>640</v>
      </c>
      <c r="B641" s="20" t="s">
        <v>1</v>
      </c>
      <c r="C641" s="20" t="s">
        <v>3349</v>
      </c>
      <c r="D641" s="20" t="s">
        <v>746</v>
      </c>
      <c r="E641" s="20" t="s">
        <v>123</v>
      </c>
      <c r="F641" s="2" t="s">
        <v>123</v>
      </c>
      <c r="G641" s="20" t="s">
        <v>117</v>
      </c>
      <c r="H641" s="36">
        <v>44927</v>
      </c>
      <c r="I641" s="20">
        <v>2023</v>
      </c>
      <c r="J641" s="20" t="s">
        <v>688</v>
      </c>
      <c r="K641" s="20" t="s">
        <v>123</v>
      </c>
      <c r="L641" s="20" t="s">
        <v>642</v>
      </c>
      <c r="M641" s="20" t="s">
        <v>123</v>
      </c>
      <c r="N641" s="20" t="b">
        <v>0</v>
      </c>
      <c r="O641" s="2" t="b">
        <f>IF(Table1938[[#This Row],[Title]]="",TRUE,FALSE)</f>
        <v>0</v>
      </c>
      <c r="P641" s="2" t="b">
        <f>IF(Table1938[[#This Row],[Author]]="",TRUE,FALSE)</f>
        <v>1</v>
      </c>
      <c r="Q641" s="2" t="b">
        <f>IF(Table1938[[#This Row],[DOI]]&lt;&gt;"", FALSE,TRUE)</f>
        <v>1</v>
      </c>
      <c r="R641" s="2" t="b">
        <f>IF(Table1938[[#This Row],[Abstract]]="",TRUE,FALSE)</f>
        <v>1</v>
      </c>
      <c r="S641" s="2" t="b">
        <f>IF(OR(Table1938[[#This Row],[Document Type]]="book",Table1938[[#This Row],[Document Type]]="bookSection"),TRUE,FALSE)</f>
        <v>1</v>
      </c>
      <c r="T641" s="2" t="b">
        <f>NOT(IF(OR(Table1938[[#This Row],[Language]]&lt;&gt;"en",Table1938[[#This Row],[Language]]&lt;&gt;"EN",Table1938[[#This Row],[Language]]&lt;&gt;"spa",Table1938[[#This Row],[Language]]&lt;&gt;"SPA"),TRUE,FALSE))</f>
        <v>0</v>
      </c>
      <c r="U641" s="2" t="b">
        <f>IF(AND(Table1938[[#This Row],[EC-01]]=FALSE,Table1938[[#This Row],[EC-02]]=FALSE,Table1938[[#This Row],[EC-03]]=FALSE,Table1938[[#This Row],[EC-04]]=FALSE,Table1938[[#This Row],[EC-05]]=FALSE,Table1938[[#This Row],[EC-06]]=FALSE),TRUE,FALSE)</f>
        <v>0</v>
      </c>
      <c r="V641" s="2" t="b">
        <f>IF(Table1938[[#This Row],[Date]]&lt;&gt;"",AND(YEAR(Table1938[[#This Row],[Date]])&gt;=2010, YEAR(Table1938[[#This Row],[Date]])&lt;=2024),FALSE)</f>
        <v>1</v>
      </c>
      <c r="W641" s="2" t="b">
        <f>IF(Table1938[[#This Row],[Date]]&lt;&gt;"",AND(YEAR(Table1938[[#This Row],[Date]])&gt;=2010, YEAR(Table1938[[#This Row],[Date]])&lt;=2020),FALSE)</f>
        <v>0</v>
      </c>
      <c r="X641" s="2" t="b">
        <f>IF(AND(Table1938[[#This Row],[Accesible]]=TRUE,Table1938[[#This Row],[DOI]]&lt;&gt;""),TRUE,FALSE)</f>
        <v>0</v>
      </c>
      <c r="Y641" s="2" t="b">
        <f>OR(Table1938[[#This Row],[Document Type]]="journalArticle",Table1938[[#This Row],[Document Type]]="conferencePaper",Table1938[[#This Row],[Document Type]]="review")</f>
        <v>0</v>
      </c>
      <c r="Z641" s="2" t="b" cm="1">
        <f t="array" ref="Z641">SUMPRODUCT(--ISNUMBER(SEARCH({"dimensional analysis","dimensionless coefficients","Π","Pi","theorem","software","design","tools","development","architecture","similar"}, LOWER(Table1938[[#This Row],[Title]]))))&gt;0</f>
        <v>0</v>
      </c>
      <c r="AA641" s="2" t="b" cm="1">
        <f t="array" ref="AA641">SUMPRODUCT(--ISNUMBER(SEARCH({"dimensional analysis","dimensionless coefficients","Π","Pi","theorem","software","design","tools","development","architecture","similar"}, LOWER(Table1938[[#This Row],[Abstract]]))))&gt;0</f>
        <v>0</v>
      </c>
      <c r="AB641" s="2" t="b">
        <f>AND(OR(Table1938[[#This Row],[IC-01 @2024]:[IC-01 @2020]])=TRUE,Table1938[[#This Row],[IC-02]]=TRUE,Table1938[[#This Row],[IC-03]]=TRUE,Table1938[[#This Row],[IC-04]]=TRUE,Table1938[[#This Row],[IC-05]]=TRUE)</f>
        <v>0</v>
      </c>
      <c r="AC641" s="2" t="b">
        <f>AND(Table1938[[#This Row],[Pass-IC]]=TRUE,Table1938[[#This Row],[Pass-EC]]=TRUE)</f>
        <v>0</v>
      </c>
      <c r="AD641" s="2" t="b">
        <f>COUNTIF($D$25:D641, Table1938[[#This Row],[Title]]) = 1</f>
        <v>1</v>
      </c>
      <c r="AE641" s="2" t="b">
        <f>AND(Table1938[[#This Row],[IC + EC]:[Unique]])</f>
        <v>0</v>
      </c>
      <c r="AF641" s="2" t="b">
        <v>0</v>
      </c>
      <c r="AG641" s="2" t="b">
        <v>0</v>
      </c>
      <c r="AH641" s="2" t="b">
        <v>0</v>
      </c>
      <c r="AI641" s="2" t="b">
        <f>IF(AND(Table1938[[#This Row],[Double Check]]=TRUE,Table1938[[#This Row],[Inspected]]=TRUE,Table1938[[#This Row],[Relevant]]=TRUE),TRUE,FALSE)</f>
        <v>0</v>
      </c>
    </row>
    <row r="642" spans="1:35" ht="43" x14ac:dyDescent="0.5">
      <c r="A642" s="2">
        <v>641</v>
      </c>
      <c r="B642" s="20" t="s">
        <v>1</v>
      </c>
      <c r="C642" s="20" t="s">
        <v>3350</v>
      </c>
      <c r="D642" s="20" t="s">
        <v>747</v>
      </c>
      <c r="E642" s="20" t="s">
        <v>123</v>
      </c>
      <c r="F642" s="2" t="s">
        <v>123</v>
      </c>
      <c r="G642" s="20" t="s">
        <v>123</v>
      </c>
      <c r="H642" s="36">
        <v>44927</v>
      </c>
      <c r="I642" s="20">
        <v>2023</v>
      </c>
      <c r="J642" s="20" t="s">
        <v>63</v>
      </c>
      <c r="K642" s="20" t="s">
        <v>123</v>
      </c>
      <c r="L642" s="20" t="s">
        <v>642</v>
      </c>
      <c r="M642" s="20" t="s">
        <v>123</v>
      </c>
      <c r="N642" s="20" t="b">
        <v>0</v>
      </c>
      <c r="O642" s="2" t="b">
        <f>IF(Table1938[[#This Row],[Title]]="",TRUE,FALSE)</f>
        <v>0</v>
      </c>
      <c r="P642" s="2" t="b">
        <f>IF(Table1938[[#This Row],[Author]]="",TRUE,FALSE)</f>
        <v>1</v>
      </c>
      <c r="Q642" s="2" t="b">
        <f>IF(Table1938[[#This Row],[DOI]]&lt;&gt;"", FALSE,TRUE)</f>
        <v>1</v>
      </c>
      <c r="R642" s="2" t="b">
        <f>IF(Table1938[[#This Row],[Abstract]]="",TRUE,FALSE)</f>
        <v>1</v>
      </c>
      <c r="S642" s="2" t="b">
        <f>IF(OR(Table1938[[#This Row],[Document Type]]="book",Table1938[[#This Row],[Document Type]]="bookSection"),TRUE,FALSE)</f>
        <v>1</v>
      </c>
      <c r="T642" s="2" t="b">
        <f>NOT(IF(OR(Table1938[[#This Row],[Language]]&lt;&gt;"en",Table1938[[#This Row],[Language]]&lt;&gt;"EN",Table1938[[#This Row],[Language]]&lt;&gt;"spa",Table1938[[#This Row],[Language]]&lt;&gt;"SPA"),TRUE,FALSE))</f>
        <v>0</v>
      </c>
      <c r="U642" s="2" t="b">
        <f>IF(AND(Table1938[[#This Row],[EC-01]]=FALSE,Table1938[[#This Row],[EC-02]]=FALSE,Table1938[[#This Row],[EC-03]]=FALSE,Table1938[[#This Row],[EC-04]]=FALSE,Table1938[[#This Row],[EC-05]]=FALSE,Table1938[[#This Row],[EC-06]]=FALSE),TRUE,FALSE)</f>
        <v>0</v>
      </c>
      <c r="V642" s="2" t="b">
        <f>IF(Table1938[[#This Row],[Date]]&lt;&gt;"",AND(YEAR(Table1938[[#This Row],[Date]])&gt;=2010, YEAR(Table1938[[#This Row],[Date]])&lt;=2024),FALSE)</f>
        <v>1</v>
      </c>
      <c r="W642" s="2" t="b">
        <f>IF(Table1938[[#This Row],[Date]]&lt;&gt;"",AND(YEAR(Table1938[[#This Row],[Date]])&gt;=2010, YEAR(Table1938[[#This Row],[Date]])&lt;=2020),FALSE)</f>
        <v>0</v>
      </c>
      <c r="X642" s="2" t="b">
        <f>IF(AND(Table1938[[#This Row],[Accesible]]=TRUE,Table1938[[#This Row],[DOI]]&lt;&gt;""),TRUE,FALSE)</f>
        <v>0</v>
      </c>
      <c r="Y642" s="2" t="b">
        <f>OR(Table1938[[#This Row],[Document Type]]="journalArticle",Table1938[[#This Row],[Document Type]]="conferencePaper",Table1938[[#This Row],[Document Type]]="review")</f>
        <v>0</v>
      </c>
      <c r="Z642" s="2" t="b" cm="1">
        <f t="array" ref="Z642">SUMPRODUCT(--ISNUMBER(SEARCH({"dimensional analysis","dimensionless coefficients","Π","Pi","theorem","software","design","tools","development","architecture","similar"}, LOWER(Table1938[[#This Row],[Title]]))))&gt;0</f>
        <v>0</v>
      </c>
      <c r="AA642" s="2" t="b" cm="1">
        <f t="array" ref="AA642">SUMPRODUCT(--ISNUMBER(SEARCH({"dimensional analysis","dimensionless coefficients","Π","Pi","theorem","software","design","tools","development","architecture","similar"}, LOWER(Table1938[[#This Row],[Abstract]]))))&gt;0</f>
        <v>0</v>
      </c>
      <c r="AB642" s="2" t="b">
        <f>AND(OR(Table1938[[#This Row],[IC-01 @2024]:[IC-01 @2020]])=TRUE,Table1938[[#This Row],[IC-02]]=TRUE,Table1938[[#This Row],[IC-03]]=TRUE,Table1938[[#This Row],[IC-04]]=TRUE,Table1938[[#This Row],[IC-05]]=TRUE)</f>
        <v>0</v>
      </c>
      <c r="AC642" s="2" t="b">
        <f>AND(Table1938[[#This Row],[Pass-IC]]=TRUE,Table1938[[#This Row],[Pass-EC]]=TRUE)</f>
        <v>0</v>
      </c>
      <c r="AD642" s="2" t="b">
        <f>COUNTIF($D$25:D642, Table1938[[#This Row],[Title]]) = 1</f>
        <v>1</v>
      </c>
      <c r="AE642" s="2" t="b">
        <f>AND(Table1938[[#This Row],[IC + EC]:[Unique]])</f>
        <v>0</v>
      </c>
      <c r="AF642" s="2" t="b">
        <v>0</v>
      </c>
      <c r="AG642" s="2" t="b">
        <v>0</v>
      </c>
      <c r="AH642" s="2" t="b">
        <v>0</v>
      </c>
      <c r="AI642" s="2" t="b">
        <f>IF(AND(Table1938[[#This Row],[Double Check]]=TRUE,Table1938[[#This Row],[Inspected]]=TRUE,Table1938[[#This Row],[Relevant]]=TRUE),TRUE,FALSE)</f>
        <v>0</v>
      </c>
    </row>
    <row r="643" spans="1:35" ht="71.7" x14ac:dyDescent="0.5">
      <c r="A643" s="2">
        <v>642</v>
      </c>
      <c r="B643" s="20" t="s">
        <v>1</v>
      </c>
      <c r="C643" s="20" t="s">
        <v>3351</v>
      </c>
      <c r="D643" s="20" t="s">
        <v>752</v>
      </c>
      <c r="E643" s="20" t="s">
        <v>751</v>
      </c>
      <c r="F643" s="2" t="s">
        <v>754</v>
      </c>
      <c r="G643" s="20" t="s">
        <v>267</v>
      </c>
      <c r="H643" s="36">
        <v>45489</v>
      </c>
      <c r="I643" s="20">
        <v>2024</v>
      </c>
      <c r="J643" s="20" t="s">
        <v>61</v>
      </c>
      <c r="K643" s="20" t="s">
        <v>123</v>
      </c>
      <c r="L643" s="20" t="s">
        <v>642</v>
      </c>
      <c r="M643" s="20" t="s">
        <v>753</v>
      </c>
      <c r="N643" s="20" t="b">
        <v>1</v>
      </c>
      <c r="O643" s="2" t="b">
        <f>IF(Table1938[[#This Row],[Title]]="",TRUE,FALSE)</f>
        <v>0</v>
      </c>
      <c r="P643" s="2" t="b">
        <f>IF(Table1938[[#This Row],[Author]]="",TRUE,FALSE)</f>
        <v>0</v>
      </c>
      <c r="Q643" s="2" t="b">
        <f>IF(Table1938[[#This Row],[DOI]]&lt;&gt;"", FALSE,TRUE)</f>
        <v>0</v>
      </c>
      <c r="R643" s="2" t="b">
        <f>IF(Table1938[[#This Row],[Abstract]]="",TRUE,FALSE)</f>
        <v>0</v>
      </c>
      <c r="S643" s="2" t="b">
        <f>IF(OR(Table1938[[#This Row],[Document Type]]="book",Table1938[[#This Row],[Document Type]]="bookSection"),TRUE,FALSE)</f>
        <v>0</v>
      </c>
      <c r="T643" s="2" t="b">
        <f>NOT(IF(OR(Table1938[[#This Row],[Language]]&lt;&gt;"en",Table1938[[#This Row],[Language]]&lt;&gt;"EN",Table1938[[#This Row],[Language]]&lt;&gt;"spa",Table1938[[#This Row],[Language]]&lt;&gt;"SPA"),TRUE,FALSE))</f>
        <v>0</v>
      </c>
      <c r="U643" s="2" t="b">
        <f>IF(AND(Table1938[[#This Row],[EC-01]]=FALSE,Table1938[[#This Row],[EC-02]]=FALSE,Table1938[[#This Row],[EC-03]]=FALSE,Table1938[[#This Row],[EC-04]]=FALSE,Table1938[[#This Row],[EC-05]]=FALSE,Table1938[[#This Row],[EC-06]]=FALSE),TRUE,FALSE)</f>
        <v>1</v>
      </c>
      <c r="V643" s="2" t="b">
        <f>IF(Table1938[[#This Row],[Date]]&lt;&gt;"",AND(YEAR(Table1938[[#This Row],[Date]])&gt;=2010, YEAR(Table1938[[#This Row],[Date]])&lt;=2024),FALSE)</f>
        <v>1</v>
      </c>
      <c r="W643" s="2" t="b">
        <f>IF(Table1938[[#This Row],[Date]]&lt;&gt;"",AND(YEAR(Table1938[[#This Row],[Date]])&gt;=2010, YEAR(Table1938[[#This Row],[Date]])&lt;=2020),FALSE)</f>
        <v>0</v>
      </c>
      <c r="X643" s="2" t="b">
        <f>IF(AND(Table1938[[#This Row],[Accesible]]=TRUE,Table1938[[#This Row],[DOI]]&lt;&gt;""),TRUE,FALSE)</f>
        <v>1</v>
      </c>
      <c r="Y643" s="2" t="b">
        <f>OR(Table1938[[#This Row],[Document Type]]="journalArticle",Table1938[[#This Row],[Document Type]]="conferencePaper",Table1938[[#This Row],[Document Type]]="review")</f>
        <v>1</v>
      </c>
      <c r="Z643" s="2" t="b" cm="1">
        <f t="array" ref="Z643">SUMPRODUCT(--ISNUMBER(SEARCH({"dimensional analysis","dimensionless coefficients","Π","Pi","theorem","software","design","tools","development","architecture","similar"}, LOWER(Table1938[[#This Row],[Title]]))))&gt;0</f>
        <v>0</v>
      </c>
      <c r="AA643" s="2" t="b" cm="1">
        <f t="array" ref="AA643">SUMPRODUCT(--ISNUMBER(SEARCH({"dimensional analysis","dimensionless coefficients","Π","Pi","theorem","software","design","tools","development","architecture","similar"}, LOWER(Table1938[[#This Row],[Abstract]]))))&gt;0</f>
        <v>1</v>
      </c>
      <c r="AB643" s="2" t="b">
        <f>AND(OR(Table1938[[#This Row],[IC-01 @2024]:[IC-01 @2020]])=TRUE,Table1938[[#This Row],[IC-02]]=TRUE,Table1938[[#This Row],[IC-03]]=TRUE,Table1938[[#This Row],[IC-04]]=TRUE,Table1938[[#This Row],[IC-05]]=TRUE)</f>
        <v>0</v>
      </c>
      <c r="AC643" s="2" t="b">
        <f>AND(Table1938[[#This Row],[Pass-IC]]=TRUE,Table1938[[#This Row],[Pass-EC]]=TRUE)</f>
        <v>0</v>
      </c>
      <c r="AD643" s="2" t="b">
        <f>COUNTIF($D$25:D643, Table1938[[#This Row],[Title]]) = 1</f>
        <v>1</v>
      </c>
      <c r="AE643" s="2" t="b">
        <f>AND(Table1938[[#This Row],[IC + EC]:[Unique]])</f>
        <v>0</v>
      </c>
      <c r="AF643" s="2" t="b">
        <v>0</v>
      </c>
      <c r="AG643" s="2" t="b">
        <v>0</v>
      </c>
      <c r="AH643" s="2" t="b">
        <v>0</v>
      </c>
      <c r="AI643" s="2" t="b">
        <f>IF(AND(Table1938[[#This Row],[Double Check]]=TRUE,Table1938[[#This Row],[Inspected]]=TRUE,Table1938[[#This Row],[Relevant]]=TRUE),TRUE,FALSE)</f>
        <v>0</v>
      </c>
    </row>
    <row r="644" spans="1:35" ht="57.35" x14ac:dyDescent="0.5">
      <c r="A644" s="2">
        <v>643</v>
      </c>
      <c r="B644" s="20" t="s">
        <v>1</v>
      </c>
      <c r="C644" s="20" t="s">
        <v>3352</v>
      </c>
      <c r="D644" s="20" t="s">
        <v>756</v>
      </c>
      <c r="E644" s="20" t="s">
        <v>755</v>
      </c>
      <c r="F644" s="2" t="s">
        <v>123</v>
      </c>
      <c r="G644" s="20" t="s">
        <v>757</v>
      </c>
      <c r="H644" s="36">
        <v>45017</v>
      </c>
      <c r="I644" s="20">
        <v>2023</v>
      </c>
      <c r="J644" s="20" t="s">
        <v>61</v>
      </c>
      <c r="K644" s="20" t="s">
        <v>123</v>
      </c>
      <c r="L644" s="20" t="s">
        <v>642</v>
      </c>
      <c r="M644" s="20" t="s">
        <v>758</v>
      </c>
      <c r="N644" s="20" t="b">
        <v>0</v>
      </c>
      <c r="O644" s="2" t="b">
        <f>IF(Table1938[[#This Row],[Title]]="",TRUE,FALSE)</f>
        <v>0</v>
      </c>
      <c r="P644" s="2" t="b">
        <f>IF(Table1938[[#This Row],[Author]]="",TRUE,FALSE)</f>
        <v>0</v>
      </c>
      <c r="Q644" s="2" t="b">
        <f>IF(Table1938[[#This Row],[DOI]]&lt;&gt;"", FALSE,TRUE)</f>
        <v>0</v>
      </c>
      <c r="R644" s="2" t="b">
        <f>IF(Table1938[[#This Row],[Abstract]]="",TRUE,FALSE)</f>
        <v>1</v>
      </c>
      <c r="S644" s="2" t="b">
        <f>IF(OR(Table1938[[#This Row],[Document Type]]="book",Table1938[[#This Row],[Document Type]]="bookSection"),TRUE,FALSE)</f>
        <v>0</v>
      </c>
      <c r="T644" s="2" t="b">
        <f>NOT(IF(OR(Table1938[[#This Row],[Language]]&lt;&gt;"en",Table1938[[#This Row],[Language]]&lt;&gt;"EN",Table1938[[#This Row],[Language]]&lt;&gt;"spa",Table1938[[#This Row],[Language]]&lt;&gt;"SPA"),TRUE,FALSE))</f>
        <v>0</v>
      </c>
      <c r="U644" s="2" t="b">
        <f>IF(AND(Table1938[[#This Row],[EC-01]]=FALSE,Table1938[[#This Row],[EC-02]]=FALSE,Table1938[[#This Row],[EC-03]]=FALSE,Table1938[[#This Row],[EC-04]]=FALSE,Table1938[[#This Row],[EC-05]]=FALSE,Table1938[[#This Row],[EC-06]]=FALSE),TRUE,FALSE)</f>
        <v>0</v>
      </c>
      <c r="V644" s="2" t="b">
        <f>IF(Table1938[[#This Row],[Date]]&lt;&gt;"",AND(YEAR(Table1938[[#This Row],[Date]])&gt;=2010, YEAR(Table1938[[#This Row],[Date]])&lt;=2024),FALSE)</f>
        <v>1</v>
      </c>
      <c r="W644" s="2" t="b">
        <f>IF(Table1938[[#This Row],[Date]]&lt;&gt;"",AND(YEAR(Table1938[[#This Row],[Date]])&gt;=2010, YEAR(Table1938[[#This Row],[Date]])&lt;=2020),FALSE)</f>
        <v>0</v>
      </c>
      <c r="X644" s="2" t="b">
        <f>IF(AND(Table1938[[#This Row],[Accesible]]=TRUE,Table1938[[#This Row],[DOI]]&lt;&gt;""),TRUE,FALSE)</f>
        <v>0</v>
      </c>
      <c r="Y644" s="2" t="b">
        <f>OR(Table1938[[#This Row],[Document Type]]="journalArticle",Table1938[[#This Row],[Document Type]]="conferencePaper",Table1938[[#This Row],[Document Type]]="review")</f>
        <v>1</v>
      </c>
      <c r="Z644" s="2" t="b" cm="1">
        <f t="array" ref="Z644">SUMPRODUCT(--ISNUMBER(SEARCH({"dimensional analysis","dimensionless coefficients","Π","Pi","theorem","software","design","tools","development","architecture","similar"}, LOWER(Table1938[[#This Row],[Title]]))))&gt;0</f>
        <v>0</v>
      </c>
      <c r="AA644" s="2" t="b" cm="1">
        <f t="array" ref="AA644">SUMPRODUCT(--ISNUMBER(SEARCH({"dimensional analysis","dimensionless coefficients","Π","Pi","theorem","software","design","tools","development","architecture","similar"}, LOWER(Table1938[[#This Row],[Abstract]]))))&gt;0</f>
        <v>0</v>
      </c>
      <c r="AB644" s="2" t="b">
        <f>AND(OR(Table1938[[#This Row],[IC-01 @2024]:[IC-01 @2020]])=TRUE,Table1938[[#This Row],[IC-02]]=TRUE,Table1938[[#This Row],[IC-03]]=TRUE,Table1938[[#This Row],[IC-04]]=TRUE,Table1938[[#This Row],[IC-05]]=TRUE)</f>
        <v>0</v>
      </c>
      <c r="AC644" s="2" t="b">
        <f>AND(Table1938[[#This Row],[Pass-IC]]=TRUE,Table1938[[#This Row],[Pass-EC]]=TRUE)</f>
        <v>0</v>
      </c>
      <c r="AD644" s="2" t="b">
        <f>COUNTIF($D$25:D644, Table1938[[#This Row],[Title]]) = 1</f>
        <v>1</v>
      </c>
      <c r="AE644" s="2" t="b">
        <f>AND(Table1938[[#This Row],[IC + EC]:[Unique]])</f>
        <v>0</v>
      </c>
      <c r="AF644" s="2" t="b">
        <v>0</v>
      </c>
      <c r="AG644" s="2" t="b">
        <v>0</v>
      </c>
      <c r="AH644" s="2" t="b">
        <v>0</v>
      </c>
      <c r="AI644" s="2" t="b">
        <f>IF(AND(Table1938[[#This Row],[Double Check]]=TRUE,Table1938[[#This Row],[Inspected]]=TRUE,Table1938[[#This Row],[Relevant]]=TRUE),TRUE,FALSE)</f>
        <v>0</v>
      </c>
    </row>
    <row r="645" spans="1:35" ht="57.35" x14ac:dyDescent="0.5">
      <c r="A645" s="2">
        <v>644</v>
      </c>
      <c r="B645" s="20" t="s">
        <v>1</v>
      </c>
      <c r="C645" s="20" t="s">
        <v>3353</v>
      </c>
      <c r="D645" s="20" t="s">
        <v>760</v>
      </c>
      <c r="E645" s="20" t="s">
        <v>759</v>
      </c>
      <c r="F645" s="2" t="s">
        <v>123</v>
      </c>
      <c r="G645" s="20" t="s">
        <v>757</v>
      </c>
      <c r="H645" s="36">
        <v>45261</v>
      </c>
      <c r="I645" s="20">
        <v>2023</v>
      </c>
      <c r="J645" s="20" t="s">
        <v>61</v>
      </c>
      <c r="K645" s="20" t="s">
        <v>123</v>
      </c>
      <c r="L645" s="20" t="s">
        <v>642</v>
      </c>
      <c r="M645" s="20" t="s">
        <v>761</v>
      </c>
      <c r="N645" s="20" t="b">
        <v>0</v>
      </c>
      <c r="O645" s="2" t="b">
        <f>IF(Table1938[[#This Row],[Title]]="",TRUE,FALSE)</f>
        <v>0</v>
      </c>
      <c r="P645" s="2" t="b">
        <f>IF(Table1938[[#This Row],[Author]]="",TRUE,FALSE)</f>
        <v>0</v>
      </c>
      <c r="Q645" s="2" t="b">
        <f>IF(Table1938[[#This Row],[DOI]]&lt;&gt;"", FALSE,TRUE)</f>
        <v>0</v>
      </c>
      <c r="R645" s="2" t="b">
        <f>IF(Table1938[[#This Row],[Abstract]]="",TRUE,FALSE)</f>
        <v>1</v>
      </c>
      <c r="S645" s="2" t="b">
        <f>IF(OR(Table1938[[#This Row],[Document Type]]="book",Table1938[[#This Row],[Document Type]]="bookSection"),TRUE,FALSE)</f>
        <v>0</v>
      </c>
      <c r="T645" s="2" t="b">
        <f>NOT(IF(OR(Table1938[[#This Row],[Language]]&lt;&gt;"en",Table1938[[#This Row],[Language]]&lt;&gt;"EN",Table1938[[#This Row],[Language]]&lt;&gt;"spa",Table1938[[#This Row],[Language]]&lt;&gt;"SPA"),TRUE,FALSE))</f>
        <v>0</v>
      </c>
      <c r="U645" s="2" t="b">
        <f>IF(AND(Table1938[[#This Row],[EC-01]]=FALSE,Table1938[[#This Row],[EC-02]]=FALSE,Table1938[[#This Row],[EC-03]]=FALSE,Table1938[[#This Row],[EC-04]]=FALSE,Table1938[[#This Row],[EC-05]]=FALSE,Table1938[[#This Row],[EC-06]]=FALSE),TRUE,FALSE)</f>
        <v>0</v>
      </c>
      <c r="V645" s="2" t="b">
        <f>IF(Table1938[[#This Row],[Date]]&lt;&gt;"",AND(YEAR(Table1938[[#This Row],[Date]])&gt;=2010, YEAR(Table1938[[#This Row],[Date]])&lt;=2024),FALSE)</f>
        <v>1</v>
      </c>
      <c r="W645" s="2" t="b">
        <f>IF(Table1938[[#This Row],[Date]]&lt;&gt;"",AND(YEAR(Table1938[[#This Row],[Date]])&gt;=2010, YEAR(Table1938[[#This Row],[Date]])&lt;=2020),FALSE)</f>
        <v>0</v>
      </c>
      <c r="X645" s="2" t="b">
        <f>IF(AND(Table1938[[#This Row],[Accesible]]=TRUE,Table1938[[#This Row],[DOI]]&lt;&gt;""),TRUE,FALSE)</f>
        <v>0</v>
      </c>
      <c r="Y645" s="2" t="b">
        <f>OR(Table1938[[#This Row],[Document Type]]="journalArticle",Table1938[[#This Row],[Document Type]]="conferencePaper",Table1938[[#This Row],[Document Type]]="review")</f>
        <v>1</v>
      </c>
      <c r="Z645" s="2" t="b" cm="1">
        <f t="array" ref="Z645">SUMPRODUCT(--ISNUMBER(SEARCH({"dimensional analysis","dimensionless coefficients","Π","Pi","theorem","software","design","tools","development","architecture","similar"}, LOWER(Table1938[[#This Row],[Title]]))))&gt;0</f>
        <v>0</v>
      </c>
      <c r="AA645" s="2" t="b" cm="1">
        <f t="array" ref="AA645">SUMPRODUCT(--ISNUMBER(SEARCH({"dimensional analysis","dimensionless coefficients","Π","Pi","theorem","software","design","tools","development","architecture","similar"}, LOWER(Table1938[[#This Row],[Abstract]]))))&gt;0</f>
        <v>0</v>
      </c>
      <c r="AB645" s="2" t="b">
        <f>AND(OR(Table1938[[#This Row],[IC-01 @2024]:[IC-01 @2020]])=TRUE,Table1938[[#This Row],[IC-02]]=TRUE,Table1938[[#This Row],[IC-03]]=TRUE,Table1938[[#This Row],[IC-04]]=TRUE,Table1938[[#This Row],[IC-05]]=TRUE)</f>
        <v>0</v>
      </c>
      <c r="AC645" s="2" t="b">
        <f>AND(Table1938[[#This Row],[Pass-IC]]=TRUE,Table1938[[#This Row],[Pass-EC]]=TRUE)</f>
        <v>0</v>
      </c>
      <c r="AD645" s="2" t="b">
        <f>COUNTIF($D$25:D645, Table1938[[#This Row],[Title]]) = 1</f>
        <v>1</v>
      </c>
      <c r="AE645" s="2" t="b">
        <f>AND(Table1938[[#This Row],[IC + EC]:[Unique]])</f>
        <v>0</v>
      </c>
      <c r="AF645" s="2" t="b">
        <v>0</v>
      </c>
      <c r="AG645" s="2" t="b">
        <v>0</v>
      </c>
      <c r="AH645" s="2" t="b">
        <v>0</v>
      </c>
      <c r="AI645" s="2" t="b">
        <f>IF(AND(Table1938[[#This Row],[Double Check]]=TRUE,Table1938[[#This Row],[Inspected]]=TRUE,Table1938[[#This Row],[Relevant]]=TRUE),TRUE,FALSE)</f>
        <v>0</v>
      </c>
    </row>
    <row r="646" spans="1:35" ht="71.7" x14ac:dyDescent="0.5">
      <c r="A646" s="2">
        <v>645</v>
      </c>
      <c r="B646" s="20" t="s">
        <v>1</v>
      </c>
      <c r="C646" s="20" t="s">
        <v>3354</v>
      </c>
      <c r="D646" s="20" t="s">
        <v>151</v>
      </c>
      <c r="E646" s="20" t="s">
        <v>762</v>
      </c>
      <c r="F646" s="2" t="s">
        <v>123</v>
      </c>
      <c r="G646" s="20" t="s">
        <v>152</v>
      </c>
      <c r="H646" s="36">
        <v>44440</v>
      </c>
      <c r="I646" s="20">
        <v>2021</v>
      </c>
      <c r="J646" s="20" t="s">
        <v>61</v>
      </c>
      <c r="K646" s="20" t="s">
        <v>123</v>
      </c>
      <c r="L646" s="20" t="s">
        <v>642</v>
      </c>
      <c r="M646" s="20" t="s">
        <v>153</v>
      </c>
      <c r="N646" s="20" t="b">
        <v>0</v>
      </c>
      <c r="O646" s="2" t="b">
        <f>IF(Table1938[[#This Row],[Title]]="",TRUE,FALSE)</f>
        <v>0</v>
      </c>
      <c r="P646" s="2" t="b">
        <f>IF(Table1938[[#This Row],[Author]]="",TRUE,FALSE)</f>
        <v>0</v>
      </c>
      <c r="Q646" s="2" t="b">
        <f>IF(Table1938[[#This Row],[DOI]]&lt;&gt;"", FALSE,TRUE)</f>
        <v>0</v>
      </c>
      <c r="R646" s="2" t="b">
        <f>IF(Table1938[[#This Row],[Abstract]]="",TRUE,FALSE)</f>
        <v>1</v>
      </c>
      <c r="S646" s="2" t="b">
        <f>IF(OR(Table1938[[#This Row],[Document Type]]="book",Table1938[[#This Row],[Document Type]]="bookSection"),TRUE,FALSE)</f>
        <v>0</v>
      </c>
      <c r="T646" s="2" t="b">
        <f>NOT(IF(OR(Table1938[[#This Row],[Language]]&lt;&gt;"en",Table1938[[#This Row],[Language]]&lt;&gt;"EN",Table1938[[#This Row],[Language]]&lt;&gt;"spa",Table1938[[#This Row],[Language]]&lt;&gt;"SPA"),TRUE,FALSE))</f>
        <v>0</v>
      </c>
      <c r="U646" s="2" t="b">
        <f>IF(AND(Table1938[[#This Row],[EC-01]]=FALSE,Table1938[[#This Row],[EC-02]]=FALSE,Table1938[[#This Row],[EC-03]]=FALSE,Table1938[[#This Row],[EC-04]]=FALSE,Table1938[[#This Row],[EC-05]]=FALSE,Table1938[[#This Row],[EC-06]]=FALSE),TRUE,FALSE)</f>
        <v>0</v>
      </c>
      <c r="V646" s="2" t="b">
        <f>IF(Table1938[[#This Row],[Date]]&lt;&gt;"",AND(YEAR(Table1938[[#This Row],[Date]])&gt;=2010, YEAR(Table1938[[#This Row],[Date]])&lt;=2024),FALSE)</f>
        <v>1</v>
      </c>
      <c r="W646" s="2" t="b">
        <f>IF(Table1938[[#This Row],[Date]]&lt;&gt;"",AND(YEAR(Table1938[[#This Row],[Date]])&gt;=2010, YEAR(Table1938[[#This Row],[Date]])&lt;=2020),FALSE)</f>
        <v>0</v>
      </c>
      <c r="X646" s="2" t="b">
        <f>IF(AND(Table1938[[#This Row],[Accesible]]=TRUE,Table1938[[#This Row],[DOI]]&lt;&gt;""),TRUE,FALSE)</f>
        <v>0</v>
      </c>
      <c r="Y646" s="2" t="b">
        <f>OR(Table1938[[#This Row],[Document Type]]="journalArticle",Table1938[[#This Row],[Document Type]]="conferencePaper",Table1938[[#This Row],[Document Type]]="review")</f>
        <v>1</v>
      </c>
      <c r="Z646" s="2" t="b" cm="1">
        <f t="array" ref="Z646">SUMPRODUCT(--ISNUMBER(SEARCH({"dimensional analysis","dimensionless coefficients","Π","Pi","theorem","software","design","tools","development","architecture","similar"}, LOWER(Table1938[[#This Row],[Title]]))))&gt;0</f>
        <v>1</v>
      </c>
      <c r="AA646" s="2" t="b" cm="1">
        <f t="array" ref="AA646">SUMPRODUCT(--ISNUMBER(SEARCH({"dimensional analysis","dimensionless coefficients","Π","Pi","theorem","software","design","tools","development","architecture","similar"}, LOWER(Table1938[[#This Row],[Abstract]]))))&gt;0</f>
        <v>0</v>
      </c>
      <c r="AB646" s="2" t="b">
        <f>AND(OR(Table1938[[#This Row],[IC-01 @2024]:[IC-01 @2020]])=TRUE,Table1938[[#This Row],[IC-02]]=TRUE,Table1938[[#This Row],[IC-03]]=TRUE,Table1938[[#This Row],[IC-04]]=TRUE,Table1938[[#This Row],[IC-05]]=TRUE)</f>
        <v>0</v>
      </c>
      <c r="AC646" s="2" t="b">
        <f>AND(Table1938[[#This Row],[Pass-IC]]=TRUE,Table1938[[#This Row],[Pass-EC]]=TRUE)</f>
        <v>0</v>
      </c>
      <c r="AD646" s="2" t="b">
        <f>COUNTIF($D$25:D646, Table1938[[#This Row],[Title]]) = 1</f>
        <v>1</v>
      </c>
      <c r="AE646" s="2" t="b">
        <f>AND(Table1938[[#This Row],[IC + EC]:[Unique]])</f>
        <v>0</v>
      </c>
      <c r="AF646" s="2" t="b">
        <v>0</v>
      </c>
      <c r="AG646" s="2" t="b">
        <v>0</v>
      </c>
      <c r="AH646" s="2" t="b">
        <v>0</v>
      </c>
      <c r="AI646" s="2" t="b">
        <f>IF(AND(Table1938[[#This Row],[Double Check]]=TRUE,Table1938[[#This Row],[Inspected]]=TRUE,Table1938[[#This Row],[Relevant]]=TRUE),TRUE,FALSE)</f>
        <v>0</v>
      </c>
    </row>
    <row r="647" spans="1:35" ht="43" x14ac:dyDescent="0.5">
      <c r="A647" s="2">
        <v>646</v>
      </c>
      <c r="B647" s="20" t="s">
        <v>1</v>
      </c>
      <c r="C647" s="20" t="s">
        <v>3355</v>
      </c>
      <c r="D647" s="20" t="s">
        <v>764</v>
      </c>
      <c r="E647" s="20" t="s">
        <v>763</v>
      </c>
      <c r="F647" s="2" t="s">
        <v>123</v>
      </c>
      <c r="G647" s="20" t="s">
        <v>765</v>
      </c>
      <c r="H647" s="36">
        <v>45323</v>
      </c>
      <c r="I647" s="20">
        <v>2024</v>
      </c>
      <c r="J647" s="20" t="s">
        <v>61</v>
      </c>
      <c r="K647" s="20" t="s">
        <v>123</v>
      </c>
      <c r="L647" s="20" t="s">
        <v>642</v>
      </c>
      <c r="M647" s="20" t="s">
        <v>766</v>
      </c>
      <c r="N647" s="20" t="b">
        <v>0</v>
      </c>
      <c r="O647" s="2" t="b">
        <f>IF(Table1938[[#This Row],[Title]]="",TRUE,FALSE)</f>
        <v>0</v>
      </c>
      <c r="P647" s="2" t="b">
        <f>IF(Table1938[[#This Row],[Author]]="",TRUE,FALSE)</f>
        <v>0</v>
      </c>
      <c r="Q647" s="2" t="b">
        <f>IF(Table1938[[#This Row],[DOI]]&lt;&gt;"", FALSE,TRUE)</f>
        <v>0</v>
      </c>
      <c r="R647" s="2" t="b">
        <f>IF(Table1938[[#This Row],[Abstract]]="",TRUE,FALSE)</f>
        <v>1</v>
      </c>
      <c r="S647" s="2" t="b">
        <f>IF(OR(Table1938[[#This Row],[Document Type]]="book",Table1938[[#This Row],[Document Type]]="bookSection"),TRUE,FALSE)</f>
        <v>0</v>
      </c>
      <c r="T647" s="2" t="b">
        <f>NOT(IF(OR(Table1938[[#This Row],[Language]]&lt;&gt;"en",Table1938[[#This Row],[Language]]&lt;&gt;"EN",Table1938[[#This Row],[Language]]&lt;&gt;"spa",Table1938[[#This Row],[Language]]&lt;&gt;"SPA"),TRUE,FALSE))</f>
        <v>0</v>
      </c>
      <c r="U647" s="2" t="b">
        <f>IF(AND(Table1938[[#This Row],[EC-01]]=FALSE,Table1938[[#This Row],[EC-02]]=FALSE,Table1938[[#This Row],[EC-03]]=FALSE,Table1938[[#This Row],[EC-04]]=FALSE,Table1938[[#This Row],[EC-05]]=FALSE,Table1938[[#This Row],[EC-06]]=FALSE),TRUE,FALSE)</f>
        <v>0</v>
      </c>
      <c r="V647" s="2" t="b">
        <f>IF(Table1938[[#This Row],[Date]]&lt;&gt;"",AND(YEAR(Table1938[[#This Row],[Date]])&gt;=2010, YEAR(Table1938[[#This Row],[Date]])&lt;=2024),FALSE)</f>
        <v>1</v>
      </c>
      <c r="W647" s="2" t="b">
        <f>IF(Table1938[[#This Row],[Date]]&lt;&gt;"",AND(YEAR(Table1938[[#This Row],[Date]])&gt;=2010, YEAR(Table1938[[#This Row],[Date]])&lt;=2020),FALSE)</f>
        <v>0</v>
      </c>
      <c r="X647" s="2" t="b">
        <f>IF(AND(Table1938[[#This Row],[Accesible]]=TRUE,Table1938[[#This Row],[DOI]]&lt;&gt;""),TRUE,FALSE)</f>
        <v>0</v>
      </c>
      <c r="Y647" s="2" t="b">
        <f>OR(Table1938[[#This Row],[Document Type]]="journalArticle",Table1938[[#This Row],[Document Type]]="conferencePaper",Table1938[[#This Row],[Document Type]]="review")</f>
        <v>1</v>
      </c>
      <c r="Z647" s="2" t="b" cm="1">
        <f t="array" ref="Z647">SUMPRODUCT(--ISNUMBER(SEARCH({"dimensional analysis","dimensionless coefficients","Π","Pi","theorem","software","design","tools","development","architecture","similar"}, LOWER(Table1938[[#This Row],[Title]]))))&gt;0</f>
        <v>0</v>
      </c>
      <c r="AA647" s="2" t="b" cm="1">
        <f t="array" ref="AA647">SUMPRODUCT(--ISNUMBER(SEARCH({"dimensional analysis","dimensionless coefficients","Π","Pi","theorem","software","design","tools","development","architecture","similar"}, LOWER(Table1938[[#This Row],[Abstract]]))))&gt;0</f>
        <v>0</v>
      </c>
      <c r="AB647" s="2" t="b">
        <f>AND(OR(Table1938[[#This Row],[IC-01 @2024]:[IC-01 @2020]])=TRUE,Table1938[[#This Row],[IC-02]]=TRUE,Table1938[[#This Row],[IC-03]]=TRUE,Table1938[[#This Row],[IC-04]]=TRUE,Table1938[[#This Row],[IC-05]]=TRUE)</f>
        <v>0</v>
      </c>
      <c r="AC647" s="2" t="b">
        <f>AND(Table1938[[#This Row],[Pass-IC]]=TRUE,Table1938[[#This Row],[Pass-EC]]=TRUE)</f>
        <v>0</v>
      </c>
      <c r="AD647" s="2" t="b">
        <f>COUNTIF($D$25:D647, Table1938[[#This Row],[Title]]) = 1</f>
        <v>1</v>
      </c>
      <c r="AE647" s="2" t="b">
        <f>AND(Table1938[[#This Row],[IC + EC]:[Unique]])</f>
        <v>0</v>
      </c>
      <c r="AF647" s="2" t="b">
        <v>0</v>
      </c>
      <c r="AG647" s="2" t="b">
        <v>0</v>
      </c>
      <c r="AH647" s="2" t="b">
        <v>0</v>
      </c>
      <c r="AI647" s="2" t="b">
        <f>IF(AND(Table1938[[#This Row],[Double Check]]=TRUE,Table1938[[#This Row],[Inspected]]=TRUE,Table1938[[#This Row],[Relevant]]=TRUE),TRUE,FALSE)</f>
        <v>0</v>
      </c>
    </row>
    <row r="648" spans="1:35" ht="28.7" x14ac:dyDescent="0.5">
      <c r="A648" s="2">
        <v>647</v>
      </c>
      <c r="B648" s="20" t="s">
        <v>1</v>
      </c>
      <c r="C648" s="20" t="s">
        <v>3356</v>
      </c>
      <c r="D648" s="20" t="s">
        <v>748</v>
      </c>
      <c r="E648" s="20" t="s">
        <v>123</v>
      </c>
      <c r="F648" s="2" t="s">
        <v>123</v>
      </c>
      <c r="G648" s="20" t="s">
        <v>749</v>
      </c>
      <c r="H648" s="36">
        <v>44927</v>
      </c>
      <c r="I648" s="20">
        <v>2023</v>
      </c>
      <c r="J648" s="20" t="s">
        <v>688</v>
      </c>
      <c r="K648" s="20" t="s">
        <v>123</v>
      </c>
      <c r="L648" s="20" t="s">
        <v>642</v>
      </c>
      <c r="M648" s="20" t="s">
        <v>123</v>
      </c>
      <c r="N648" s="20" t="b">
        <v>0</v>
      </c>
      <c r="O648" s="2" t="b">
        <f>IF(Table1938[[#This Row],[Title]]="",TRUE,FALSE)</f>
        <v>0</v>
      </c>
      <c r="P648" s="2" t="b">
        <f>IF(Table1938[[#This Row],[Author]]="",TRUE,FALSE)</f>
        <v>1</v>
      </c>
      <c r="Q648" s="2" t="b">
        <f>IF(Table1938[[#This Row],[DOI]]&lt;&gt;"", FALSE,TRUE)</f>
        <v>1</v>
      </c>
      <c r="R648" s="2" t="b">
        <f>IF(Table1938[[#This Row],[Abstract]]="",TRUE,FALSE)</f>
        <v>1</v>
      </c>
      <c r="S648" s="2" t="b">
        <f>IF(OR(Table1938[[#This Row],[Document Type]]="book",Table1938[[#This Row],[Document Type]]="bookSection"),TRUE,FALSE)</f>
        <v>1</v>
      </c>
      <c r="T648" s="2" t="b">
        <f>NOT(IF(OR(Table1938[[#This Row],[Language]]&lt;&gt;"en",Table1938[[#This Row],[Language]]&lt;&gt;"EN",Table1938[[#This Row],[Language]]&lt;&gt;"spa",Table1938[[#This Row],[Language]]&lt;&gt;"SPA"),TRUE,FALSE))</f>
        <v>0</v>
      </c>
      <c r="U648" s="2" t="b">
        <f>IF(AND(Table1938[[#This Row],[EC-01]]=FALSE,Table1938[[#This Row],[EC-02]]=FALSE,Table1938[[#This Row],[EC-03]]=FALSE,Table1938[[#This Row],[EC-04]]=FALSE,Table1938[[#This Row],[EC-05]]=FALSE,Table1938[[#This Row],[EC-06]]=FALSE),TRUE,FALSE)</f>
        <v>0</v>
      </c>
      <c r="V648" s="2" t="b">
        <f>IF(Table1938[[#This Row],[Date]]&lt;&gt;"",AND(YEAR(Table1938[[#This Row],[Date]])&gt;=2010, YEAR(Table1938[[#This Row],[Date]])&lt;=2024),FALSE)</f>
        <v>1</v>
      </c>
      <c r="W648" s="2" t="b">
        <f>IF(Table1938[[#This Row],[Date]]&lt;&gt;"",AND(YEAR(Table1938[[#This Row],[Date]])&gt;=2010, YEAR(Table1938[[#This Row],[Date]])&lt;=2020),FALSE)</f>
        <v>0</v>
      </c>
      <c r="X648" s="2" t="b">
        <f>IF(AND(Table1938[[#This Row],[Accesible]]=TRUE,Table1938[[#This Row],[DOI]]&lt;&gt;""),TRUE,FALSE)</f>
        <v>0</v>
      </c>
      <c r="Y648" s="2" t="b">
        <f>OR(Table1938[[#This Row],[Document Type]]="journalArticle",Table1938[[#This Row],[Document Type]]="conferencePaper",Table1938[[#This Row],[Document Type]]="review")</f>
        <v>0</v>
      </c>
      <c r="Z648" s="2" t="b" cm="1">
        <f t="array" ref="Z648">SUMPRODUCT(--ISNUMBER(SEARCH({"dimensional analysis","dimensionless coefficients","Π","Pi","theorem","software","design","tools","development","architecture","similar"}, LOWER(Table1938[[#This Row],[Title]]))))&gt;0</f>
        <v>1</v>
      </c>
      <c r="AA648" s="2" t="b" cm="1">
        <f t="array" ref="AA648">SUMPRODUCT(--ISNUMBER(SEARCH({"dimensional analysis","dimensionless coefficients","Π","Pi","theorem","software","design","tools","development","architecture","similar"}, LOWER(Table1938[[#This Row],[Abstract]]))))&gt;0</f>
        <v>0</v>
      </c>
      <c r="AB648" s="2" t="b">
        <f>AND(OR(Table1938[[#This Row],[IC-01 @2024]:[IC-01 @2020]])=TRUE,Table1938[[#This Row],[IC-02]]=TRUE,Table1938[[#This Row],[IC-03]]=TRUE,Table1938[[#This Row],[IC-04]]=TRUE,Table1938[[#This Row],[IC-05]]=TRUE)</f>
        <v>0</v>
      </c>
      <c r="AC648" s="2" t="b">
        <f>AND(Table1938[[#This Row],[Pass-IC]]=TRUE,Table1938[[#This Row],[Pass-EC]]=TRUE)</f>
        <v>0</v>
      </c>
      <c r="AD648" s="2" t="b">
        <f>COUNTIF($D$25:D648, Table1938[[#This Row],[Title]]) = 1</f>
        <v>1</v>
      </c>
      <c r="AE648" s="2" t="b">
        <f>AND(Table1938[[#This Row],[IC + EC]:[Unique]])</f>
        <v>0</v>
      </c>
      <c r="AF648" s="2" t="b">
        <v>0</v>
      </c>
      <c r="AG648" s="2" t="b">
        <v>0</v>
      </c>
      <c r="AH648" s="2" t="b">
        <v>0</v>
      </c>
      <c r="AI648" s="2" t="b">
        <f>IF(AND(Table1938[[#This Row],[Double Check]]=TRUE,Table1938[[#This Row],[Inspected]]=TRUE,Table1938[[#This Row],[Relevant]]=TRUE),TRUE,FALSE)</f>
        <v>0</v>
      </c>
    </row>
    <row r="649" spans="1:35" ht="57.35" x14ac:dyDescent="0.5">
      <c r="A649" s="2">
        <v>648</v>
      </c>
      <c r="B649" s="20" t="s">
        <v>1</v>
      </c>
      <c r="C649" s="20" t="s">
        <v>3357</v>
      </c>
      <c r="D649" s="20" t="s">
        <v>750</v>
      </c>
      <c r="E649" s="20" t="s">
        <v>123</v>
      </c>
      <c r="F649" s="2" t="s">
        <v>123</v>
      </c>
      <c r="G649" s="20" t="s">
        <v>123</v>
      </c>
      <c r="H649" s="36">
        <v>44927</v>
      </c>
      <c r="I649" s="20">
        <v>2023</v>
      </c>
      <c r="J649" s="20" t="s">
        <v>63</v>
      </c>
      <c r="K649" s="20" t="s">
        <v>123</v>
      </c>
      <c r="L649" s="20" t="s">
        <v>642</v>
      </c>
      <c r="M649" s="20" t="s">
        <v>123</v>
      </c>
      <c r="N649" s="20" t="b">
        <v>0</v>
      </c>
      <c r="O649" s="2" t="b">
        <f>IF(Table1938[[#This Row],[Title]]="",TRUE,FALSE)</f>
        <v>0</v>
      </c>
      <c r="P649" s="2" t="b">
        <f>IF(Table1938[[#This Row],[Author]]="",TRUE,FALSE)</f>
        <v>1</v>
      </c>
      <c r="Q649" s="2" t="b">
        <f>IF(Table1938[[#This Row],[DOI]]&lt;&gt;"", FALSE,TRUE)</f>
        <v>1</v>
      </c>
      <c r="R649" s="2" t="b">
        <f>IF(Table1938[[#This Row],[Abstract]]="",TRUE,FALSE)</f>
        <v>1</v>
      </c>
      <c r="S649" s="2" t="b">
        <f>IF(OR(Table1938[[#This Row],[Document Type]]="book",Table1938[[#This Row],[Document Type]]="bookSection"),TRUE,FALSE)</f>
        <v>1</v>
      </c>
      <c r="T649" s="2" t="b">
        <f>NOT(IF(OR(Table1938[[#This Row],[Language]]&lt;&gt;"en",Table1938[[#This Row],[Language]]&lt;&gt;"EN",Table1938[[#This Row],[Language]]&lt;&gt;"spa",Table1938[[#This Row],[Language]]&lt;&gt;"SPA"),TRUE,FALSE))</f>
        <v>0</v>
      </c>
      <c r="U649" s="2" t="b">
        <f>IF(AND(Table1938[[#This Row],[EC-01]]=FALSE,Table1938[[#This Row],[EC-02]]=FALSE,Table1938[[#This Row],[EC-03]]=FALSE,Table1938[[#This Row],[EC-04]]=FALSE,Table1938[[#This Row],[EC-05]]=FALSE,Table1938[[#This Row],[EC-06]]=FALSE),TRUE,FALSE)</f>
        <v>0</v>
      </c>
      <c r="V649" s="2" t="b">
        <f>IF(Table1938[[#This Row],[Date]]&lt;&gt;"",AND(YEAR(Table1938[[#This Row],[Date]])&gt;=2010, YEAR(Table1938[[#This Row],[Date]])&lt;=2024),FALSE)</f>
        <v>1</v>
      </c>
      <c r="W649" s="2" t="b">
        <f>IF(Table1938[[#This Row],[Date]]&lt;&gt;"",AND(YEAR(Table1938[[#This Row],[Date]])&gt;=2010, YEAR(Table1938[[#This Row],[Date]])&lt;=2020),FALSE)</f>
        <v>0</v>
      </c>
      <c r="X649" s="2" t="b">
        <f>IF(AND(Table1938[[#This Row],[Accesible]]=TRUE,Table1938[[#This Row],[DOI]]&lt;&gt;""),TRUE,FALSE)</f>
        <v>0</v>
      </c>
      <c r="Y649" s="2" t="b">
        <f>OR(Table1938[[#This Row],[Document Type]]="journalArticle",Table1938[[#This Row],[Document Type]]="conferencePaper",Table1938[[#This Row],[Document Type]]="review")</f>
        <v>0</v>
      </c>
      <c r="Z649" s="2" t="b" cm="1">
        <f t="array" ref="Z649">SUMPRODUCT(--ISNUMBER(SEARCH({"dimensional analysis","dimensionless coefficients","Π","Pi","theorem","software","design","tools","development","architecture","similar"}, LOWER(Table1938[[#This Row],[Title]]))))&gt;0</f>
        <v>0</v>
      </c>
      <c r="AA649" s="2" t="b" cm="1">
        <f t="array" ref="AA649">SUMPRODUCT(--ISNUMBER(SEARCH({"dimensional analysis","dimensionless coefficients","Π","Pi","theorem","software","design","tools","development","architecture","similar"}, LOWER(Table1938[[#This Row],[Abstract]]))))&gt;0</f>
        <v>0</v>
      </c>
      <c r="AB649" s="2" t="b">
        <f>AND(OR(Table1938[[#This Row],[IC-01 @2024]:[IC-01 @2020]])=TRUE,Table1938[[#This Row],[IC-02]]=TRUE,Table1938[[#This Row],[IC-03]]=TRUE,Table1938[[#This Row],[IC-04]]=TRUE,Table1938[[#This Row],[IC-05]]=TRUE)</f>
        <v>0</v>
      </c>
      <c r="AC649" s="2" t="b">
        <f>AND(Table1938[[#This Row],[Pass-IC]]=TRUE,Table1938[[#This Row],[Pass-EC]]=TRUE)</f>
        <v>0</v>
      </c>
      <c r="AD649" s="2" t="b">
        <f>COUNTIF($D$25:D649, Table1938[[#This Row],[Title]]) = 1</f>
        <v>1</v>
      </c>
      <c r="AE649" s="2" t="b">
        <f>AND(Table1938[[#This Row],[IC + EC]:[Unique]])</f>
        <v>0</v>
      </c>
      <c r="AF649" s="2" t="b">
        <v>0</v>
      </c>
      <c r="AG649" s="2" t="b">
        <v>0</v>
      </c>
      <c r="AH649" s="2" t="b">
        <v>0</v>
      </c>
      <c r="AI649" s="2" t="b">
        <f>IF(AND(Table1938[[#This Row],[Double Check]]=TRUE,Table1938[[#This Row],[Inspected]]=TRUE,Table1938[[#This Row],[Relevant]]=TRUE),TRUE,FALSE)</f>
        <v>0</v>
      </c>
    </row>
    <row r="650" spans="1:35" ht="43" x14ac:dyDescent="0.5">
      <c r="A650" s="2">
        <v>649</v>
      </c>
      <c r="B650" s="20" t="s">
        <v>1</v>
      </c>
      <c r="C650" s="20" t="s">
        <v>3358</v>
      </c>
      <c r="D650" s="20" t="s">
        <v>769</v>
      </c>
      <c r="E650" s="20" t="s">
        <v>768</v>
      </c>
      <c r="F650" s="2" t="s">
        <v>123</v>
      </c>
      <c r="G650" s="20" t="s">
        <v>770</v>
      </c>
      <c r="H650" s="36">
        <v>45139</v>
      </c>
      <c r="I650" s="20">
        <v>2023</v>
      </c>
      <c r="J650" s="20" t="s">
        <v>61</v>
      </c>
      <c r="K650" s="20" t="s">
        <v>123</v>
      </c>
      <c r="L650" s="20" t="s">
        <v>642</v>
      </c>
      <c r="M650" s="20" t="s">
        <v>771</v>
      </c>
      <c r="N650" s="20" t="b">
        <v>0</v>
      </c>
      <c r="O650" s="2" t="b">
        <f>IF(Table1938[[#This Row],[Title]]="",TRUE,FALSE)</f>
        <v>0</v>
      </c>
      <c r="P650" s="2" t="b">
        <f>IF(Table1938[[#This Row],[Author]]="",TRUE,FALSE)</f>
        <v>0</v>
      </c>
      <c r="Q650" s="2" t="b">
        <f>IF(Table1938[[#This Row],[DOI]]&lt;&gt;"", FALSE,TRUE)</f>
        <v>0</v>
      </c>
      <c r="R650" s="2" t="b">
        <f>IF(Table1938[[#This Row],[Abstract]]="",TRUE,FALSE)</f>
        <v>1</v>
      </c>
      <c r="S650" s="2" t="b">
        <f>IF(OR(Table1938[[#This Row],[Document Type]]="book",Table1938[[#This Row],[Document Type]]="bookSection"),TRUE,FALSE)</f>
        <v>0</v>
      </c>
      <c r="T650" s="2" t="b">
        <f>NOT(IF(OR(Table1938[[#This Row],[Language]]&lt;&gt;"en",Table1938[[#This Row],[Language]]&lt;&gt;"EN",Table1938[[#This Row],[Language]]&lt;&gt;"spa",Table1938[[#This Row],[Language]]&lt;&gt;"SPA"),TRUE,FALSE))</f>
        <v>0</v>
      </c>
      <c r="U650" s="2" t="b">
        <f>IF(AND(Table1938[[#This Row],[EC-01]]=FALSE,Table1938[[#This Row],[EC-02]]=FALSE,Table1938[[#This Row],[EC-03]]=FALSE,Table1938[[#This Row],[EC-04]]=FALSE,Table1938[[#This Row],[EC-05]]=FALSE,Table1938[[#This Row],[EC-06]]=FALSE),TRUE,FALSE)</f>
        <v>0</v>
      </c>
      <c r="V650" s="2" t="b">
        <f>IF(Table1938[[#This Row],[Date]]&lt;&gt;"",AND(YEAR(Table1938[[#This Row],[Date]])&gt;=2010, YEAR(Table1938[[#This Row],[Date]])&lt;=2024),FALSE)</f>
        <v>1</v>
      </c>
      <c r="W650" s="2" t="b">
        <f>IF(Table1938[[#This Row],[Date]]&lt;&gt;"",AND(YEAR(Table1938[[#This Row],[Date]])&gt;=2010, YEAR(Table1938[[#This Row],[Date]])&lt;=2020),FALSE)</f>
        <v>0</v>
      </c>
      <c r="X650" s="2" t="b">
        <f>IF(AND(Table1938[[#This Row],[Accesible]]=TRUE,Table1938[[#This Row],[DOI]]&lt;&gt;""),TRUE,FALSE)</f>
        <v>0</v>
      </c>
      <c r="Y650" s="2" t="b">
        <f>OR(Table1938[[#This Row],[Document Type]]="journalArticle",Table1938[[#This Row],[Document Type]]="conferencePaper",Table1938[[#This Row],[Document Type]]="review")</f>
        <v>1</v>
      </c>
      <c r="Z650" s="2" t="b" cm="1">
        <f t="array" ref="Z650">SUMPRODUCT(--ISNUMBER(SEARCH({"dimensional analysis","dimensionless coefficients","Π","Pi","theorem","software","design","tools","development","architecture","similar"}, LOWER(Table1938[[#This Row],[Title]]))))&gt;0</f>
        <v>0</v>
      </c>
      <c r="AA650" s="2" t="b" cm="1">
        <f t="array" ref="AA650">SUMPRODUCT(--ISNUMBER(SEARCH({"dimensional analysis","dimensionless coefficients","Π","Pi","theorem","software","design","tools","development","architecture","similar"}, LOWER(Table1938[[#This Row],[Abstract]]))))&gt;0</f>
        <v>0</v>
      </c>
      <c r="AB650" s="2" t="b">
        <f>AND(OR(Table1938[[#This Row],[IC-01 @2024]:[IC-01 @2020]])=TRUE,Table1938[[#This Row],[IC-02]]=TRUE,Table1938[[#This Row],[IC-03]]=TRUE,Table1938[[#This Row],[IC-04]]=TRUE,Table1938[[#This Row],[IC-05]]=TRUE)</f>
        <v>0</v>
      </c>
      <c r="AC650" s="2" t="b">
        <f>AND(Table1938[[#This Row],[Pass-IC]]=TRUE,Table1938[[#This Row],[Pass-EC]]=TRUE)</f>
        <v>0</v>
      </c>
      <c r="AD650" s="2" t="b">
        <f>COUNTIF($D$25:D650, Table1938[[#This Row],[Title]]) = 1</f>
        <v>1</v>
      </c>
      <c r="AE650" s="2" t="b">
        <f>AND(Table1938[[#This Row],[IC + EC]:[Unique]])</f>
        <v>0</v>
      </c>
      <c r="AF650" s="2" t="b">
        <v>0</v>
      </c>
      <c r="AG650" s="2" t="b">
        <v>0</v>
      </c>
      <c r="AH650" s="2" t="b">
        <v>0</v>
      </c>
      <c r="AI650" s="2" t="b">
        <f>IF(AND(Table1938[[#This Row],[Double Check]]=TRUE,Table1938[[#This Row],[Inspected]]=TRUE,Table1938[[#This Row],[Relevant]]=TRUE),TRUE,FALSE)</f>
        <v>0</v>
      </c>
    </row>
    <row r="651" spans="1:35" ht="57.35" x14ac:dyDescent="0.5">
      <c r="A651" s="2">
        <v>650</v>
      </c>
      <c r="B651" s="20" t="s">
        <v>1</v>
      </c>
      <c r="C651" s="20" t="s">
        <v>3359</v>
      </c>
      <c r="D651" s="20" t="s">
        <v>773</v>
      </c>
      <c r="E651" s="20" t="s">
        <v>772</v>
      </c>
      <c r="F651" s="2" t="s">
        <v>123</v>
      </c>
      <c r="G651" s="20" t="s">
        <v>271</v>
      </c>
      <c r="H651" s="36">
        <v>45108</v>
      </c>
      <c r="I651" s="20">
        <v>2023</v>
      </c>
      <c r="J651" s="20" t="s">
        <v>61</v>
      </c>
      <c r="K651" s="20" t="s">
        <v>123</v>
      </c>
      <c r="L651" s="20" t="s">
        <v>642</v>
      </c>
      <c r="M651" s="20" t="s">
        <v>774</v>
      </c>
      <c r="N651" s="20" t="b">
        <v>0</v>
      </c>
      <c r="O651" s="2" t="b">
        <f>IF(Table1938[[#This Row],[Title]]="",TRUE,FALSE)</f>
        <v>0</v>
      </c>
      <c r="P651" s="2" t="b">
        <f>IF(Table1938[[#This Row],[Author]]="",TRUE,FALSE)</f>
        <v>0</v>
      </c>
      <c r="Q651" s="2" t="b">
        <f>IF(Table1938[[#This Row],[DOI]]&lt;&gt;"", FALSE,TRUE)</f>
        <v>0</v>
      </c>
      <c r="R651" s="2" t="b">
        <f>IF(Table1938[[#This Row],[Abstract]]="",TRUE,FALSE)</f>
        <v>1</v>
      </c>
      <c r="S651" s="2" t="b">
        <f>IF(OR(Table1938[[#This Row],[Document Type]]="book",Table1938[[#This Row],[Document Type]]="bookSection"),TRUE,FALSE)</f>
        <v>0</v>
      </c>
      <c r="T651" s="2" t="b">
        <f>NOT(IF(OR(Table1938[[#This Row],[Language]]&lt;&gt;"en",Table1938[[#This Row],[Language]]&lt;&gt;"EN",Table1938[[#This Row],[Language]]&lt;&gt;"spa",Table1938[[#This Row],[Language]]&lt;&gt;"SPA"),TRUE,FALSE))</f>
        <v>0</v>
      </c>
      <c r="U651" s="2" t="b">
        <f>IF(AND(Table1938[[#This Row],[EC-01]]=FALSE,Table1938[[#This Row],[EC-02]]=FALSE,Table1938[[#This Row],[EC-03]]=FALSE,Table1938[[#This Row],[EC-04]]=FALSE,Table1938[[#This Row],[EC-05]]=FALSE,Table1938[[#This Row],[EC-06]]=FALSE),TRUE,FALSE)</f>
        <v>0</v>
      </c>
      <c r="V651" s="2" t="b">
        <f>IF(Table1938[[#This Row],[Date]]&lt;&gt;"",AND(YEAR(Table1938[[#This Row],[Date]])&gt;=2010, YEAR(Table1938[[#This Row],[Date]])&lt;=2024),FALSE)</f>
        <v>1</v>
      </c>
      <c r="W651" s="2" t="b">
        <f>IF(Table1938[[#This Row],[Date]]&lt;&gt;"",AND(YEAR(Table1938[[#This Row],[Date]])&gt;=2010, YEAR(Table1938[[#This Row],[Date]])&lt;=2020),FALSE)</f>
        <v>0</v>
      </c>
      <c r="X651" s="2" t="b">
        <f>IF(AND(Table1938[[#This Row],[Accesible]]=TRUE,Table1938[[#This Row],[DOI]]&lt;&gt;""),TRUE,FALSE)</f>
        <v>0</v>
      </c>
      <c r="Y651" s="2" t="b">
        <f>OR(Table1938[[#This Row],[Document Type]]="journalArticle",Table1938[[#This Row],[Document Type]]="conferencePaper",Table1938[[#This Row],[Document Type]]="review")</f>
        <v>1</v>
      </c>
      <c r="Z651" s="2" t="b" cm="1">
        <f t="array" ref="Z651">SUMPRODUCT(--ISNUMBER(SEARCH({"dimensional analysis","dimensionless coefficients","Π","Pi","theorem","software","design","tools","development","architecture","similar"}, LOWER(Table1938[[#This Row],[Title]]))))&gt;0</f>
        <v>0</v>
      </c>
      <c r="AA651" s="2" t="b" cm="1">
        <f t="array" ref="AA651">SUMPRODUCT(--ISNUMBER(SEARCH({"dimensional analysis","dimensionless coefficients","Π","Pi","theorem","software","design","tools","development","architecture","similar"}, LOWER(Table1938[[#This Row],[Abstract]]))))&gt;0</f>
        <v>0</v>
      </c>
      <c r="AB651" s="2" t="b">
        <f>AND(OR(Table1938[[#This Row],[IC-01 @2024]:[IC-01 @2020]])=TRUE,Table1938[[#This Row],[IC-02]]=TRUE,Table1938[[#This Row],[IC-03]]=TRUE,Table1938[[#This Row],[IC-04]]=TRUE,Table1938[[#This Row],[IC-05]]=TRUE)</f>
        <v>0</v>
      </c>
      <c r="AC651" s="2" t="b">
        <f>AND(Table1938[[#This Row],[Pass-IC]]=TRUE,Table1938[[#This Row],[Pass-EC]]=TRUE)</f>
        <v>0</v>
      </c>
      <c r="AD651" s="2" t="b">
        <f>COUNTIF($D$25:D651, Table1938[[#This Row],[Title]]) = 1</f>
        <v>1</v>
      </c>
      <c r="AE651" s="2" t="b">
        <f>AND(Table1938[[#This Row],[IC + EC]:[Unique]])</f>
        <v>0</v>
      </c>
      <c r="AF651" s="2" t="b">
        <v>0</v>
      </c>
      <c r="AG651" s="2" t="b">
        <v>0</v>
      </c>
      <c r="AH651" s="2" t="b">
        <v>0</v>
      </c>
      <c r="AI651" s="2" t="b">
        <f>IF(AND(Table1938[[#This Row],[Double Check]]=TRUE,Table1938[[#This Row],[Inspected]]=TRUE,Table1938[[#This Row],[Relevant]]=TRUE),TRUE,FALSE)</f>
        <v>0</v>
      </c>
    </row>
    <row r="652" spans="1:35" ht="71.7" x14ac:dyDescent="0.5">
      <c r="A652" s="2">
        <v>651</v>
      </c>
      <c r="B652" s="20" t="s">
        <v>1</v>
      </c>
      <c r="C652" s="20" t="s">
        <v>3360</v>
      </c>
      <c r="D652" s="20" t="s">
        <v>776</v>
      </c>
      <c r="E652" s="20" t="s">
        <v>775</v>
      </c>
      <c r="F652" s="2" t="s">
        <v>123</v>
      </c>
      <c r="G652" s="20" t="s">
        <v>279</v>
      </c>
      <c r="H652" s="36">
        <v>45474</v>
      </c>
      <c r="I652" s="20">
        <v>2024</v>
      </c>
      <c r="J652" s="20" t="s">
        <v>61</v>
      </c>
      <c r="K652" s="20" t="s">
        <v>123</v>
      </c>
      <c r="L652" s="20" t="s">
        <v>642</v>
      </c>
      <c r="M652" s="20" t="s">
        <v>777</v>
      </c>
      <c r="N652" s="20" t="b">
        <v>0</v>
      </c>
      <c r="O652" s="2" t="b">
        <f>IF(Table1938[[#This Row],[Title]]="",TRUE,FALSE)</f>
        <v>0</v>
      </c>
      <c r="P652" s="2" t="b">
        <f>IF(Table1938[[#This Row],[Author]]="",TRUE,FALSE)</f>
        <v>0</v>
      </c>
      <c r="Q652" s="2" t="b">
        <f>IF(Table1938[[#This Row],[DOI]]&lt;&gt;"", FALSE,TRUE)</f>
        <v>0</v>
      </c>
      <c r="R652" s="2" t="b">
        <f>IF(Table1938[[#This Row],[Abstract]]="",TRUE,FALSE)</f>
        <v>1</v>
      </c>
      <c r="S652" s="2" t="b">
        <f>IF(OR(Table1938[[#This Row],[Document Type]]="book",Table1938[[#This Row],[Document Type]]="bookSection"),TRUE,FALSE)</f>
        <v>0</v>
      </c>
      <c r="T652" s="2" t="b">
        <f>NOT(IF(OR(Table1938[[#This Row],[Language]]&lt;&gt;"en",Table1938[[#This Row],[Language]]&lt;&gt;"EN",Table1938[[#This Row],[Language]]&lt;&gt;"spa",Table1938[[#This Row],[Language]]&lt;&gt;"SPA"),TRUE,FALSE))</f>
        <v>0</v>
      </c>
      <c r="U652" s="2" t="b">
        <f>IF(AND(Table1938[[#This Row],[EC-01]]=FALSE,Table1938[[#This Row],[EC-02]]=FALSE,Table1938[[#This Row],[EC-03]]=FALSE,Table1938[[#This Row],[EC-04]]=FALSE,Table1938[[#This Row],[EC-05]]=FALSE,Table1938[[#This Row],[EC-06]]=FALSE),TRUE,FALSE)</f>
        <v>0</v>
      </c>
      <c r="V652" s="2" t="b">
        <f>IF(Table1938[[#This Row],[Date]]&lt;&gt;"",AND(YEAR(Table1938[[#This Row],[Date]])&gt;=2010, YEAR(Table1938[[#This Row],[Date]])&lt;=2024),FALSE)</f>
        <v>1</v>
      </c>
      <c r="W652" s="2" t="b">
        <f>IF(Table1938[[#This Row],[Date]]&lt;&gt;"",AND(YEAR(Table1938[[#This Row],[Date]])&gt;=2010, YEAR(Table1938[[#This Row],[Date]])&lt;=2020),FALSE)</f>
        <v>0</v>
      </c>
      <c r="X652" s="2" t="b">
        <f>IF(AND(Table1938[[#This Row],[Accesible]]=TRUE,Table1938[[#This Row],[DOI]]&lt;&gt;""),TRUE,FALSE)</f>
        <v>0</v>
      </c>
      <c r="Y652" s="2" t="b">
        <f>OR(Table1938[[#This Row],[Document Type]]="journalArticle",Table1938[[#This Row],[Document Type]]="conferencePaper",Table1938[[#This Row],[Document Type]]="review")</f>
        <v>1</v>
      </c>
      <c r="Z652" s="2" t="b" cm="1">
        <f t="array" ref="Z652">SUMPRODUCT(--ISNUMBER(SEARCH({"dimensional analysis","dimensionless coefficients","Π","Pi","theorem","software","design","tools","development","architecture","similar"}, LOWER(Table1938[[#This Row],[Title]]))))&gt;0</f>
        <v>1</v>
      </c>
      <c r="AA652" s="2" t="b" cm="1">
        <f t="array" ref="AA652">SUMPRODUCT(--ISNUMBER(SEARCH({"dimensional analysis","dimensionless coefficients","Π","Pi","theorem","software","design","tools","development","architecture","similar"}, LOWER(Table1938[[#This Row],[Abstract]]))))&gt;0</f>
        <v>0</v>
      </c>
      <c r="AB652" s="2" t="b">
        <f>AND(OR(Table1938[[#This Row],[IC-01 @2024]:[IC-01 @2020]])=TRUE,Table1938[[#This Row],[IC-02]]=TRUE,Table1938[[#This Row],[IC-03]]=TRUE,Table1938[[#This Row],[IC-04]]=TRUE,Table1938[[#This Row],[IC-05]]=TRUE)</f>
        <v>0</v>
      </c>
      <c r="AC652" s="2" t="b">
        <f>AND(Table1938[[#This Row],[Pass-IC]]=TRUE,Table1938[[#This Row],[Pass-EC]]=TRUE)</f>
        <v>0</v>
      </c>
      <c r="AD652" s="2" t="b">
        <f>COUNTIF($D$25:D652, Table1938[[#This Row],[Title]]) = 1</f>
        <v>1</v>
      </c>
      <c r="AE652" s="2" t="b">
        <f>AND(Table1938[[#This Row],[IC + EC]:[Unique]])</f>
        <v>0</v>
      </c>
      <c r="AF652" s="2" t="b">
        <v>0</v>
      </c>
      <c r="AG652" s="2" t="b">
        <v>0</v>
      </c>
      <c r="AH652" s="2" t="b">
        <v>0</v>
      </c>
      <c r="AI652" s="2" t="b">
        <f>IF(AND(Table1938[[#This Row],[Double Check]]=TRUE,Table1938[[#This Row],[Inspected]]=TRUE,Table1938[[#This Row],[Relevant]]=TRUE),TRUE,FALSE)</f>
        <v>0</v>
      </c>
    </row>
    <row r="653" spans="1:35" ht="71.7" x14ac:dyDescent="0.5">
      <c r="A653" s="2">
        <v>652</v>
      </c>
      <c r="B653" s="20" t="s">
        <v>1</v>
      </c>
      <c r="C653" s="20" t="s">
        <v>3361</v>
      </c>
      <c r="D653" s="20" t="s">
        <v>779</v>
      </c>
      <c r="E653" s="20" t="s">
        <v>778</v>
      </c>
      <c r="F653" s="2" t="s">
        <v>123</v>
      </c>
      <c r="G653" s="20" t="s">
        <v>180</v>
      </c>
      <c r="H653" s="36">
        <v>44958</v>
      </c>
      <c r="I653" s="20">
        <v>2023</v>
      </c>
      <c r="J653" s="20" t="s">
        <v>61</v>
      </c>
      <c r="K653" s="20" t="s">
        <v>123</v>
      </c>
      <c r="L653" s="20" t="s">
        <v>642</v>
      </c>
      <c r="M653" s="20" t="s">
        <v>780</v>
      </c>
      <c r="N653" s="20" t="b">
        <v>0</v>
      </c>
      <c r="O653" s="2" t="b">
        <f>IF(Table1938[[#This Row],[Title]]="",TRUE,FALSE)</f>
        <v>0</v>
      </c>
      <c r="P653" s="2" t="b">
        <f>IF(Table1938[[#This Row],[Author]]="",TRUE,FALSE)</f>
        <v>0</v>
      </c>
      <c r="Q653" s="2" t="b">
        <f>IF(Table1938[[#This Row],[DOI]]&lt;&gt;"", FALSE,TRUE)</f>
        <v>0</v>
      </c>
      <c r="R653" s="2" t="b">
        <f>IF(Table1938[[#This Row],[Abstract]]="",TRUE,FALSE)</f>
        <v>1</v>
      </c>
      <c r="S653" s="2" t="b">
        <f>IF(OR(Table1938[[#This Row],[Document Type]]="book",Table1938[[#This Row],[Document Type]]="bookSection"),TRUE,FALSE)</f>
        <v>0</v>
      </c>
      <c r="T653" s="2" t="b">
        <f>NOT(IF(OR(Table1938[[#This Row],[Language]]&lt;&gt;"en",Table1938[[#This Row],[Language]]&lt;&gt;"EN",Table1938[[#This Row],[Language]]&lt;&gt;"spa",Table1938[[#This Row],[Language]]&lt;&gt;"SPA"),TRUE,FALSE))</f>
        <v>0</v>
      </c>
      <c r="U653" s="2" t="b">
        <f>IF(AND(Table1938[[#This Row],[EC-01]]=FALSE,Table1938[[#This Row],[EC-02]]=FALSE,Table1938[[#This Row],[EC-03]]=FALSE,Table1938[[#This Row],[EC-04]]=FALSE,Table1938[[#This Row],[EC-05]]=FALSE,Table1938[[#This Row],[EC-06]]=FALSE),TRUE,FALSE)</f>
        <v>0</v>
      </c>
      <c r="V653" s="2" t="b">
        <f>IF(Table1938[[#This Row],[Date]]&lt;&gt;"",AND(YEAR(Table1938[[#This Row],[Date]])&gt;=2010, YEAR(Table1938[[#This Row],[Date]])&lt;=2024),FALSE)</f>
        <v>1</v>
      </c>
      <c r="W653" s="2" t="b">
        <f>IF(Table1938[[#This Row],[Date]]&lt;&gt;"",AND(YEAR(Table1938[[#This Row],[Date]])&gt;=2010, YEAR(Table1938[[#This Row],[Date]])&lt;=2020),FALSE)</f>
        <v>0</v>
      </c>
      <c r="X653" s="2" t="b">
        <f>IF(AND(Table1938[[#This Row],[Accesible]]=TRUE,Table1938[[#This Row],[DOI]]&lt;&gt;""),TRUE,FALSE)</f>
        <v>0</v>
      </c>
      <c r="Y653" s="2" t="b">
        <f>OR(Table1938[[#This Row],[Document Type]]="journalArticle",Table1938[[#This Row],[Document Type]]="conferencePaper",Table1938[[#This Row],[Document Type]]="review")</f>
        <v>1</v>
      </c>
      <c r="Z653" s="2" t="b" cm="1">
        <f t="array" ref="Z653">SUMPRODUCT(--ISNUMBER(SEARCH({"dimensional analysis","dimensionless coefficients","Π","Pi","theorem","software","design","tools","development","architecture","similar"}, LOWER(Table1938[[#This Row],[Title]]))))&gt;0</f>
        <v>0</v>
      </c>
      <c r="AA653" s="2" t="b" cm="1">
        <f t="array" ref="AA653">SUMPRODUCT(--ISNUMBER(SEARCH({"dimensional analysis","dimensionless coefficients","Π","Pi","theorem","software","design","tools","development","architecture","similar"}, LOWER(Table1938[[#This Row],[Abstract]]))))&gt;0</f>
        <v>0</v>
      </c>
      <c r="AB653" s="2" t="b">
        <f>AND(OR(Table1938[[#This Row],[IC-01 @2024]:[IC-01 @2020]])=TRUE,Table1938[[#This Row],[IC-02]]=TRUE,Table1938[[#This Row],[IC-03]]=TRUE,Table1938[[#This Row],[IC-04]]=TRUE,Table1938[[#This Row],[IC-05]]=TRUE)</f>
        <v>0</v>
      </c>
      <c r="AC653" s="2" t="b">
        <f>AND(Table1938[[#This Row],[Pass-IC]]=TRUE,Table1938[[#This Row],[Pass-EC]]=TRUE)</f>
        <v>0</v>
      </c>
      <c r="AD653" s="2" t="b">
        <f>COUNTIF($D$25:D653, Table1938[[#This Row],[Title]]) = 1</f>
        <v>1</v>
      </c>
      <c r="AE653" s="2" t="b">
        <f>AND(Table1938[[#This Row],[IC + EC]:[Unique]])</f>
        <v>0</v>
      </c>
      <c r="AF653" s="2" t="b">
        <v>0</v>
      </c>
      <c r="AG653" s="2" t="b">
        <v>0</v>
      </c>
      <c r="AH653" s="2" t="b">
        <v>0</v>
      </c>
      <c r="AI653" s="2" t="b">
        <f>IF(AND(Table1938[[#This Row],[Double Check]]=TRUE,Table1938[[#This Row],[Inspected]]=TRUE,Table1938[[#This Row],[Relevant]]=TRUE),TRUE,FALSE)</f>
        <v>0</v>
      </c>
    </row>
    <row r="654" spans="1:35" ht="28.7" x14ac:dyDescent="0.5">
      <c r="A654" s="2">
        <v>653</v>
      </c>
      <c r="B654" s="20" t="s">
        <v>1</v>
      </c>
      <c r="C654" s="20" t="s">
        <v>3362</v>
      </c>
      <c r="D654" s="20" t="s">
        <v>782</v>
      </c>
      <c r="E654" s="20" t="s">
        <v>781</v>
      </c>
      <c r="F654" s="2" t="s">
        <v>123</v>
      </c>
      <c r="G654" s="20" t="s">
        <v>783</v>
      </c>
      <c r="H654" s="36">
        <v>45261</v>
      </c>
      <c r="I654" s="20">
        <v>2023</v>
      </c>
      <c r="J654" s="20" t="s">
        <v>61</v>
      </c>
      <c r="K654" s="20" t="s">
        <v>123</v>
      </c>
      <c r="L654" s="20" t="s">
        <v>642</v>
      </c>
      <c r="M654" s="20" t="s">
        <v>784</v>
      </c>
      <c r="N654" s="20" t="b">
        <v>0</v>
      </c>
      <c r="O654" s="2" t="b">
        <f>IF(Table1938[[#This Row],[Title]]="",TRUE,FALSE)</f>
        <v>0</v>
      </c>
      <c r="P654" s="2" t="b">
        <f>IF(Table1938[[#This Row],[Author]]="",TRUE,FALSE)</f>
        <v>0</v>
      </c>
      <c r="Q654" s="2" t="b">
        <f>IF(Table1938[[#This Row],[DOI]]&lt;&gt;"", FALSE,TRUE)</f>
        <v>0</v>
      </c>
      <c r="R654" s="2" t="b">
        <f>IF(Table1938[[#This Row],[Abstract]]="",TRUE,FALSE)</f>
        <v>1</v>
      </c>
      <c r="S654" s="2" t="b">
        <f>IF(OR(Table1938[[#This Row],[Document Type]]="book",Table1938[[#This Row],[Document Type]]="bookSection"),TRUE,FALSE)</f>
        <v>0</v>
      </c>
      <c r="T654" s="2" t="b">
        <f>NOT(IF(OR(Table1938[[#This Row],[Language]]&lt;&gt;"en",Table1938[[#This Row],[Language]]&lt;&gt;"EN",Table1938[[#This Row],[Language]]&lt;&gt;"spa",Table1938[[#This Row],[Language]]&lt;&gt;"SPA"),TRUE,FALSE))</f>
        <v>0</v>
      </c>
      <c r="U654" s="2" t="b">
        <f>IF(AND(Table1938[[#This Row],[EC-01]]=FALSE,Table1938[[#This Row],[EC-02]]=FALSE,Table1938[[#This Row],[EC-03]]=FALSE,Table1938[[#This Row],[EC-04]]=FALSE,Table1938[[#This Row],[EC-05]]=FALSE,Table1938[[#This Row],[EC-06]]=FALSE),TRUE,FALSE)</f>
        <v>0</v>
      </c>
      <c r="V654" s="2" t="b">
        <f>IF(Table1938[[#This Row],[Date]]&lt;&gt;"",AND(YEAR(Table1938[[#This Row],[Date]])&gt;=2010, YEAR(Table1938[[#This Row],[Date]])&lt;=2024),FALSE)</f>
        <v>1</v>
      </c>
      <c r="W654" s="2" t="b">
        <f>IF(Table1938[[#This Row],[Date]]&lt;&gt;"",AND(YEAR(Table1938[[#This Row],[Date]])&gt;=2010, YEAR(Table1938[[#This Row],[Date]])&lt;=2020),FALSE)</f>
        <v>0</v>
      </c>
      <c r="X654" s="2" t="b">
        <f>IF(AND(Table1938[[#This Row],[Accesible]]=TRUE,Table1938[[#This Row],[DOI]]&lt;&gt;""),TRUE,FALSE)</f>
        <v>0</v>
      </c>
      <c r="Y654" s="2" t="b">
        <f>OR(Table1938[[#This Row],[Document Type]]="journalArticle",Table1938[[#This Row],[Document Type]]="conferencePaper",Table1938[[#This Row],[Document Type]]="review")</f>
        <v>1</v>
      </c>
      <c r="Z654" s="2" t="b" cm="1">
        <f t="array" ref="Z654">SUMPRODUCT(--ISNUMBER(SEARCH({"dimensional analysis","dimensionless coefficients","Π","Pi","theorem","software","design","tools","development","architecture","similar"}, LOWER(Table1938[[#This Row],[Title]]))))&gt;0</f>
        <v>0</v>
      </c>
      <c r="AA654" s="2" t="b" cm="1">
        <f t="array" ref="AA654">SUMPRODUCT(--ISNUMBER(SEARCH({"dimensional analysis","dimensionless coefficients","Π","Pi","theorem","software","design","tools","development","architecture","similar"}, LOWER(Table1938[[#This Row],[Abstract]]))))&gt;0</f>
        <v>0</v>
      </c>
      <c r="AB654" s="2" t="b">
        <f>AND(OR(Table1938[[#This Row],[IC-01 @2024]:[IC-01 @2020]])=TRUE,Table1938[[#This Row],[IC-02]]=TRUE,Table1938[[#This Row],[IC-03]]=TRUE,Table1938[[#This Row],[IC-04]]=TRUE,Table1938[[#This Row],[IC-05]]=TRUE)</f>
        <v>0</v>
      </c>
      <c r="AC654" s="2" t="b">
        <f>AND(Table1938[[#This Row],[Pass-IC]]=TRUE,Table1938[[#This Row],[Pass-EC]]=TRUE)</f>
        <v>0</v>
      </c>
      <c r="AD654" s="2" t="b">
        <f>COUNTIF($D$25:D654, Table1938[[#This Row],[Title]]) = 1</f>
        <v>1</v>
      </c>
      <c r="AE654" s="2" t="b">
        <f>AND(Table1938[[#This Row],[IC + EC]:[Unique]])</f>
        <v>0</v>
      </c>
      <c r="AF654" s="2" t="b">
        <v>0</v>
      </c>
      <c r="AG654" s="2" t="b">
        <v>0</v>
      </c>
      <c r="AH654" s="2" t="b">
        <v>0</v>
      </c>
      <c r="AI654" s="2" t="b">
        <f>IF(AND(Table1938[[#This Row],[Double Check]]=TRUE,Table1938[[#This Row],[Inspected]]=TRUE,Table1938[[#This Row],[Relevant]]=TRUE),TRUE,FALSE)</f>
        <v>0</v>
      </c>
    </row>
    <row r="655" spans="1:35" ht="43" x14ac:dyDescent="0.5">
      <c r="A655" s="2">
        <v>654</v>
      </c>
      <c r="B655" s="20" t="s">
        <v>1</v>
      </c>
      <c r="C655" s="20" t="s">
        <v>3363</v>
      </c>
      <c r="D655" s="20" t="s">
        <v>786</v>
      </c>
      <c r="E655" s="20" t="s">
        <v>785</v>
      </c>
      <c r="F655" s="2" t="s">
        <v>789</v>
      </c>
      <c r="G655" s="20" t="s">
        <v>787</v>
      </c>
      <c r="H655" s="36">
        <v>45627</v>
      </c>
      <c r="I655" s="20">
        <v>2024</v>
      </c>
      <c r="J655" s="20" t="s">
        <v>61</v>
      </c>
      <c r="K655" s="20" t="s">
        <v>123</v>
      </c>
      <c r="L655" s="20" t="s">
        <v>642</v>
      </c>
      <c r="M655" s="20" t="s">
        <v>788</v>
      </c>
      <c r="N655" s="20" t="b">
        <v>1</v>
      </c>
      <c r="O655" s="2" t="b">
        <f>IF(Table1938[[#This Row],[Title]]="",TRUE,FALSE)</f>
        <v>0</v>
      </c>
      <c r="P655" s="2" t="b">
        <f>IF(Table1938[[#This Row],[Author]]="",TRUE,FALSE)</f>
        <v>0</v>
      </c>
      <c r="Q655" s="2" t="b">
        <f>IF(Table1938[[#This Row],[DOI]]&lt;&gt;"", FALSE,TRUE)</f>
        <v>0</v>
      </c>
      <c r="R655" s="2" t="b">
        <f>IF(Table1938[[#This Row],[Abstract]]="",TRUE,FALSE)</f>
        <v>0</v>
      </c>
      <c r="S655" s="2" t="b">
        <f>IF(OR(Table1938[[#This Row],[Document Type]]="book",Table1938[[#This Row],[Document Type]]="bookSection"),TRUE,FALSE)</f>
        <v>0</v>
      </c>
      <c r="T655" s="2" t="b">
        <f>NOT(IF(OR(Table1938[[#This Row],[Language]]&lt;&gt;"en",Table1938[[#This Row],[Language]]&lt;&gt;"EN",Table1938[[#This Row],[Language]]&lt;&gt;"spa",Table1938[[#This Row],[Language]]&lt;&gt;"SPA"),TRUE,FALSE))</f>
        <v>0</v>
      </c>
      <c r="U655" s="2" t="b">
        <f>IF(AND(Table1938[[#This Row],[EC-01]]=FALSE,Table1938[[#This Row],[EC-02]]=FALSE,Table1938[[#This Row],[EC-03]]=FALSE,Table1938[[#This Row],[EC-04]]=FALSE,Table1938[[#This Row],[EC-05]]=FALSE,Table1938[[#This Row],[EC-06]]=FALSE),TRUE,FALSE)</f>
        <v>1</v>
      </c>
      <c r="V655" s="2" t="b">
        <f>IF(Table1938[[#This Row],[Date]]&lt;&gt;"",AND(YEAR(Table1938[[#This Row],[Date]])&gt;=2010, YEAR(Table1938[[#This Row],[Date]])&lt;=2024),FALSE)</f>
        <v>1</v>
      </c>
      <c r="W655" s="2" t="b">
        <f>IF(Table1938[[#This Row],[Date]]&lt;&gt;"",AND(YEAR(Table1938[[#This Row],[Date]])&gt;=2010, YEAR(Table1938[[#This Row],[Date]])&lt;=2020),FALSE)</f>
        <v>0</v>
      </c>
      <c r="X655" s="2" t="b">
        <f>IF(AND(Table1938[[#This Row],[Accesible]]=TRUE,Table1938[[#This Row],[DOI]]&lt;&gt;""),TRUE,FALSE)</f>
        <v>1</v>
      </c>
      <c r="Y655" s="2" t="b">
        <f>OR(Table1938[[#This Row],[Document Type]]="journalArticle",Table1938[[#This Row],[Document Type]]="conferencePaper",Table1938[[#This Row],[Document Type]]="review")</f>
        <v>1</v>
      </c>
      <c r="Z655" s="2" t="b" cm="1">
        <f t="array" ref="Z655">SUMPRODUCT(--ISNUMBER(SEARCH({"dimensional analysis","dimensionless coefficients","Π","Pi","theorem","software","design","tools","development","architecture","similar"}, LOWER(Table1938[[#This Row],[Title]]))))&gt;0</f>
        <v>1</v>
      </c>
      <c r="AA655" s="2" t="b" cm="1">
        <f t="array" ref="AA655">SUMPRODUCT(--ISNUMBER(SEARCH({"dimensional analysis","dimensionless coefficients","Π","Pi","theorem","software","design","tools","development","architecture","similar"}, LOWER(Table1938[[#This Row],[Abstract]]))))&gt;0</f>
        <v>1</v>
      </c>
      <c r="AB655" s="2" t="b">
        <f>AND(OR(Table1938[[#This Row],[IC-01 @2024]:[IC-01 @2020]])=TRUE,Table1938[[#This Row],[IC-02]]=TRUE,Table1938[[#This Row],[IC-03]]=TRUE,Table1938[[#This Row],[IC-04]]=TRUE,Table1938[[#This Row],[IC-05]]=TRUE)</f>
        <v>1</v>
      </c>
      <c r="AC655" s="2" t="b">
        <f>AND(Table1938[[#This Row],[Pass-IC]]=TRUE,Table1938[[#This Row],[Pass-EC]]=TRUE)</f>
        <v>1</v>
      </c>
      <c r="AD655" s="2" t="b">
        <f>COUNTIF($D$25:D655, Table1938[[#This Row],[Title]]) = 1</f>
        <v>1</v>
      </c>
      <c r="AE655" s="2" t="b">
        <f>AND(Table1938[[#This Row],[IC + EC]:[Unique]])</f>
        <v>1</v>
      </c>
      <c r="AF655" s="2" t="b">
        <v>1</v>
      </c>
      <c r="AG655" s="2" t="b">
        <v>0</v>
      </c>
      <c r="AH655" s="2" t="b">
        <v>0</v>
      </c>
      <c r="AI655" s="2" t="b">
        <f>IF(AND(Table1938[[#This Row],[Double Check]]=TRUE,Table1938[[#This Row],[Inspected]]=TRUE,Table1938[[#This Row],[Relevant]]=TRUE),TRUE,FALSE)</f>
        <v>0</v>
      </c>
    </row>
    <row r="656" spans="1:35" ht="86" x14ac:dyDescent="0.5">
      <c r="A656" s="2">
        <v>655</v>
      </c>
      <c r="B656" s="20" t="s">
        <v>1</v>
      </c>
      <c r="C656" s="20" t="s">
        <v>3364</v>
      </c>
      <c r="D656" s="20" t="s">
        <v>791</v>
      </c>
      <c r="E656" s="20" t="s">
        <v>790</v>
      </c>
      <c r="F656" s="2" t="s">
        <v>793</v>
      </c>
      <c r="G656" s="20" t="s">
        <v>267</v>
      </c>
      <c r="H656" s="36">
        <v>45226</v>
      </c>
      <c r="I656" s="20">
        <v>2023</v>
      </c>
      <c r="J656" s="20" t="s">
        <v>61</v>
      </c>
      <c r="K656" s="20" t="s">
        <v>123</v>
      </c>
      <c r="L656" s="20" t="s">
        <v>642</v>
      </c>
      <c r="M656" s="20" t="s">
        <v>792</v>
      </c>
      <c r="N656" s="20" t="b">
        <v>1</v>
      </c>
      <c r="O656" s="2" t="b">
        <f>IF(Table1938[[#This Row],[Title]]="",TRUE,FALSE)</f>
        <v>0</v>
      </c>
      <c r="P656" s="2" t="b">
        <f>IF(Table1938[[#This Row],[Author]]="",TRUE,FALSE)</f>
        <v>0</v>
      </c>
      <c r="Q656" s="2" t="b">
        <f>IF(Table1938[[#This Row],[DOI]]&lt;&gt;"", FALSE,TRUE)</f>
        <v>0</v>
      </c>
      <c r="R656" s="2" t="b">
        <f>IF(Table1938[[#This Row],[Abstract]]="",TRUE,FALSE)</f>
        <v>0</v>
      </c>
      <c r="S656" s="2" t="b">
        <f>IF(OR(Table1938[[#This Row],[Document Type]]="book",Table1938[[#This Row],[Document Type]]="bookSection"),TRUE,FALSE)</f>
        <v>0</v>
      </c>
      <c r="T656" s="2" t="b">
        <f>NOT(IF(OR(Table1938[[#This Row],[Language]]&lt;&gt;"en",Table1938[[#This Row],[Language]]&lt;&gt;"EN",Table1938[[#This Row],[Language]]&lt;&gt;"spa",Table1938[[#This Row],[Language]]&lt;&gt;"SPA"),TRUE,FALSE))</f>
        <v>0</v>
      </c>
      <c r="U656" s="2" t="b">
        <f>IF(AND(Table1938[[#This Row],[EC-01]]=FALSE,Table1938[[#This Row],[EC-02]]=FALSE,Table1938[[#This Row],[EC-03]]=FALSE,Table1938[[#This Row],[EC-04]]=FALSE,Table1938[[#This Row],[EC-05]]=FALSE,Table1938[[#This Row],[EC-06]]=FALSE),TRUE,FALSE)</f>
        <v>1</v>
      </c>
      <c r="V656" s="2" t="b">
        <f>IF(Table1938[[#This Row],[Date]]&lt;&gt;"",AND(YEAR(Table1938[[#This Row],[Date]])&gt;=2010, YEAR(Table1938[[#This Row],[Date]])&lt;=2024),FALSE)</f>
        <v>1</v>
      </c>
      <c r="W656" s="2" t="b">
        <f>IF(Table1938[[#This Row],[Date]]&lt;&gt;"",AND(YEAR(Table1938[[#This Row],[Date]])&gt;=2010, YEAR(Table1938[[#This Row],[Date]])&lt;=2020),FALSE)</f>
        <v>0</v>
      </c>
      <c r="X656" s="2" t="b">
        <f>IF(AND(Table1938[[#This Row],[Accesible]]=TRUE,Table1938[[#This Row],[DOI]]&lt;&gt;""),TRUE,FALSE)</f>
        <v>1</v>
      </c>
      <c r="Y656" s="2" t="b">
        <f>OR(Table1938[[#This Row],[Document Type]]="journalArticle",Table1938[[#This Row],[Document Type]]="conferencePaper",Table1938[[#This Row],[Document Type]]="review")</f>
        <v>1</v>
      </c>
      <c r="Z656" s="2" t="b" cm="1">
        <f t="array" ref="Z656">SUMPRODUCT(--ISNUMBER(SEARCH({"dimensional analysis","dimensionless coefficients","Π","Pi","theorem","software","design","tools","development","architecture","similar"}, LOWER(Table1938[[#This Row],[Title]]))))&gt;0</f>
        <v>0</v>
      </c>
      <c r="AA656" s="2" t="b" cm="1">
        <f t="array" ref="AA656">SUMPRODUCT(--ISNUMBER(SEARCH({"dimensional analysis","dimensionless coefficients","Π","Pi","theorem","software","design","tools","development","architecture","similar"}, LOWER(Table1938[[#This Row],[Abstract]]))))&gt;0</f>
        <v>1</v>
      </c>
      <c r="AB656" s="2" t="b">
        <f>AND(OR(Table1938[[#This Row],[IC-01 @2024]:[IC-01 @2020]])=TRUE,Table1938[[#This Row],[IC-02]]=TRUE,Table1938[[#This Row],[IC-03]]=TRUE,Table1938[[#This Row],[IC-04]]=TRUE,Table1938[[#This Row],[IC-05]]=TRUE)</f>
        <v>0</v>
      </c>
      <c r="AC656" s="2" t="b">
        <f>AND(Table1938[[#This Row],[Pass-IC]]=TRUE,Table1938[[#This Row],[Pass-EC]]=TRUE)</f>
        <v>0</v>
      </c>
      <c r="AD656" s="2" t="b">
        <f>COUNTIF($D$25:D656, Table1938[[#This Row],[Title]]) = 1</f>
        <v>1</v>
      </c>
      <c r="AE656" s="2" t="b">
        <f>AND(Table1938[[#This Row],[IC + EC]:[Unique]])</f>
        <v>0</v>
      </c>
      <c r="AF656" s="2" t="b">
        <v>0</v>
      </c>
      <c r="AG656" s="2" t="b">
        <v>0</v>
      </c>
      <c r="AH656" s="2" t="b">
        <v>0</v>
      </c>
      <c r="AI656" s="2" t="b">
        <f>IF(AND(Table1938[[#This Row],[Double Check]]=TRUE,Table1938[[#This Row],[Inspected]]=TRUE,Table1938[[#This Row],[Relevant]]=TRUE),TRUE,FALSE)</f>
        <v>0</v>
      </c>
    </row>
    <row r="657" spans="1:35" ht="43" x14ac:dyDescent="0.5">
      <c r="A657" s="2">
        <v>656</v>
      </c>
      <c r="B657" s="20" t="s">
        <v>1</v>
      </c>
      <c r="C657" s="20" t="s">
        <v>3365</v>
      </c>
      <c r="D657" s="20" t="s">
        <v>795</v>
      </c>
      <c r="E657" s="20" t="s">
        <v>794</v>
      </c>
      <c r="F657" s="2" t="s">
        <v>123</v>
      </c>
      <c r="G657" s="20" t="s">
        <v>765</v>
      </c>
      <c r="H657" s="36">
        <v>45597</v>
      </c>
      <c r="I657" s="20">
        <v>2024</v>
      </c>
      <c r="J657" s="20" t="s">
        <v>61</v>
      </c>
      <c r="K657" s="20" t="s">
        <v>123</v>
      </c>
      <c r="L657" s="20" t="s">
        <v>642</v>
      </c>
      <c r="M657" s="20" t="s">
        <v>796</v>
      </c>
      <c r="N657" s="20" t="b">
        <v>0</v>
      </c>
      <c r="O657" s="2" t="b">
        <f>IF(Table1938[[#This Row],[Title]]="",TRUE,FALSE)</f>
        <v>0</v>
      </c>
      <c r="P657" s="2" t="b">
        <f>IF(Table1938[[#This Row],[Author]]="",TRUE,FALSE)</f>
        <v>0</v>
      </c>
      <c r="Q657" s="2" t="b">
        <f>IF(Table1938[[#This Row],[DOI]]&lt;&gt;"", FALSE,TRUE)</f>
        <v>0</v>
      </c>
      <c r="R657" s="2" t="b">
        <f>IF(Table1938[[#This Row],[Abstract]]="",TRUE,FALSE)</f>
        <v>1</v>
      </c>
      <c r="S657" s="2" t="b">
        <f>IF(OR(Table1938[[#This Row],[Document Type]]="book",Table1938[[#This Row],[Document Type]]="bookSection"),TRUE,FALSE)</f>
        <v>0</v>
      </c>
      <c r="T657" s="2" t="b">
        <f>NOT(IF(OR(Table1938[[#This Row],[Language]]&lt;&gt;"en",Table1938[[#This Row],[Language]]&lt;&gt;"EN",Table1938[[#This Row],[Language]]&lt;&gt;"spa",Table1938[[#This Row],[Language]]&lt;&gt;"SPA"),TRUE,FALSE))</f>
        <v>0</v>
      </c>
      <c r="U657" s="2" t="b">
        <f>IF(AND(Table1938[[#This Row],[EC-01]]=FALSE,Table1938[[#This Row],[EC-02]]=FALSE,Table1938[[#This Row],[EC-03]]=FALSE,Table1938[[#This Row],[EC-04]]=FALSE,Table1938[[#This Row],[EC-05]]=FALSE,Table1938[[#This Row],[EC-06]]=FALSE),TRUE,FALSE)</f>
        <v>0</v>
      </c>
      <c r="V657" s="2" t="b">
        <f>IF(Table1938[[#This Row],[Date]]&lt;&gt;"",AND(YEAR(Table1938[[#This Row],[Date]])&gt;=2010, YEAR(Table1938[[#This Row],[Date]])&lt;=2024),FALSE)</f>
        <v>1</v>
      </c>
      <c r="W657" s="2" t="b">
        <f>IF(Table1938[[#This Row],[Date]]&lt;&gt;"",AND(YEAR(Table1938[[#This Row],[Date]])&gt;=2010, YEAR(Table1938[[#This Row],[Date]])&lt;=2020),FALSE)</f>
        <v>0</v>
      </c>
      <c r="X657" s="2" t="b">
        <f>IF(AND(Table1938[[#This Row],[Accesible]]=TRUE,Table1938[[#This Row],[DOI]]&lt;&gt;""),TRUE,FALSE)</f>
        <v>0</v>
      </c>
      <c r="Y657" s="2" t="b">
        <f>OR(Table1938[[#This Row],[Document Type]]="journalArticle",Table1938[[#This Row],[Document Type]]="conferencePaper",Table1938[[#This Row],[Document Type]]="review")</f>
        <v>1</v>
      </c>
      <c r="Z657" s="2" t="b" cm="1">
        <f t="array" ref="Z657">SUMPRODUCT(--ISNUMBER(SEARCH({"dimensional analysis","dimensionless coefficients","Π","Pi","theorem","software","design","tools","development","architecture","similar"}, LOWER(Table1938[[#This Row],[Title]]))))&gt;0</f>
        <v>0</v>
      </c>
      <c r="AA657" s="2" t="b" cm="1">
        <f t="array" ref="AA657">SUMPRODUCT(--ISNUMBER(SEARCH({"dimensional analysis","dimensionless coefficients","Π","Pi","theorem","software","design","tools","development","architecture","similar"}, LOWER(Table1938[[#This Row],[Abstract]]))))&gt;0</f>
        <v>0</v>
      </c>
      <c r="AB657" s="2" t="b">
        <f>AND(OR(Table1938[[#This Row],[IC-01 @2024]:[IC-01 @2020]])=TRUE,Table1938[[#This Row],[IC-02]]=TRUE,Table1938[[#This Row],[IC-03]]=TRUE,Table1938[[#This Row],[IC-04]]=TRUE,Table1938[[#This Row],[IC-05]]=TRUE)</f>
        <v>0</v>
      </c>
      <c r="AC657" s="2" t="b">
        <f>AND(Table1938[[#This Row],[Pass-IC]]=TRUE,Table1938[[#This Row],[Pass-EC]]=TRUE)</f>
        <v>0</v>
      </c>
      <c r="AD657" s="2" t="b">
        <f>COUNTIF($D$25:D657, Table1938[[#This Row],[Title]]) = 1</f>
        <v>1</v>
      </c>
      <c r="AE657" s="2" t="b">
        <f>AND(Table1938[[#This Row],[IC + EC]:[Unique]])</f>
        <v>0</v>
      </c>
      <c r="AF657" s="2" t="b">
        <v>0</v>
      </c>
      <c r="AG657" s="2" t="b">
        <v>0</v>
      </c>
      <c r="AH657" s="2" t="b">
        <v>0</v>
      </c>
      <c r="AI657" s="2" t="b">
        <f>IF(AND(Table1938[[#This Row],[Double Check]]=TRUE,Table1938[[#This Row],[Inspected]]=TRUE,Table1938[[#This Row],[Relevant]]=TRUE),TRUE,FALSE)</f>
        <v>0</v>
      </c>
    </row>
    <row r="658" spans="1:35" ht="86" x14ac:dyDescent="0.5">
      <c r="A658" s="2">
        <v>657</v>
      </c>
      <c r="B658" s="20" t="s">
        <v>1</v>
      </c>
      <c r="C658" s="20" t="s">
        <v>3366</v>
      </c>
      <c r="D658" s="20" t="s">
        <v>797</v>
      </c>
      <c r="E658" s="20" t="s">
        <v>123</v>
      </c>
      <c r="F658" s="2" t="s">
        <v>123</v>
      </c>
      <c r="G658" s="20" t="s">
        <v>137</v>
      </c>
      <c r="H658" s="36">
        <v>44706</v>
      </c>
      <c r="I658" s="20">
        <v>2022</v>
      </c>
      <c r="J658" s="20" t="s">
        <v>61</v>
      </c>
      <c r="K658" s="20" t="s">
        <v>123</v>
      </c>
      <c r="L658" s="20" t="s">
        <v>642</v>
      </c>
      <c r="M658" s="20" t="s">
        <v>138</v>
      </c>
      <c r="N658" s="20" t="b">
        <v>0</v>
      </c>
      <c r="O658" s="2" t="b">
        <f>IF(Table1938[[#This Row],[Title]]="",TRUE,FALSE)</f>
        <v>0</v>
      </c>
      <c r="P658" s="2" t="b">
        <f>IF(Table1938[[#This Row],[Author]]="",TRUE,FALSE)</f>
        <v>1</v>
      </c>
      <c r="Q658" s="2" t="b">
        <f>IF(Table1938[[#This Row],[DOI]]&lt;&gt;"", FALSE,TRUE)</f>
        <v>0</v>
      </c>
      <c r="R658" s="2" t="b">
        <f>IF(Table1938[[#This Row],[Abstract]]="",TRUE,FALSE)</f>
        <v>1</v>
      </c>
      <c r="S658" s="2" t="b">
        <f>IF(OR(Table1938[[#This Row],[Document Type]]="book",Table1938[[#This Row],[Document Type]]="bookSection"),TRUE,FALSE)</f>
        <v>0</v>
      </c>
      <c r="T658" s="2" t="b">
        <f>NOT(IF(OR(Table1938[[#This Row],[Language]]&lt;&gt;"en",Table1938[[#This Row],[Language]]&lt;&gt;"EN",Table1938[[#This Row],[Language]]&lt;&gt;"spa",Table1938[[#This Row],[Language]]&lt;&gt;"SPA"),TRUE,FALSE))</f>
        <v>0</v>
      </c>
      <c r="U658" s="2" t="b">
        <f>IF(AND(Table1938[[#This Row],[EC-01]]=FALSE,Table1938[[#This Row],[EC-02]]=FALSE,Table1938[[#This Row],[EC-03]]=FALSE,Table1938[[#This Row],[EC-04]]=FALSE,Table1938[[#This Row],[EC-05]]=FALSE,Table1938[[#This Row],[EC-06]]=FALSE),TRUE,FALSE)</f>
        <v>0</v>
      </c>
      <c r="V658" s="2" t="b">
        <f>IF(Table1938[[#This Row],[Date]]&lt;&gt;"",AND(YEAR(Table1938[[#This Row],[Date]])&gt;=2010, YEAR(Table1938[[#This Row],[Date]])&lt;=2024),FALSE)</f>
        <v>1</v>
      </c>
      <c r="W658" s="2" t="b">
        <f>IF(Table1938[[#This Row],[Date]]&lt;&gt;"",AND(YEAR(Table1938[[#This Row],[Date]])&gt;=2010, YEAR(Table1938[[#This Row],[Date]])&lt;=2020),FALSE)</f>
        <v>0</v>
      </c>
      <c r="X658" s="2" t="b">
        <f>IF(AND(Table1938[[#This Row],[Accesible]]=TRUE,Table1938[[#This Row],[DOI]]&lt;&gt;""),TRUE,FALSE)</f>
        <v>0</v>
      </c>
      <c r="Y658" s="2" t="b">
        <f>OR(Table1938[[#This Row],[Document Type]]="journalArticle",Table1938[[#This Row],[Document Type]]="conferencePaper",Table1938[[#This Row],[Document Type]]="review")</f>
        <v>1</v>
      </c>
      <c r="Z658" s="2" t="b" cm="1">
        <f t="array" ref="Z658">SUMPRODUCT(--ISNUMBER(SEARCH({"dimensional analysis","dimensionless coefficients","Π","Pi","theorem","software","design","tools","development","architecture","similar"}, LOWER(Table1938[[#This Row],[Title]]))))&gt;0</f>
        <v>0</v>
      </c>
      <c r="AA658" s="2" t="b" cm="1">
        <f t="array" ref="AA658">SUMPRODUCT(--ISNUMBER(SEARCH({"dimensional analysis","dimensionless coefficients","Π","Pi","theorem","software","design","tools","development","architecture","similar"}, LOWER(Table1938[[#This Row],[Abstract]]))))&gt;0</f>
        <v>0</v>
      </c>
      <c r="AB658" s="2" t="b">
        <f>AND(OR(Table1938[[#This Row],[IC-01 @2024]:[IC-01 @2020]])=TRUE,Table1938[[#This Row],[IC-02]]=TRUE,Table1938[[#This Row],[IC-03]]=TRUE,Table1938[[#This Row],[IC-04]]=TRUE,Table1938[[#This Row],[IC-05]]=TRUE)</f>
        <v>0</v>
      </c>
      <c r="AC658" s="2" t="b">
        <f>AND(Table1938[[#This Row],[Pass-IC]]=TRUE,Table1938[[#This Row],[Pass-EC]]=TRUE)</f>
        <v>0</v>
      </c>
      <c r="AD658" s="2" t="b">
        <f>COUNTIF($D$25:D658, Table1938[[#This Row],[Title]]) = 1</f>
        <v>1</v>
      </c>
      <c r="AE658" s="2" t="b">
        <f>AND(Table1938[[#This Row],[IC + EC]:[Unique]])</f>
        <v>0</v>
      </c>
      <c r="AF658" s="2" t="b">
        <v>0</v>
      </c>
      <c r="AG658" s="2" t="b">
        <v>0</v>
      </c>
      <c r="AH658" s="2" t="b">
        <v>0</v>
      </c>
      <c r="AI658" s="2" t="b">
        <f>IF(AND(Table1938[[#This Row],[Double Check]]=TRUE,Table1938[[#This Row],[Inspected]]=TRUE,Table1938[[#This Row],[Relevant]]=TRUE),TRUE,FALSE)</f>
        <v>0</v>
      </c>
    </row>
    <row r="659" spans="1:35" ht="57.35" x14ac:dyDescent="0.5">
      <c r="A659" s="2">
        <v>658</v>
      </c>
      <c r="B659" s="20" t="s">
        <v>1</v>
      </c>
      <c r="C659" s="20" t="s">
        <v>3367</v>
      </c>
      <c r="D659" s="20" t="s">
        <v>215</v>
      </c>
      <c r="E659" s="20" t="s">
        <v>798</v>
      </c>
      <c r="F659" s="2" t="s">
        <v>123</v>
      </c>
      <c r="G659" s="20" t="s">
        <v>216</v>
      </c>
      <c r="H659" s="36">
        <v>44531</v>
      </c>
      <c r="I659" s="20">
        <v>2021</v>
      </c>
      <c r="J659" s="20" t="s">
        <v>61</v>
      </c>
      <c r="K659" s="20" t="s">
        <v>123</v>
      </c>
      <c r="L659" s="20" t="s">
        <v>642</v>
      </c>
      <c r="M659" s="20" t="s">
        <v>217</v>
      </c>
      <c r="N659" s="20" t="b">
        <v>0</v>
      </c>
      <c r="O659" s="2" t="b">
        <f>IF(Table1938[[#This Row],[Title]]="",TRUE,FALSE)</f>
        <v>0</v>
      </c>
      <c r="P659" s="2" t="b">
        <f>IF(Table1938[[#This Row],[Author]]="",TRUE,FALSE)</f>
        <v>0</v>
      </c>
      <c r="Q659" s="2" t="b">
        <f>IF(Table1938[[#This Row],[DOI]]&lt;&gt;"", FALSE,TRUE)</f>
        <v>0</v>
      </c>
      <c r="R659" s="2" t="b">
        <f>IF(Table1938[[#This Row],[Abstract]]="",TRUE,FALSE)</f>
        <v>1</v>
      </c>
      <c r="S659" s="2" t="b">
        <f>IF(OR(Table1938[[#This Row],[Document Type]]="book",Table1938[[#This Row],[Document Type]]="bookSection"),TRUE,FALSE)</f>
        <v>0</v>
      </c>
      <c r="T659" s="2" t="b">
        <f>NOT(IF(OR(Table1938[[#This Row],[Language]]&lt;&gt;"en",Table1938[[#This Row],[Language]]&lt;&gt;"EN",Table1938[[#This Row],[Language]]&lt;&gt;"spa",Table1938[[#This Row],[Language]]&lt;&gt;"SPA"),TRUE,FALSE))</f>
        <v>0</v>
      </c>
      <c r="U659" s="2" t="b">
        <f>IF(AND(Table1938[[#This Row],[EC-01]]=FALSE,Table1938[[#This Row],[EC-02]]=FALSE,Table1938[[#This Row],[EC-03]]=FALSE,Table1938[[#This Row],[EC-04]]=FALSE,Table1938[[#This Row],[EC-05]]=FALSE,Table1938[[#This Row],[EC-06]]=FALSE),TRUE,FALSE)</f>
        <v>0</v>
      </c>
      <c r="V659" s="2" t="b">
        <f>IF(Table1938[[#This Row],[Date]]&lt;&gt;"",AND(YEAR(Table1938[[#This Row],[Date]])&gt;=2010, YEAR(Table1938[[#This Row],[Date]])&lt;=2024),FALSE)</f>
        <v>1</v>
      </c>
      <c r="W659" s="2" t="b">
        <f>IF(Table1938[[#This Row],[Date]]&lt;&gt;"",AND(YEAR(Table1938[[#This Row],[Date]])&gt;=2010, YEAR(Table1938[[#This Row],[Date]])&lt;=2020),FALSE)</f>
        <v>0</v>
      </c>
      <c r="X659" s="2" t="b">
        <f>IF(AND(Table1938[[#This Row],[Accesible]]=TRUE,Table1938[[#This Row],[DOI]]&lt;&gt;""),TRUE,FALSE)</f>
        <v>0</v>
      </c>
      <c r="Y659" s="2" t="b">
        <f>OR(Table1938[[#This Row],[Document Type]]="journalArticle",Table1938[[#This Row],[Document Type]]="conferencePaper",Table1938[[#This Row],[Document Type]]="review")</f>
        <v>1</v>
      </c>
      <c r="Z659" s="2" t="b" cm="1">
        <f t="array" ref="Z659">SUMPRODUCT(--ISNUMBER(SEARCH({"dimensional analysis","dimensionless coefficients","Π","Pi","theorem","software","design","tools","development","architecture","similar"}, LOWER(Table1938[[#This Row],[Title]]))))&gt;0</f>
        <v>0</v>
      </c>
      <c r="AA659" s="2" t="b" cm="1">
        <f t="array" ref="AA659">SUMPRODUCT(--ISNUMBER(SEARCH({"dimensional analysis","dimensionless coefficients","Π","Pi","theorem","software","design","tools","development","architecture","similar"}, LOWER(Table1938[[#This Row],[Abstract]]))))&gt;0</f>
        <v>0</v>
      </c>
      <c r="AB659" s="2" t="b">
        <f>AND(OR(Table1938[[#This Row],[IC-01 @2024]:[IC-01 @2020]])=TRUE,Table1938[[#This Row],[IC-02]]=TRUE,Table1938[[#This Row],[IC-03]]=TRUE,Table1938[[#This Row],[IC-04]]=TRUE,Table1938[[#This Row],[IC-05]]=TRUE)</f>
        <v>0</v>
      </c>
      <c r="AC659" s="2" t="b">
        <f>AND(Table1938[[#This Row],[Pass-IC]]=TRUE,Table1938[[#This Row],[Pass-EC]]=TRUE)</f>
        <v>0</v>
      </c>
      <c r="AD659" s="2" t="b">
        <f>COUNTIF($D$24:D660, Table1938[[#This Row],[Title]]) = 1</f>
        <v>1</v>
      </c>
      <c r="AE659" s="2" t="b">
        <f>AND(Table1938[[#This Row],[IC + EC]:[Unique]])</f>
        <v>0</v>
      </c>
      <c r="AF659" s="2" t="b">
        <v>0</v>
      </c>
      <c r="AG659" s="2" t="b">
        <v>0</v>
      </c>
      <c r="AH659" s="2" t="b">
        <v>0</v>
      </c>
      <c r="AI659" s="2" t="b">
        <f>IF(AND(Table1938[[#This Row],[Double Check]]=TRUE,Table1938[[#This Row],[Inspected]]=TRUE,Table1938[[#This Row],[Relevant]]=TRUE),TRUE,FALSE)</f>
        <v>0</v>
      </c>
    </row>
    <row r="660" spans="1:35" ht="43" x14ac:dyDescent="0.5">
      <c r="A660" s="2">
        <v>659</v>
      </c>
      <c r="B660" s="20" t="s">
        <v>1</v>
      </c>
      <c r="C660" s="20" t="s">
        <v>3368</v>
      </c>
      <c r="D660" s="20" t="s">
        <v>800</v>
      </c>
      <c r="E660" s="20" t="s">
        <v>799</v>
      </c>
      <c r="F660" s="2" t="s">
        <v>123</v>
      </c>
      <c r="G660" s="20" t="s">
        <v>801</v>
      </c>
      <c r="H660" s="36">
        <v>45261</v>
      </c>
      <c r="I660" s="20">
        <v>2023</v>
      </c>
      <c r="J660" s="20" t="s">
        <v>61</v>
      </c>
      <c r="K660" s="20" t="s">
        <v>123</v>
      </c>
      <c r="L660" s="20" t="s">
        <v>642</v>
      </c>
      <c r="M660" s="20" t="s">
        <v>802</v>
      </c>
      <c r="N660" s="20" t="b">
        <v>0</v>
      </c>
      <c r="O660" s="2" t="b">
        <f>IF(Table1938[[#This Row],[Title]]="",TRUE,FALSE)</f>
        <v>0</v>
      </c>
      <c r="P660" s="2" t="b">
        <f>IF(Table1938[[#This Row],[Author]]="",TRUE,FALSE)</f>
        <v>0</v>
      </c>
      <c r="Q660" s="2" t="b">
        <f>IF(Table1938[[#This Row],[DOI]]&lt;&gt;"", FALSE,TRUE)</f>
        <v>0</v>
      </c>
      <c r="R660" s="2" t="b">
        <f>IF(Table1938[[#This Row],[Abstract]]="",TRUE,FALSE)</f>
        <v>1</v>
      </c>
      <c r="S660" s="2" t="b">
        <f>IF(OR(Table1938[[#This Row],[Document Type]]="book",Table1938[[#This Row],[Document Type]]="bookSection"),TRUE,FALSE)</f>
        <v>0</v>
      </c>
      <c r="T660" s="2" t="b">
        <f>NOT(IF(OR(Table1938[[#This Row],[Language]]&lt;&gt;"en",Table1938[[#This Row],[Language]]&lt;&gt;"EN",Table1938[[#This Row],[Language]]&lt;&gt;"spa",Table1938[[#This Row],[Language]]&lt;&gt;"SPA"),TRUE,FALSE))</f>
        <v>0</v>
      </c>
      <c r="U660" s="2" t="b">
        <f>IF(AND(Table1938[[#This Row],[EC-01]]=FALSE,Table1938[[#This Row],[EC-02]]=FALSE,Table1938[[#This Row],[EC-03]]=FALSE,Table1938[[#This Row],[EC-04]]=FALSE,Table1938[[#This Row],[EC-05]]=FALSE,Table1938[[#This Row],[EC-06]]=FALSE),TRUE,FALSE)</f>
        <v>0</v>
      </c>
      <c r="V660" s="2" t="b">
        <f>IF(Table1938[[#This Row],[Date]]&lt;&gt;"",AND(YEAR(Table1938[[#This Row],[Date]])&gt;=2010, YEAR(Table1938[[#This Row],[Date]])&lt;=2024),FALSE)</f>
        <v>1</v>
      </c>
      <c r="W660" s="2" t="b">
        <f>IF(Table1938[[#This Row],[Date]]&lt;&gt;"",AND(YEAR(Table1938[[#This Row],[Date]])&gt;=2010, YEAR(Table1938[[#This Row],[Date]])&lt;=2020),FALSE)</f>
        <v>0</v>
      </c>
      <c r="X660" s="2" t="b">
        <f>IF(AND(Table1938[[#This Row],[Accesible]]=TRUE,Table1938[[#This Row],[DOI]]&lt;&gt;""),TRUE,FALSE)</f>
        <v>0</v>
      </c>
      <c r="Y660" s="2" t="b">
        <f>OR(Table1938[[#This Row],[Document Type]]="journalArticle",Table1938[[#This Row],[Document Type]]="conferencePaper",Table1938[[#This Row],[Document Type]]="review")</f>
        <v>1</v>
      </c>
      <c r="Z660" s="2" t="b" cm="1">
        <f t="array" ref="Z660">SUMPRODUCT(--ISNUMBER(SEARCH({"dimensional analysis","dimensionless coefficients","Π","Pi","theorem","software","design","tools","development","architecture","similar"}, LOWER(Table1938[[#This Row],[Title]]))))&gt;0</f>
        <v>0</v>
      </c>
      <c r="AA660" s="2" t="b" cm="1">
        <f t="array" ref="AA660">SUMPRODUCT(--ISNUMBER(SEARCH({"dimensional analysis","dimensionless coefficients","Π","Pi","theorem","software","design","tools","development","architecture","similar"}, LOWER(Table1938[[#This Row],[Abstract]]))))&gt;0</f>
        <v>0</v>
      </c>
      <c r="AB660" s="2" t="b">
        <f>AND(OR(Table1938[[#This Row],[IC-01 @2024]:[IC-01 @2020]])=TRUE,Table1938[[#This Row],[IC-02]]=TRUE,Table1938[[#This Row],[IC-03]]=TRUE,Table1938[[#This Row],[IC-04]]=TRUE,Table1938[[#This Row],[IC-05]]=TRUE)</f>
        <v>0</v>
      </c>
      <c r="AC660" s="2" t="b">
        <f>AND(Table1938[[#This Row],[Pass-IC]]=TRUE,Table1938[[#This Row],[Pass-EC]]=TRUE)</f>
        <v>0</v>
      </c>
      <c r="AD660" s="2" t="b">
        <f>COUNTIF($D$23:D662, Table1938[[#This Row],[Title]]) = 1</f>
        <v>1</v>
      </c>
      <c r="AE660" s="2" t="b">
        <f>AND(Table1938[[#This Row],[IC + EC]:[Unique]])</f>
        <v>0</v>
      </c>
      <c r="AF660" s="2" t="b">
        <v>0</v>
      </c>
      <c r="AG660" s="2" t="b">
        <v>0</v>
      </c>
      <c r="AH660" s="2" t="b">
        <v>0</v>
      </c>
      <c r="AI660" s="2" t="b">
        <f>IF(AND(Table1938[[#This Row],[Double Check]]=TRUE,Table1938[[#This Row],[Inspected]]=TRUE,Table1938[[#This Row],[Relevant]]=TRUE),TRUE,FALSE)</f>
        <v>0</v>
      </c>
    </row>
    <row r="661" spans="1:35" ht="43" x14ac:dyDescent="0.5">
      <c r="A661" s="2">
        <v>660</v>
      </c>
      <c r="B661" s="20" t="s">
        <v>1</v>
      </c>
      <c r="C661" s="20" t="s">
        <v>3369</v>
      </c>
      <c r="D661" s="20" t="s">
        <v>804</v>
      </c>
      <c r="E661" s="20" t="s">
        <v>803</v>
      </c>
      <c r="F661" s="2" t="s">
        <v>123</v>
      </c>
      <c r="G661" s="20" t="s">
        <v>805</v>
      </c>
      <c r="H661" s="36">
        <v>45345</v>
      </c>
      <c r="I661" s="20">
        <v>2024</v>
      </c>
      <c r="J661" s="20" t="s">
        <v>61</v>
      </c>
      <c r="K661" s="20" t="s">
        <v>123</v>
      </c>
      <c r="L661" s="20" t="s">
        <v>642</v>
      </c>
      <c r="M661" s="20" t="s">
        <v>806</v>
      </c>
      <c r="N661" s="20" t="b">
        <v>0</v>
      </c>
      <c r="O661" s="2" t="b">
        <f>IF(Table1938[[#This Row],[Title]]="",TRUE,FALSE)</f>
        <v>0</v>
      </c>
      <c r="P661" s="2" t="b">
        <f>IF(Table1938[[#This Row],[Author]]="",TRUE,FALSE)</f>
        <v>0</v>
      </c>
      <c r="Q661" s="2" t="b">
        <f>IF(Table1938[[#This Row],[DOI]]&lt;&gt;"", FALSE,TRUE)</f>
        <v>0</v>
      </c>
      <c r="R661" s="2" t="b">
        <f>IF(Table1938[[#This Row],[Abstract]]="",TRUE,FALSE)</f>
        <v>1</v>
      </c>
      <c r="S661" s="2" t="b">
        <f>IF(OR(Table1938[[#This Row],[Document Type]]="book",Table1938[[#This Row],[Document Type]]="bookSection"),TRUE,FALSE)</f>
        <v>0</v>
      </c>
      <c r="T661" s="2" t="b">
        <f>NOT(IF(OR(Table1938[[#This Row],[Language]]&lt;&gt;"en",Table1938[[#This Row],[Language]]&lt;&gt;"EN",Table1938[[#This Row],[Language]]&lt;&gt;"spa",Table1938[[#This Row],[Language]]&lt;&gt;"SPA"),TRUE,FALSE))</f>
        <v>0</v>
      </c>
      <c r="U661" s="2" t="b">
        <f>IF(AND(Table1938[[#This Row],[EC-01]]=FALSE,Table1938[[#This Row],[EC-02]]=FALSE,Table1938[[#This Row],[EC-03]]=FALSE,Table1938[[#This Row],[EC-04]]=FALSE,Table1938[[#This Row],[EC-05]]=FALSE,Table1938[[#This Row],[EC-06]]=FALSE),TRUE,FALSE)</f>
        <v>0</v>
      </c>
      <c r="V661" s="2" t="b">
        <f>IF(Table1938[[#This Row],[Date]]&lt;&gt;"",AND(YEAR(Table1938[[#This Row],[Date]])&gt;=2010, YEAR(Table1938[[#This Row],[Date]])&lt;=2024),FALSE)</f>
        <v>1</v>
      </c>
      <c r="W661" s="2" t="b">
        <f>IF(Table1938[[#This Row],[Date]]&lt;&gt;"",AND(YEAR(Table1938[[#This Row],[Date]])&gt;=2010, YEAR(Table1938[[#This Row],[Date]])&lt;=2020),FALSE)</f>
        <v>0</v>
      </c>
      <c r="X661" s="2" t="b">
        <f>IF(AND(Table1938[[#This Row],[Accesible]]=TRUE,Table1938[[#This Row],[DOI]]&lt;&gt;""),TRUE,FALSE)</f>
        <v>0</v>
      </c>
      <c r="Y661" s="2" t="b">
        <f>OR(Table1938[[#This Row],[Document Type]]="journalArticle",Table1938[[#This Row],[Document Type]]="conferencePaper",Table1938[[#This Row],[Document Type]]="review")</f>
        <v>1</v>
      </c>
      <c r="Z661" s="2" t="b" cm="1">
        <f t="array" ref="Z661">SUMPRODUCT(--ISNUMBER(SEARCH({"dimensional analysis","dimensionless coefficients","Π","Pi","theorem","software","design","tools","development","architecture","similar"}, LOWER(Table1938[[#This Row],[Title]]))))&gt;0</f>
        <v>0</v>
      </c>
      <c r="AA661" s="2" t="b" cm="1">
        <f t="array" ref="AA661">SUMPRODUCT(--ISNUMBER(SEARCH({"dimensional analysis","dimensionless coefficients","Π","Pi","theorem","software","design","tools","development","architecture","similar"}, LOWER(Table1938[[#This Row],[Abstract]]))))&gt;0</f>
        <v>0</v>
      </c>
      <c r="AB661" s="2" t="b">
        <f>AND(OR(Table1938[[#This Row],[IC-01 @2024]:[IC-01 @2020]])=TRUE,Table1938[[#This Row],[IC-02]]=TRUE,Table1938[[#This Row],[IC-03]]=TRUE,Table1938[[#This Row],[IC-04]]=TRUE,Table1938[[#This Row],[IC-05]]=TRUE)</f>
        <v>0</v>
      </c>
      <c r="AC661" s="2" t="b">
        <f>AND(Table1938[[#This Row],[Pass-IC]]=TRUE,Table1938[[#This Row],[Pass-EC]]=TRUE)</f>
        <v>0</v>
      </c>
      <c r="AD661" s="2" t="b">
        <f>COUNTIF($D$22:D664, Table1938[[#This Row],[Title]]) = 1</f>
        <v>1</v>
      </c>
      <c r="AE661" s="2" t="b">
        <f>AND(Table1938[[#This Row],[IC + EC]:[Unique]])</f>
        <v>0</v>
      </c>
      <c r="AF661" s="2" t="b">
        <v>0</v>
      </c>
      <c r="AG661" s="2" t="b">
        <v>0</v>
      </c>
      <c r="AH661" s="2" t="b">
        <v>0</v>
      </c>
      <c r="AI661" s="2" t="b">
        <f>IF(AND(Table1938[[#This Row],[Double Check]]=TRUE,Table1938[[#This Row],[Inspected]]=TRUE,Table1938[[#This Row],[Relevant]]=TRUE),TRUE,FALSE)</f>
        <v>0</v>
      </c>
    </row>
    <row r="662" spans="1:35" ht="28.7" x14ac:dyDescent="0.5">
      <c r="A662" s="2">
        <v>661</v>
      </c>
      <c r="B662" s="20" t="s">
        <v>1</v>
      </c>
      <c r="C662" s="20" t="s">
        <v>3370</v>
      </c>
      <c r="D662" s="20" t="s">
        <v>726</v>
      </c>
      <c r="E662" s="20" t="s">
        <v>123</v>
      </c>
      <c r="F662" s="2" t="s">
        <v>123</v>
      </c>
      <c r="G662" s="20" t="s">
        <v>57</v>
      </c>
      <c r="H662" s="36">
        <v>45292</v>
      </c>
      <c r="I662" s="20">
        <v>2024</v>
      </c>
      <c r="J662" s="20" t="s">
        <v>688</v>
      </c>
      <c r="K662" s="20" t="s">
        <v>123</v>
      </c>
      <c r="L662" s="20" t="s">
        <v>642</v>
      </c>
      <c r="M662" s="20" t="s">
        <v>123</v>
      </c>
      <c r="N662" s="20" t="b">
        <v>0</v>
      </c>
      <c r="O662" s="2" t="b">
        <f>IF(Table1938[[#This Row],[Title]]="",TRUE,FALSE)</f>
        <v>0</v>
      </c>
      <c r="P662" s="2" t="b">
        <f>IF(Table1938[[#This Row],[Author]]="",TRUE,FALSE)</f>
        <v>1</v>
      </c>
      <c r="Q662" s="2" t="b">
        <f>IF(Table1938[[#This Row],[DOI]]&lt;&gt;"", FALSE,TRUE)</f>
        <v>1</v>
      </c>
      <c r="R662" s="2" t="b">
        <f>IF(Table1938[[#This Row],[Abstract]]="",TRUE,FALSE)</f>
        <v>1</v>
      </c>
      <c r="S662" s="2" t="b">
        <f>IF(OR(Table1938[[#This Row],[Document Type]]="book",Table1938[[#This Row],[Document Type]]="bookSection"),TRUE,FALSE)</f>
        <v>1</v>
      </c>
      <c r="T662" s="2" t="b">
        <f>NOT(IF(OR(Table1938[[#This Row],[Language]]&lt;&gt;"en",Table1938[[#This Row],[Language]]&lt;&gt;"EN",Table1938[[#This Row],[Language]]&lt;&gt;"spa",Table1938[[#This Row],[Language]]&lt;&gt;"SPA"),TRUE,FALSE))</f>
        <v>0</v>
      </c>
      <c r="U662" s="2" t="b">
        <f>IF(AND(Table1938[[#This Row],[EC-01]]=FALSE,Table1938[[#This Row],[EC-02]]=FALSE,Table1938[[#This Row],[EC-03]]=FALSE,Table1938[[#This Row],[EC-04]]=FALSE,Table1938[[#This Row],[EC-05]]=FALSE,Table1938[[#This Row],[EC-06]]=FALSE),TRUE,FALSE)</f>
        <v>0</v>
      </c>
      <c r="V662" s="2" t="b">
        <f>IF(Table1938[[#This Row],[Date]]&lt;&gt;"",AND(YEAR(Table1938[[#This Row],[Date]])&gt;=2010, YEAR(Table1938[[#This Row],[Date]])&lt;=2024),FALSE)</f>
        <v>1</v>
      </c>
      <c r="W662" s="2" t="b">
        <f>IF(Table1938[[#This Row],[Date]]&lt;&gt;"",AND(YEAR(Table1938[[#This Row],[Date]])&gt;=2010, YEAR(Table1938[[#This Row],[Date]])&lt;=2020),FALSE)</f>
        <v>0</v>
      </c>
      <c r="X662" s="2" t="b">
        <f>IF(AND(Table1938[[#This Row],[Accesible]]=TRUE,Table1938[[#This Row],[DOI]]&lt;&gt;""),TRUE,FALSE)</f>
        <v>0</v>
      </c>
      <c r="Y662" s="2" t="b">
        <f>OR(Table1938[[#This Row],[Document Type]]="journalArticle",Table1938[[#This Row],[Document Type]]="conferencePaper",Table1938[[#This Row],[Document Type]]="review")</f>
        <v>0</v>
      </c>
      <c r="Z662" s="2" t="b" cm="1">
        <f t="array" ref="Z662">SUMPRODUCT(--ISNUMBER(SEARCH({"dimensional analysis","dimensionless coefficients","Π","Pi","theorem","software","design","tools","development","architecture","similar"}, LOWER(Table1938[[#This Row],[Title]]))))&gt;0</f>
        <v>0</v>
      </c>
      <c r="AA662" s="2" t="b" cm="1">
        <f t="array" ref="AA662">SUMPRODUCT(--ISNUMBER(SEARCH({"dimensional analysis","dimensionless coefficients","Π","Pi","theorem","software","design","tools","development","architecture","similar"}, LOWER(Table1938[[#This Row],[Abstract]]))))&gt;0</f>
        <v>0</v>
      </c>
      <c r="AB662" s="2" t="b">
        <f>AND(OR(Table1938[[#This Row],[IC-01 @2024]:[IC-01 @2020]])=TRUE,Table1938[[#This Row],[IC-02]]=TRUE,Table1938[[#This Row],[IC-03]]=TRUE,Table1938[[#This Row],[IC-04]]=TRUE,Table1938[[#This Row],[IC-05]]=TRUE)</f>
        <v>0</v>
      </c>
      <c r="AC662" s="2" t="b">
        <f>AND(Table1938[[#This Row],[Pass-IC]]=TRUE,Table1938[[#This Row],[Pass-EC]]=TRUE)</f>
        <v>0</v>
      </c>
      <c r="AD662" s="2" t="b">
        <f>COUNTIF($D$21:D666, Table1938[[#This Row],[Title]]) = 1</f>
        <v>1</v>
      </c>
      <c r="AE662" s="2" t="b">
        <f>AND(Table1938[[#This Row],[IC + EC]:[Unique]])</f>
        <v>0</v>
      </c>
      <c r="AF662" s="2" t="b">
        <v>0</v>
      </c>
      <c r="AG662" s="2" t="b">
        <v>0</v>
      </c>
      <c r="AH662" s="2" t="b">
        <v>0</v>
      </c>
      <c r="AI662" s="2" t="b">
        <f>IF(AND(Table1938[[#This Row],[Double Check]]=TRUE,Table1938[[#This Row],[Inspected]]=TRUE,Table1938[[#This Row],[Relevant]]=TRUE),TRUE,FALSE)</f>
        <v>0</v>
      </c>
    </row>
    <row r="663" spans="1:35" ht="86" x14ac:dyDescent="0.5">
      <c r="A663" s="2">
        <v>662</v>
      </c>
      <c r="B663" s="20" t="s">
        <v>1</v>
      </c>
      <c r="C663" s="20" t="s">
        <v>3371</v>
      </c>
      <c r="D663" s="20" t="s">
        <v>727</v>
      </c>
      <c r="E663" s="20" t="s">
        <v>123</v>
      </c>
      <c r="F663" s="2" t="s">
        <v>123</v>
      </c>
      <c r="G663" s="20" t="s">
        <v>123</v>
      </c>
      <c r="H663" s="36">
        <v>45292</v>
      </c>
      <c r="I663" s="20">
        <v>2024</v>
      </c>
      <c r="J663" s="20" t="s">
        <v>63</v>
      </c>
      <c r="K663" s="20" t="s">
        <v>123</v>
      </c>
      <c r="L663" s="20" t="s">
        <v>642</v>
      </c>
      <c r="M663" s="20" t="s">
        <v>123</v>
      </c>
      <c r="N663" s="20" t="b">
        <v>0</v>
      </c>
      <c r="O663" s="2" t="b">
        <f>IF(Table1938[[#This Row],[Title]]="",TRUE,FALSE)</f>
        <v>0</v>
      </c>
      <c r="P663" s="2" t="b">
        <f>IF(Table1938[[#This Row],[Author]]="",TRUE,FALSE)</f>
        <v>1</v>
      </c>
      <c r="Q663" s="2" t="b">
        <f>IF(Table1938[[#This Row],[DOI]]&lt;&gt;"", FALSE,TRUE)</f>
        <v>1</v>
      </c>
      <c r="R663" s="2" t="b">
        <f>IF(Table1938[[#This Row],[Abstract]]="",TRUE,FALSE)</f>
        <v>1</v>
      </c>
      <c r="S663" s="2" t="b">
        <f>IF(OR(Table1938[[#This Row],[Document Type]]="book",Table1938[[#This Row],[Document Type]]="bookSection"),TRUE,FALSE)</f>
        <v>1</v>
      </c>
      <c r="T663" s="2" t="b">
        <f>NOT(IF(OR(Table1938[[#This Row],[Language]]&lt;&gt;"en",Table1938[[#This Row],[Language]]&lt;&gt;"EN",Table1938[[#This Row],[Language]]&lt;&gt;"spa",Table1938[[#This Row],[Language]]&lt;&gt;"SPA"),TRUE,FALSE))</f>
        <v>0</v>
      </c>
      <c r="U663" s="2" t="b">
        <f>IF(AND(Table1938[[#This Row],[EC-01]]=FALSE,Table1938[[#This Row],[EC-02]]=FALSE,Table1938[[#This Row],[EC-03]]=FALSE,Table1938[[#This Row],[EC-04]]=FALSE,Table1938[[#This Row],[EC-05]]=FALSE,Table1938[[#This Row],[EC-06]]=FALSE),TRUE,FALSE)</f>
        <v>0</v>
      </c>
      <c r="V663" s="2" t="b">
        <f>IF(Table1938[[#This Row],[Date]]&lt;&gt;"",AND(YEAR(Table1938[[#This Row],[Date]])&gt;=2010, YEAR(Table1938[[#This Row],[Date]])&lt;=2024),FALSE)</f>
        <v>1</v>
      </c>
      <c r="W663" s="2" t="b">
        <f>IF(Table1938[[#This Row],[Date]]&lt;&gt;"",AND(YEAR(Table1938[[#This Row],[Date]])&gt;=2010, YEAR(Table1938[[#This Row],[Date]])&lt;=2020),FALSE)</f>
        <v>0</v>
      </c>
      <c r="X663" s="2" t="b">
        <f>IF(AND(Table1938[[#This Row],[Accesible]]=TRUE,Table1938[[#This Row],[DOI]]&lt;&gt;""),TRUE,FALSE)</f>
        <v>0</v>
      </c>
      <c r="Y663" s="2" t="b">
        <f>OR(Table1938[[#This Row],[Document Type]]="journalArticle",Table1938[[#This Row],[Document Type]]="conferencePaper",Table1938[[#This Row],[Document Type]]="review")</f>
        <v>0</v>
      </c>
      <c r="Z663" s="2" t="b" cm="1">
        <f t="array" ref="Z663">SUMPRODUCT(--ISNUMBER(SEARCH({"dimensional analysis","dimensionless coefficients","Π","Pi","theorem","software","design","tools","development","architecture","similar"}, LOWER(Table1938[[#This Row],[Title]]))))&gt;0</f>
        <v>0</v>
      </c>
      <c r="AA663" s="2" t="b" cm="1">
        <f t="array" ref="AA663">SUMPRODUCT(--ISNUMBER(SEARCH({"dimensional analysis","dimensionless coefficients","Π","Pi","theorem","software","design","tools","development","architecture","similar"}, LOWER(Table1938[[#This Row],[Abstract]]))))&gt;0</f>
        <v>0</v>
      </c>
      <c r="AB663" s="2" t="b">
        <f>AND(OR(Table1938[[#This Row],[IC-01 @2024]:[IC-01 @2020]])=TRUE,Table1938[[#This Row],[IC-02]]=TRUE,Table1938[[#This Row],[IC-03]]=TRUE,Table1938[[#This Row],[IC-04]]=TRUE,Table1938[[#This Row],[IC-05]]=TRUE)</f>
        <v>0</v>
      </c>
      <c r="AC663" s="2" t="b">
        <f>AND(Table1938[[#This Row],[Pass-IC]]=TRUE,Table1938[[#This Row],[Pass-EC]]=TRUE)</f>
        <v>0</v>
      </c>
      <c r="AD663" s="2" t="b">
        <f>COUNTIF($D$20:D668, Table1938[[#This Row],[Title]]) = 1</f>
        <v>1</v>
      </c>
      <c r="AE663" s="2" t="b">
        <f>AND(Table1938[[#This Row],[IC + EC]:[Unique]])</f>
        <v>0</v>
      </c>
      <c r="AF663" s="2" t="b">
        <v>0</v>
      </c>
      <c r="AG663" s="2" t="b">
        <v>0</v>
      </c>
      <c r="AH663" s="2" t="b">
        <v>0</v>
      </c>
      <c r="AI663" s="2" t="b">
        <f>IF(AND(Table1938[[#This Row],[Double Check]]=TRUE,Table1938[[#This Row],[Inspected]]=TRUE,Table1938[[#This Row],[Relevant]]=TRUE),TRUE,FALSE)</f>
        <v>0</v>
      </c>
    </row>
    <row r="664" spans="1:35" ht="43" x14ac:dyDescent="0.5">
      <c r="A664" s="2">
        <v>663</v>
      </c>
      <c r="B664" s="20" t="s">
        <v>1</v>
      </c>
      <c r="C664" s="20" t="s">
        <v>3372</v>
      </c>
      <c r="D664" s="20" t="s">
        <v>731</v>
      </c>
      <c r="E664" s="20" t="s">
        <v>123</v>
      </c>
      <c r="F664" s="2" t="s">
        <v>123</v>
      </c>
      <c r="G664" s="20" t="s">
        <v>119</v>
      </c>
      <c r="H664" s="36">
        <v>45292</v>
      </c>
      <c r="I664" s="20">
        <v>2024</v>
      </c>
      <c r="J664" s="20" t="s">
        <v>688</v>
      </c>
      <c r="K664" s="20" t="s">
        <v>123</v>
      </c>
      <c r="L664" s="20" t="s">
        <v>642</v>
      </c>
      <c r="M664" s="20" t="s">
        <v>123</v>
      </c>
      <c r="N664" s="20" t="b">
        <v>0</v>
      </c>
      <c r="O664" s="2" t="b">
        <f>IF(Table1938[[#This Row],[Title]]="",TRUE,FALSE)</f>
        <v>0</v>
      </c>
      <c r="P664" s="2" t="b">
        <f>IF(Table1938[[#This Row],[Author]]="",TRUE,FALSE)</f>
        <v>1</v>
      </c>
      <c r="Q664" s="2" t="b">
        <f>IF(Table1938[[#This Row],[DOI]]&lt;&gt;"", FALSE,TRUE)</f>
        <v>1</v>
      </c>
      <c r="R664" s="2" t="b">
        <f>IF(Table1938[[#This Row],[Abstract]]="",TRUE,FALSE)</f>
        <v>1</v>
      </c>
      <c r="S664" s="2" t="b">
        <f>IF(OR(Table1938[[#This Row],[Document Type]]="book",Table1938[[#This Row],[Document Type]]="bookSection"),TRUE,FALSE)</f>
        <v>1</v>
      </c>
      <c r="T664" s="2" t="b">
        <f>NOT(IF(OR(Table1938[[#This Row],[Language]]&lt;&gt;"en",Table1938[[#This Row],[Language]]&lt;&gt;"EN",Table1938[[#This Row],[Language]]&lt;&gt;"spa",Table1938[[#This Row],[Language]]&lt;&gt;"SPA"),TRUE,FALSE))</f>
        <v>0</v>
      </c>
      <c r="U664" s="2" t="b">
        <f>IF(AND(Table1938[[#This Row],[EC-01]]=FALSE,Table1938[[#This Row],[EC-02]]=FALSE,Table1938[[#This Row],[EC-03]]=FALSE,Table1938[[#This Row],[EC-04]]=FALSE,Table1938[[#This Row],[EC-05]]=FALSE,Table1938[[#This Row],[EC-06]]=FALSE),TRUE,FALSE)</f>
        <v>0</v>
      </c>
      <c r="V664" s="2" t="b">
        <f>IF(Table1938[[#This Row],[Date]]&lt;&gt;"",AND(YEAR(Table1938[[#This Row],[Date]])&gt;=2010, YEAR(Table1938[[#This Row],[Date]])&lt;=2024),FALSE)</f>
        <v>1</v>
      </c>
      <c r="W664" s="2" t="b">
        <f>IF(Table1938[[#This Row],[Date]]&lt;&gt;"",AND(YEAR(Table1938[[#This Row],[Date]])&gt;=2010, YEAR(Table1938[[#This Row],[Date]])&lt;=2020),FALSE)</f>
        <v>0</v>
      </c>
      <c r="X664" s="2" t="b">
        <f>IF(AND(Table1938[[#This Row],[Accesible]]=TRUE,Table1938[[#This Row],[DOI]]&lt;&gt;""),TRUE,FALSE)</f>
        <v>0</v>
      </c>
      <c r="Y664" s="2" t="b">
        <f>OR(Table1938[[#This Row],[Document Type]]="journalArticle",Table1938[[#This Row],[Document Type]]="conferencePaper",Table1938[[#This Row],[Document Type]]="review")</f>
        <v>0</v>
      </c>
      <c r="Z664" s="2" t="b" cm="1">
        <f t="array" ref="Z664">SUMPRODUCT(--ISNUMBER(SEARCH({"dimensional analysis","dimensionless coefficients","Π","Pi","theorem","software","design","tools","development","architecture","similar"}, LOWER(Table1938[[#This Row],[Title]]))))&gt;0</f>
        <v>0</v>
      </c>
      <c r="AA664" s="2" t="b" cm="1">
        <f t="array" ref="AA664">SUMPRODUCT(--ISNUMBER(SEARCH({"dimensional analysis","dimensionless coefficients","Π","Pi","theorem","software","design","tools","development","architecture","similar"}, LOWER(Table1938[[#This Row],[Abstract]]))))&gt;0</f>
        <v>0</v>
      </c>
      <c r="AB664" s="2" t="b">
        <f>AND(OR(Table1938[[#This Row],[IC-01 @2024]:[IC-01 @2020]])=TRUE,Table1938[[#This Row],[IC-02]]=TRUE,Table1938[[#This Row],[IC-03]]=TRUE,Table1938[[#This Row],[IC-04]]=TRUE,Table1938[[#This Row],[IC-05]]=TRUE)</f>
        <v>0</v>
      </c>
      <c r="AC664" s="2" t="b">
        <f>AND(Table1938[[#This Row],[Pass-IC]]=TRUE,Table1938[[#This Row],[Pass-EC]]=TRUE)</f>
        <v>0</v>
      </c>
      <c r="AD664" s="2" t="b">
        <f>COUNTIF($D$19:D670, Table1938[[#This Row],[Title]]) = 1</f>
        <v>1</v>
      </c>
      <c r="AE664" s="2" t="b">
        <f>AND(Table1938[[#This Row],[IC + EC]:[Unique]])</f>
        <v>0</v>
      </c>
      <c r="AF664" s="2" t="b">
        <v>0</v>
      </c>
      <c r="AG664" s="2" t="b">
        <v>0</v>
      </c>
      <c r="AH664" s="2" t="b">
        <v>0</v>
      </c>
      <c r="AI664" s="2" t="b">
        <f>IF(AND(Table1938[[#This Row],[Double Check]]=TRUE,Table1938[[#This Row],[Inspected]]=TRUE,Table1938[[#This Row],[Relevant]]=TRUE),TRUE,FALSE)</f>
        <v>0</v>
      </c>
    </row>
    <row r="665" spans="1:35" ht="129" x14ac:dyDescent="0.5">
      <c r="A665" s="2">
        <v>664</v>
      </c>
      <c r="B665" s="20" t="s">
        <v>1</v>
      </c>
      <c r="C665" s="20" t="s">
        <v>3373</v>
      </c>
      <c r="D665" s="20" t="s">
        <v>732</v>
      </c>
      <c r="E665" s="20" t="s">
        <v>123</v>
      </c>
      <c r="F665" s="2" t="s">
        <v>123</v>
      </c>
      <c r="G665" s="20" t="s">
        <v>123</v>
      </c>
      <c r="H665" s="36">
        <v>45292</v>
      </c>
      <c r="I665" s="20">
        <v>2024</v>
      </c>
      <c r="J665" s="20" t="s">
        <v>63</v>
      </c>
      <c r="K665" s="20" t="s">
        <v>123</v>
      </c>
      <c r="L665" s="20" t="s">
        <v>642</v>
      </c>
      <c r="M665" s="20" t="s">
        <v>123</v>
      </c>
      <c r="N665" s="20" t="b">
        <v>0</v>
      </c>
      <c r="O665" s="2" t="b">
        <f>IF(Table1938[[#This Row],[Title]]="",TRUE,FALSE)</f>
        <v>0</v>
      </c>
      <c r="P665" s="2" t="b">
        <f>IF(Table1938[[#This Row],[Author]]="",TRUE,FALSE)</f>
        <v>1</v>
      </c>
      <c r="Q665" s="2" t="b">
        <f>IF(Table1938[[#This Row],[DOI]]&lt;&gt;"", FALSE,TRUE)</f>
        <v>1</v>
      </c>
      <c r="R665" s="2" t="b">
        <f>IF(Table1938[[#This Row],[Abstract]]="",TRUE,FALSE)</f>
        <v>1</v>
      </c>
      <c r="S665" s="2" t="b">
        <f>IF(OR(Table1938[[#This Row],[Document Type]]="book",Table1938[[#This Row],[Document Type]]="bookSection"),TRUE,FALSE)</f>
        <v>1</v>
      </c>
      <c r="T665" s="2" t="b">
        <f>NOT(IF(OR(Table1938[[#This Row],[Language]]&lt;&gt;"en",Table1938[[#This Row],[Language]]&lt;&gt;"EN",Table1938[[#This Row],[Language]]&lt;&gt;"spa",Table1938[[#This Row],[Language]]&lt;&gt;"SPA"),TRUE,FALSE))</f>
        <v>0</v>
      </c>
      <c r="U665" s="2" t="b">
        <f>IF(AND(Table1938[[#This Row],[EC-01]]=FALSE,Table1938[[#This Row],[EC-02]]=FALSE,Table1938[[#This Row],[EC-03]]=FALSE,Table1938[[#This Row],[EC-04]]=FALSE,Table1938[[#This Row],[EC-05]]=FALSE,Table1938[[#This Row],[EC-06]]=FALSE),TRUE,FALSE)</f>
        <v>0</v>
      </c>
      <c r="V665" s="2" t="b">
        <f>IF(Table1938[[#This Row],[Date]]&lt;&gt;"",AND(YEAR(Table1938[[#This Row],[Date]])&gt;=2010, YEAR(Table1938[[#This Row],[Date]])&lt;=2024),FALSE)</f>
        <v>1</v>
      </c>
      <c r="W665" s="2" t="b">
        <f>IF(Table1938[[#This Row],[Date]]&lt;&gt;"",AND(YEAR(Table1938[[#This Row],[Date]])&gt;=2010, YEAR(Table1938[[#This Row],[Date]])&lt;=2020),FALSE)</f>
        <v>0</v>
      </c>
      <c r="X665" s="2" t="b">
        <f>IF(AND(Table1938[[#This Row],[Accesible]]=TRUE,Table1938[[#This Row],[DOI]]&lt;&gt;""),TRUE,FALSE)</f>
        <v>0</v>
      </c>
      <c r="Y665" s="2" t="b">
        <f>OR(Table1938[[#This Row],[Document Type]]="journalArticle",Table1938[[#This Row],[Document Type]]="conferencePaper",Table1938[[#This Row],[Document Type]]="review")</f>
        <v>0</v>
      </c>
      <c r="Z665" s="2" t="b" cm="1">
        <f t="array" ref="Z665">SUMPRODUCT(--ISNUMBER(SEARCH({"dimensional analysis","dimensionless coefficients","Π","Pi","theorem","software","design","tools","development","architecture","similar"}, LOWER(Table1938[[#This Row],[Title]]))))&gt;0</f>
        <v>0</v>
      </c>
      <c r="AA665" s="2" t="b" cm="1">
        <f t="array" ref="AA665">SUMPRODUCT(--ISNUMBER(SEARCH({"dimensional analysis","dimensionless coefficients","Π","Pi","theorem","software","design","tools","development","architecture","similar"}, LOWER(Table1938[[#This Row],[Abstract]]))))&gt;0</f>
        <v>0</v>
      </c>
      <c r="AB665" s="2" t="b">
        <f>AND(OR(Table1938[[#This Row],[IC-01 @2024]:[IC-01 @2020]])=TRUE,Table1938[[#This Row],[IC-02]]=TRUE,Table1938[[#This Row],[IC-03]]=TRUE,Table1938[[#This Row],[IC-04]]=TRUE,Table1938[[#This Row],[IC-05]]=TRUE)</f>
        <v>0</v>
      </c>
      <c r="AC665" s="2" t="b">
        <f>AND(Table1938[[#This Row],[Pass-IC]]=TRUE,Table1938[[#This Row],[Pass-EC]]=TRUE)</f>
        <v>0</v>
      </c>
      <c r="AD665" s="2" t="b">
        <f>COUNTIF($D$18:D672, Table1938[[#This Row],[Title]]) = 1</f>
        <v>1</v>
      </c>
      <c r="AE665" s="2" t="b">
        <f>AND(Table1938[[#This Row],[IC + EC]:[Unique]])</f>
        <v>0</v>
      </c>
      <c r="AF665" s="2" t="b">
        <v>0</v>
      </c>
      <c r="AG665" s="2" t="b">
        <v>0</v>
      </c>
      <c r="AH665" s="2" t="b">
        <v>0</v>
      </c>
      <c r="AI665" s="2" t="b">
        <f>IF(AND(Table1938[[#This Row],[Double Check]]=TRUE,Table1938[[#This Row],[Inspected]]=TRUE,Table1938[[#This Row],[Relevant]]=TRUE),TRUE,FALSE)</f>
        <v>0</v>
      </c>
    </row>
    <row r="666" spans="1:35" ht="43" x14ac:dyDescent="0.5">
      <c r="A666" s="2">
        <v>665</v>
      </c>
      <c r="B666" s="20" t="s">
        <v>1</v>
      </c>
      <c r="C666" s="20" t="s">
        <v>3374</v>
      </c>
      <c r="D666" s="20" t="s">
        <v>809</v>
      </c>
      <c r="E666" s="20" t="s">
        <v>808</v>
      </c>
      <c r="F666" s="2" t="s">
        <v>123</v>
      </c>
      <c r="G666" s="20" t="s">
        <v>184</v>
      </c>
      <c r="H666" s="36">
        <v>44927</v>
      </c>
      <c r="I666" s="20">
        <v>2023</v>
      </c>
      <c r="J666" s="20" t="s">
        <v>61</v>
      </c>
      <c r="K666" s="20" t="s">
        <v>123</v>
      </c>
      <c r="L666" s="20" t="s">
        <v>642</v>
      </c>
      <c r="M666" s="20" t="s">
        <v>810</v>
      </c>
      <c r="N666" s="20" t="b">
        <v>0</v>
      </c>
      <c r="O666" s="2" t="b">
        <f>IF(Table1938[[#This Row],[Title]]="",TRUE,FALSE)</f>
        <v>0</v>
      </c>
      <c r="P666" s="2" t="b">
        <f>IF(Table1938[[#This Row],[Author]]="",TRUE,FALSE)</f>
        <v>0</v>
      </c>
      <c r="Q666" s="2" t="b">
        <f>IF(Table1938[[#This Row],[DOI]]&lt;&gt;"", FALSE,TRUE)</f>
        <v>0</v>
      </c>
      <c r="R666" s="2" t="b">
        <f>IF(Table1938[[#This Row],[Abstract]]="",TRUE,FALSE)</f>
        <v>1</v>
      </c>
      <c r="S666" s="2" t="b">
        <f>IF(OR(Table1938[[#This Row],[Document Type]]="book",Table1938[[#This Row],[Document Type]]="bookSection"),TRUE,FALSE)</f>
        <v>0</v>
      </c>
      <c r="T666" s="2" t="b">
        <f>NOT(IF(OR(Table1938[[#This Row],[Language]]&lt;&gt;"en",Table1938[[#This Row],[Language]]&lt;&gt;"EN",Table1938[[#This Row],[Language]]&lt;&gt;"spa",Table1938[[#This Row],[Language]]&lt;&gt;"SPA"),TRUE,FALSE))</f>
        <v>0</v>
      </c>
      <c r="U666" s="2" t="b">
        <f>IF(AND(Table1938[[#This Row],[EC-01]]=FALSE,Table1938[[#This Row],[EC-02]]=FALSE,Table1938[[#This Row],[EC-03]]=FALSE,Table1938[[#This Row],[EC-04]]=FALSE,Table1938[[#This Row],[EC-05]]=FALSE,Table1938[[#This Row],[EC-06]]=FALSE),TRUE,FALSE)</f>
        <v>0</v>
      </c>
      <c r="V666" s="2" t="b">
        <f>IF(Table1938[[#This Row],[Date]]&lt;&gt;"",AND(YEAR(Table1938[[#This Row],[Date]])&gt;=2010, YEAR(Table1938[[#This Row],[Date]])&lt;=2024),FALSE)</f>
        <v>1</v>
      </c>
      <c r="W666" s="2" t="b">
        <f>IF(Table1938[[#This Row],[Date]]&lt;&gt;"",AND(YEAR(Table1938[[#This Row],[Date]])&gt;=2010, YEAR(Table1938[[#This Row],[Date]])&lt;=2020),FALSE)</f>
        <v>0</v>
      </c>
      <c r="X666" s="2" t="b">
        <f>IF(AND(Table1938[[#This Row],[Accesible]]=TRUE,Table1938[[#This Row],[DOI]]&lt;&gt;""),TRUE,FALSE)</f>
        <v>0</v>
      </c>
      <c r="Y666" s="2" t="b">
        <f>OR(Table1938[[#This Row],[Document Type]]="journalArticle",Table1938[[#This Row],[Document Type]]="conferencePaper",Table1938[[#This Row],[Document Type]]="review")</f>
        <v>1</v>
      </c>
      <c r="Z666" s="2" t="b" cm="1">
        <f t="array" ref="Z666">SUMPRODUCT(--ISNUMBER(SEARCH({"dimensional analysis","dimensionless coefficients","Π","Pi","theorem","software","design","tools","development","architecture","similar"}, LOWER(Table1938[[#This Row],[Title]]))))&gt;0</f>
        <v>0</v>
      </c>
      <c r="AA666" s="2" t="b" cm="1">
        <f t="array" ref="AA666">SUMPRODUCT(--ISNUMBER(SEARCH({"dimensional analysis","dimensionless coefficients","Π","Pi","theorem","software","design","tools","development","architecture","similar"}, LOWER(Table1938[[#This Row],[Abstract]]))))&gt;0</f>
        <v>0</v>
      </c>
      <c r="AB666" s="2" t="b">
        <f>AND(OR(Table1938[[#This Row],[IC-01 @2024]:[IC-01 @2020]])=TRUE,Table1938[[#This Row],[IC-02]]=TRUE,Table1938[[#This Row],[IC-03]]=TRUE,Table1938[[#This Row],[IC-04]]=TRUE,Table1938[[#This Row],[IC-05]]=TRUE)</f>
        <v>0</v>
      </c>
      <c r="AC666" s="2" t="b">
        <f>AND(Table1938[[#This Row],[Pass-IC]]=TRUE,Table1938[[#This Row],[Pass-EC]]=TRUE)</f>
        <v>0</v>
      </c>
      <c r="AD666" s="2" t="b">
        <f>COUNTIF($D$17:D674, Table1938[[#This Row],[Title]]) = 1</f>
        <v>1</v>
      </c>
      <c r="AE666" s="2" t="b">
        <f>AND(Table1938[[#This Row],[IC + EC]:[Unique]])</f>
        <v>0</v>
      </c>
      <c r="AF666" s="2" t="b">
        <v>0</v>
      </c>
      <c r="AG666" s="2" t="b">
        <v>0</v>
      </c>
      <c r="AH666" s="2" t="b">
        <v>0</v>
      </c>
      <c r="AI666" s="2" t="b">
        <f>IF(AND(Table1938[[#This Row],[Double Check]]=TRUE,Table1938[[#This Row],[Inspected]]=TRUE,Table1938[[#This Row],[Relevant]]=TRUE),TRUE,FALSE)</f>
        <v>0</v>
      </c>
    </row>
    <row r="667" spans="1:35" ht="57.35" x14ac:dyDescent="0.5">
      <c r="A667" s="2">
        <v>666</v>
      </c>
      <c r="B667" s="20" t="s">
        <v>1</v>
      </c>
      <c r="C667" s="20" t="s">
        <v>3375</v>
      </c>
      <c r="D667" s="20" t="s">
        <v>812</v>
      </c>
      <c r="E667" s="20" t="s">
        <v>811</v>
      </c>
      <c r="F667" s="2" t="s">
        <v>815</v>
      </c>
      <c r="G667" s="20" t="s">
        <v>813</v>
      </c>
      <c r="H667" s="36">
        <v>45200</v>
      </c>
      <c r="I667" s="20">
        <v>2023</v>
      </c>
      <c r="J667" s="20" t="s">
        <v>61</v>
      </c>
      <c r="K667" s="20" t="s">
        <v>123</v>
      </c>
      <c r="L667" s="20" t="s">
        <v>642</v>
      </c>
      <c r="M667" s="20" t="s">
        <v>814</v>
      </c>
      <c r="N667" s="20" t="b">
        <v>1</v>
      </c>
      <c r="O667" s="2" t="b">
        <f>IF(Table1938[[#This Row],[Title]]="",TRUE,FALSE)</f>
        <v>0</v>
      </c>
      <c r="P667" s="2" t="b">
        <f>IF(Table1938[[#This Row],[Author]]="",TRUE,FALSE)</f>
        <v>0</v>
      </c>
      <c r="Q667" s="2" t="b">
        <f>IF(Table1938[[#This Row],[DOI]]&lt;&gt;"", FALSE,TRUE)</f>
        <v>0</v>
      </c>
      <c r="R667" s="2" t="b">
        <f>IF(Table1938[[#This Row],[Abstract]]="",TRUE,FALSE)</f>
        <v>0</v>
      </c>
      <c r="S667" s="2" t="b">
        <f>IF(OR(Table1938[[#This Row],[Document Type]]="book",Table1938[[#This Row],[Document Type]]="bookSection"),TRUE,FALSE)</f>
        <v>0</v>
      </c>
      <c r="T667" s="2" t="b">
        <f>NOT(IF(OR(Table1938[[#This Row],[Language]]&lt;&gt;"en",Table1938[[#This Row],[Language]]&lt;&gt;"EN",Table1938[[#This Row],[Language]]&lt;&gt;"spa",Table1938[[#This Row],[Language]]&lt;&gt;"SPA"),TRUE,FALSE))</f>
        <v>0</v>
      </c>
      <c r="U667" s="2" t="b">
        <f>IF(AND(Table1938[[#This Row],[EC-01]]=FALSE,Table1938[[#This Row],[EC-02]]=FALSE,Table1938[[#This Row],[EC-03]]=FALSE,Table1938[[#This Row],[EC-04]]=FALSE,Table1938[[#This Row],[EC-05]]=FALSE,Table1938[[#This Row],[EC-06]]=FALSE),TRUE,FALSE)</f>
        <v>1</v>
      </c>
      <c r="V667" s="2" t="b">
        <f>IF(Table1938[[#This Row],[Date]]&lt;&gt;"",AND(YEAR(Table1938[[#This Row],[Date]])&gt;=2010, YEAR(Table1938[[#This Row],[Date]])&lt;=2024),FALSE)</f>
        <v>1</v>
      </c>
      <c r="W667" s="2" t="b">
        <f>IF(Table1938[[#This Row],[Date]]&lt;&gt;"",AND(YEAR(Table1938[[#This Row],[Date]])&gt;=2010, YEAR(Table1938[[#This Row],[Date]])&lt;=2020),FALSE)</f>
        <v>0</v>
      </c>
      <c r="X667" s="2" t="b">
        <f>IF(AND(Table1938[[#This Row],[Accesible]]=TRUE,Table1938[[#This Row],[DOI]]&lt;&gt;""),TRUE,FALSE)</f>
        <v>1</v>
      </c>
      <c r="Y667" s="2" t="b">
        <f>OR(Table1938[[#This Row],[Document Type]]="journalArticle",Table1938[[#This Row],[Document Type]]="conferencePaper",Table1938[[#This Row],[Document Type]]="review")</f>
        <v>1</v>
      </c>
      <c r="Z667" s="2" t="b" cm="1">
        <f t="array" ref="Z667">SUMPRODUCT(--ISNUMBER(SEARCH({"dimensional analysis","dimensionless coefficients","Π","Pi","theorem","software","design","tools","development","architecture","similar"}, LOWER(Table1938[[#This Row],[Title]]))))&gt;0</f>
        <v>0</v>
      </c>
      <c r="AA667" s="2" t="b" cm="1">
        <f t="array" ref="AA667">SUMPRODUCT(--ISNUMBER(SEARCH({"dimensional analysis","dimensionless coefficients","Π","Pi","theorem","software","design","tools","development","architecture","similar"}, LOWER(Table1938[[#This Row],[Abstract]]))))&gt;0</f>
        <v>1</v>
      </c>
      <c r="AB667" s="2" t="b">
        <f>AND(OR(Table1938[[#This Row],[IC-01 @2024]:[IC-01 @2020]])=TRUE,Table1938[[#This Row],[IC-02]]=TRUE,Table1938[[#This Row],[IC-03]]=TRUE,Table1938[[#This Row],[IC-04]]=TRUE,Table1938[[#This Row],[IC-05]]=TRUE)</f>
        <v>0</v>
      </c>
      <c r="AC667" s="2" t="b">
        <f>AND(Table1938[[#This Row],[Pass-IC]]=TRUE,Table1938[[#This Row],[Pass-EC]]=TRUE)</f>
        <v>0</v>
      </c>
      <c r="AD667" s="2" t="b">
        <f>COUNTIF($D$16:D676, Table1938[[#This Row],[Title]]) = 1</f>
        <v>1</v>
      </c>
      <c r="AE667" s="2" t="b">
        <f>AND(Table1938[[#This Row],[IC + EC]:[Unique]])</f>
        <v>0</v>
      </c>
      <c r="AF667" s="2" t="b">
        <v>0</v>
      </c>
      <c r="AG667" s="2" t="b">
        <v>0</v>
      </c>
      <c r="AH667" s="2" t="b">
        <v>0</v>
      </c>
      <c r="AI667" s="2" t="b">
        <f>IF(AND(Table1938[[#This Row],[Double Check]]=TRUE,Table1938[[#This Row],[Inspected]]=TRUE,Table1938[[#This Row],[Relevant]]=TRUE),TRUE,FALSE)</f>
        <v>0</v>
      </c>
    </row>
    <row r="668" spans="1:35" ht="71.7" x14ac:dyDescent="0.5">
      <c r="A668" s="2">
        <v>667</v>
      </c>
      <c r="B668" s="20" t="s">
        <v>1</v>
      </c>
      <c r="C668" s="20" t="s">
        <v>3376</v>
      </c>
      <c r="D668" s="20" t="s">
        <v>282</v>
      </c>
      <c r="E668" s="20" t="s">
        <v>816</v>
      </c>
      <c r="F668" s="2" t="s">
        <v>817</v>
      </c>
      <c r="G668" s="20" t="s">
        <v>284</v>
      </c>
      <c r="H668" s="36">
        <v>44805</v>
      </c>
      <c r="I668" s="20">
        <v>2022</v>
      </c>
      <c r="J668" s="20" t="s">
        <v>61</v>
      </c>
      <c r="K668" s="20" t="s">
        <v>123</v>
      </c>
      <c r="L668" s="20" t="s">
        <v>642</v>
      </c>
      <c r="M668" s="20" t="s">
        <v>285</v>
      </c>
      <c r="N668" s="20" t="b">
        <v>1</v>
      </c>
      <c r="O668" s="2" t="b">
        <f>IF(Table1938[[#This Row],[Title]]="",TRUE,FALSE)</f>
        <v>0</v>
      </c>
      <c r="P668" s="2" t="b">
        <f>IF(Table1938[[#This Row],[Author]]="",TRUE,FALSE)</f>
        <v>0</v>
      </c>
      <c r="Q668" s="2" t="b">
        <f>IF(Table1938[[#This Row],[DOI]]&lt;&gt;"", FALSE,TRUE)</f>
        <v>0</v>
      </c>
      <c r="R668" s="2" t="b">
        <f>IF(Table1938[[#This Row],[Abstract]]="",TRUE,FALSE)</f>
        <v>0</v>
      </c>
      <c r="S668" s="2" t="b">
        <f>IF(OR(Table1938[[#This Row],[Document Type]]="book",Table1938[[#This Row],[Document Type]]="bookSection"),TRUE,FALSE)</f>
        <v>0</v>
      </c>
      <c r="T668" s="2" t="b">
        <f>NOT(IF(OR(Table1938[[#This Row],[Language]]&lt;&gt;"en",Table1938[[#This Row],[Language]]&lt;&gt;"EN",Table1938[[#This Row],[Language]]&lt;&gt;"spa",Table1938[[#This Row],[Language]]&lt;&gt;"SPA"),TRUE,FALSE))</f>
        <v>0</v>
      </c>
      <c r="U668" s="2" t="b">
        <f>IF(AND(Table1938[[#This Row],[EC-01]]=FALSE,Table1938[[#This Row],[EC-02]]=FALSE,Table1938[[#This Row],[EC-03]]=FALSE,Table1938[[#This Row],[EC-04]]=FALSE,Table1938[[#This Row],[EC-05]]=FALSE,Table1938[[#This Row],[EC-06]]=FALSE),TRUE,FALSE)</f>
        <v>1</v>
      </c>
      <c r="V668" s="2" t="b">
        <f>IF(Table1938[[#This Row],[Date]]&lt;&gt;"",AND(YEAR(Table1938[[#This Row],[Date]])&gt;=2010, YEAR(Table1938[[#This Row],[Date]])&lt;=2024),FALSE)</f>
        <v>1</v>
      </c>
      <c r="W668" s="2" t="b">
        <f>IF(Table1938[[#This Row],[Date]]&lt;&gt;"",AND(YEAR(Table1938[[#This Row],[Date]])&gt;=2010, YEAR(Table1938[[#This Row],[Date]])&lt;=2020),FALSE)</f>
        <v>0</v>
      </c>
      <c r="X668" s="2" t="b">
        <f>IF(AND(Table1938[[#This Row],[Accesible]]=TRUE,Table1938[[#This Row],[DOI]]&lt;&gt;""),TRUE,FALSE)</f>
        <v>1</v>
      </c>
      <c r="Y668" s="2" t="b">
        <f>OR(Table1938[[#This Row],[Document Type]]="journalArticle",Table1938[[#This Row],[Document Type]]="conferencePaper",Table1938[[#This Row],[Document Type]]="review")</f>
        <v>1</v>
      </c>
      <c r="Z668" s="2" t="b" cm="1">
        <f t="array" ref="Z668">SUMPRODUCT(--ISNUMBER(SEARCH({"dimensional analysis","dimensionless coefficients","Π","Pi","theorem","software","design","tools","development","architecture","similar"}, LOWER(Table1938[[#This Row],[Title]]))))&gt;0</f>
        <v>1</v>
      </c>
      <c r="AA668" s="2" t="b" cm="1">
        <f t="array" ref="AA668">SUMPRODUCT(--ISNUMBER(SEARCH({"dimensional analysis","dimensionless coefficients","Π","Pi","theorem","software","design","tools","development","architecture","similar"}, LOWER(Table1938[[#This Row],[Abstract]]))))&gt;0</f>
        <v>1</v>
      </c>
      <c r="AB668" s="2" t="b">
        <f>AND(OR(Table1938[[#This Row],[IC-01 @2024]:[IC-01 @2020]])=TRUE,Table1938[[#This Row],[IC-02]]=TRUE,Table1938[[#This Row],[IC-03]]=TRUE,Table1938[[#This Row],[IC-04]]=TRUE,Table1938[[#This Row],[IC-05]]=TRUE)</f>
        <v>1</v>
      </c>
      <c r="AC668" s="2" t="b">
        <f>AND(Table1938[[#This Row],[Pass-IC]]=TRUE,Table1938[[#This Row],[Pass-EC]]=TRUE)</f>
        <v>1</v>
      </c>
      <c r="AD668" s="2" t="b">
        <f>COUNTIF($D$15:D678, Table1938[[#This Row],[Title]]) = 1</f>
        <v>1</v>
      </c>
      <c r="AE668" s="2" t="b">
        <f>AND(Table1938[[#This Row],[IC + EC]:[Unique]])</f>
        <v>1</v>
      </c>
      <c r="AF668" s="2" t="b">
        <v>1</v>
      </c>
      <c r="AG668" s="2" t="b">
        <v>0</v>
      </c>
      <c r="AH668" s="2" t="b">
        <v>0</v>
      </c>
      <c r="AI668" s="2" t="b">
        <f>IF(AND(Table1938[[#This Row],[Double Check]]=TRUE,Table1938[[#This Row],[Inspected]]=TRUE,Table1938[[#This Row],[Relevant]]=TRUE),TRUE,FALSE)</f>
        <v>0</v>
      </c>
    </row>
    <row r="669" spans="1:35" ht="57.35" x14ac:dyDescent="0.5">
      <c r="A669" s="2">
        <v>668</v>
      </c>
      <c r="B669" s="20" t="s">
        <v>1</v>
      </c>
      <c r="C669" s="20" t="s">
        <v>3377</v>
      </c>
      <c r="D669" s="20" t="s">
        <v>218</v>
      </c>
      <c r="E669" s="20" t="s">
        <v>818</v>
      </c>
      <c r="F669" s="2" t="s">
        <v>123</v>
      </c>
      <c r="G669" s="20" t="s">
        <v>219</v>
      </c>
      <c r="H669" s="36">
        <v>44287</v>
      </c>
      <c r="I669" s="20">
        <v>2021</v>
      </c>
      <c r="J669" s="20" t="s">
        <v>61</v>
      </c>
      <c r="K669" s="20" t="s">
        <v>123</v>
      </c>
      <c r="L669" s="20" t="s">
        <v>642</v>
      </c>
      <c r="M669" s="20" t="s">
        <v>220</v>
      </c>
      <c r="N669" s="20" t="b">
        <v>0</v>
      </c>
      <c r="O669" s="2" t="b">
        <f>IF(Table1938[[#This Row],[Title]]="",TRUE,FALSE)</f>
        <v>0</v>
      </c>
      <c r="P669" s="2" t="b">
        <f>IF(Table1938[[#This Row],[Author]]="",TRUE,FALSE)</f>
        <v>0</v>
      </c>
      <c r="Q669" s="2" t="b">
        <f>IF(Table1938[[#This Row],[DOI]]&lt;&gt;"", FALSE,TRUE)</f>
        <v>0</v>
      </c>
      <c r="R669" s="2" t="b">
        <f>IF(Table1938[[#This Row],[Abstract]]="",TRUE,FALSE)</f>
        <v>1</v>
      </c>
      <c r="S669" s="2" t="b">
        <f>IF(OR(Table1938[[#This Row],[Document Type]]="book",Table1938[[#This Row],[Document Type]]="bookSection"),TRUE,FALSE)</f>
        <v>0</v>
      </c>
      <c r="T669" s="2" t="b">
        <f>NOT(IF(OR(Table1938[[#This Row],[Language]]&lt;&gt;"en",Table1938[[#This Row],[Language]]&lt;&gt;"EN",Table1938[[#This Row],[Language]]&lt;&gt;"spa",Table1938[[#This Row],[Language]]&lt;&gt;"SPA"),TRUE,FALSE))</f>
        <v>0</v>
      </c>
      <c r="U669" s="2" t="b">
        <f>IF(AND(Table1938[[#This Row],[EC-01]]=FALSE,Table1938[[#This Row],[EC-02]]=FALSE,Table1938[[#This Row],[EC-03]]=FALSE,Table1938[[#This Row],[EC-04]]=FALSE,Table1938[[#This Row],[EC-05]]=FALSE,Table1938[[#This Row],[EC-06]]=FALSE),TRUE,FALSE)</f>
        <v>0</v>
      </c>
      <c r="V669" s="2" t="b">
        <f>IF(Table1938[[#This Row],[Date]]&lt;&gt;"",AND(YEAR(Table1938[[#This Row],[Date]])&gt;=2010, YEAR(Table1938[[#This Row],[Date]])&lt;=2024),FALSE)</f>
        <v>1</v>
      </c>
      <c r="W669" s="2" t="b">
        <f>IF(Table1938[[#This Row],[Date]]&lt;&gt;"",AND(YEAR(Table1938[[#This Row],[Date]])&gt;=2010, YEAR(Table1938[[#This Row],[Date]])&lt;=2020),FALSE)</f>
        <v>0</v>
      </c>
      <c r="X669" s="2" t="b">
        <f>IF(AND(Table1938[[#This Row],[Accesible]]=TRUE,Table1938[[#This Row],[DOI]]&lt;&gt;""),TRUE,FALSE)</f>
        <v>0</v>
      </c>
      <c r="Y669" s="2" t="b">
        <f>OR(Table1938[[#This Row],[Document Type]]="journalArticle",Table1938[[#This Row],[Document Type]]="conferencePaper",Table1938[[#This Row],[Document Type]]="review")</f>
        <v>1</v>
      </c>
      <c r="Z669" s="2" t="b" cm="1">
        <f t="array" ref="Z669">SUMPRODUCT(--ISNUMBER(SEARCH({"dimensional analysis","dimensionless coefficients","Π","Pi","theorem","software","design","tools","development","architecture","similar"}, LOWER(Table1938[[#This Row],[Title]]))))&gt;0</f>
        <v>0</v>
      </c>
      <c r="AA669" s="2" t="b" cm="1">
        <f t="array" ref="AA669">SUMPRODUCT(--ISNUMBER(SEARCH({"dimensional analysis","dimensionless coefficients","Π","Pi","theorem","software","design","tools","development","architecture","similar"}, LOWER(Table1938[[#This Row],[Abstract]]))))&gt;0</f>
        <v>0</v>
      </c>
      <c r="AB669" s="2" t="b">
        <f>AND(OR(Table1938[[#This Row],[IC-01 @2024]:[IC-01 @2020]])=TRUE,Table1938[[#This Row],[IC-02]]=TRUE,Table1938[[#This Row],[IC-03]]=TRUE,Table1938[[#This Row],[IC-04]]=TRUE,Table1938[[#This Row],[IC-05]]=TRUE)</f>
        <v>0</v>
      </c>
      <c r="AC669" s="2" t="b">
        <f>AND(Table1938[[#This Row],[Pass-IC]]=TRUE,Table1938[[#This Row],[Pass-EC]]=TRUE)</f>
        <v>0</v>
      </c>
      <c r="AD669" s="2" t="b">
        <f>COUNTIF($D$14:D680, Table1938[[#This Row],[Title]]) = 1</f>
        <v>1</v>
      </c>
      <c r="AE669" s="2" t="b">
        <f>AND(Table1938[[#This Row],[IC + EC]:[Unique]])</f>
        <v>0</v>
      </c>
      <c r="AF669" s="2" t="b">
        <v>0</v>
      </c>
      <c r="AG669" s="2" t="b">
        <v>0</v>
      </c>
      <c r="AH669" s="2" t="b">
        <v>0</v>
      </c>
      <c r="AI669" s="2" t="b">
        <f>IF(AND(Table1938[[#This Row],[Double Check]]=TRUE,Table1938[[#This Row],[Inspected]]=TRUE,Table1938[[#This Row],[Relevant]]=TRUE),TRUE,FALSE)</f>
        <v>0</v>
      </c>
    </row>
    <row r="670" spans="1:35" ht="57.35" x14ac:dyDescent="0.5">
      <c r="A670" s="2">
        <v>669</v>
      </c>
      <c r="B670" s="20" t="s">
        <v>1</v>
      </c>
      <c r="C670" s="20" t="s">
        <v>3378</v>
      </c>
      <c r="D670" s="20" t="s">
        <v>820</v>
      </c>
      <c r="E670" s="20" t="s">
        <v>819</v>
      </c>
      <c r="F670" s="2" t="s">
        <v>123</v>
      </c>
      <c r="G670" s="20" t="s">
        <v>289</v>
      </c>
      <c r="H670" s="36">
        <v>44958</v>
      </c>
      <c r="I670" s="20">
        <v>2023</v>
      </c>
      <c r="J670" s="20" t="s">
        <v>61</v>
      </c>
      <c r="K670" s="20" t="s">
        <v>123</v>
      </c>
      <c r="L670" s="20" t="s">
        <v>642</v>
      </c>
      <c r="M670" s="20" t="s">
        <v>821</v>
      </c>
      <c r="N670" s="20" t="b">
        <v>0</v>
      </c>
      <c r="O670" s="2" t="b">
        <f>IF(Table1938[[#This Row],[Title]]="",TRUE,FALSE)</f>
        <v>0</v>
      </c>
      <c r="P670" s="2" t="b">
        <f>IF(Table1938[[#This Row],[Author]]="",TRUE,FALSE)</f>
        <v>0</v>
      </c>
      <c r="Q670" s="2" t="b">
        <f>IF(Table1938[[#This Row],[DOI]]&lt;&gt;"", FALSE,TRUE)</f>
        <v>0</v>
      </c>
      <c r="R670" s="2" t="b">
        <f>IF(Table1938[[#This Row],[Abstract]]="",TRUE,FALSE)</f>
        <v>1</v>
      </c>
      <c r="S670" s="2" t="b">
        <f>IF(OR(Table1938[[#This Row],[Document Type]]="book",Table1938[[#This Row],[Document Type]]="bookSection"),TRUE,FALSE)</f>
        <v>0</v>
      </c>
      <c r="T670" s="2" t="b">
        <f>NOT(IF(OR(Table1938[[#This Row],[Language]]&lt;&gt;"en",Table1938[[#This Row],[Language]]&lt;&gt;"EN",Table1938[[#This Row],[Language]]&lt;&gt;"spa",Table1938[[#This Row],[Language]]&lt;&gt;"SPA"),TRUE,FALSE))</f>
        <v>0</v>
      </c>
      <c r="U670" s="2" t="b">
        <f>IF(AND(Table1938[[#This Row],[EC-01]]=FALSE,Table1938[[#This Row],[EC-02]]=FALSE,Table1938[[#This Row],[EC-03]]=FALSE,Table1938[[#This Row],[EC-04]]=FALSE,Table1938[[#This Row],[EC-05]]=FALSE,Table1938[[#This Row],[EC-06]]=FALSE),TRUE,FALSE)</f>
        <v>0</v>
      </c>
      <c r="V670" s="2" t="b">
        <f>IF(Table1938[[#This Row],[Date]]&lt;&gt;"",AND(YEAR(Table1938[[#This Row],[Date]])&gt;=2010, YEAR(Table1938[[#This Row],[Date]])&lt;=2024),FALSE)</f>
        <v>1</v>
      </c>
      <c r="W670" s="2" t="b">
        <f>IF(Table1938[[#This Row],[Date]]&lt;&gt;"",AND(YEAR(Table1938[[#This Row],[Date]])&gt;=2010, YEAR(Table1938[[#This Row],[Date]])&lt;=2020),FALSE)</f>
        <v>0</v>
      </c>
      <c r="X670" s="2" t="b">
        <f>IF(AND(Table1938[[#This Row],[Accesible]]=TRUE,Table1938[[#This Row],[DOI]]&lt;&gt;""),TRUE,FALSE)</f>
        <v>0</v>
      </c>
      <c r="Y670" s="2" t="b">
        <f>OR(Table1938[[#This Row],[Document Type]]="journalArticle",Table1938[[#This Row],[Document Type]]="conferencePaper",Table1938[[#This Row],[Document Type]]="review")</f>
        <v>1</v>
      </c>
      <c r="Z670" s="2" t="b" cm="1">
        <f t="array" ref="Z670">SUMPRODUCT(--ISNUMBER(SEARCH({"dimensional analysis","dimensionless coefficients","Π","Pi","theorem","software","design","tools","development","architecture","similar"}, LOWER(Table1938[[#This Row],[Title]]))))&gt;0</f>
        <v>0</v>
      </c>
      <c r="AA670" s="2" t="b" cm="1">
        <f t="array" ref="AA670">SUMPRODUCT(--ISNUMBER(SEARCH({"dimensional analysis","dimensionless coefficients","Π","Pi","theorem","software","design","tools","development","architecture","similar"}, LOWER(Table1938[[#This Row],[Abstract]]))))&gt;0</f>
        <v>0</v>
      </c>
      <c r="AB670" s="2" t="b">
        <f>AND(OR(Table1938[[#This Row],[IC-01 @2024]:[IC-01 @2020]])=TRUE,Table1938[[#This Row],[IC-02]]=TRUE,Table1938[[#This Row],[IC-03]]=TRUE,Table1938[[#This Row],[IC-04]]=TRUE,Table1938[[#This Row],[IC-05]]=TRUE)</f>
        <v>0</v>
      </c>
      <c r="AC670" s="2" t="b">
        <f>AND(Table1938[[#This Row],[Pass-IC]]=TRUE,Table1938[[#This Row],[Pass-EC]]=TRUE)</f>
        <v>0</v>
      </c>
      <c r="AD670" s="2" t="b">
        <f>COUNTIF($D$13:D682, Table1938[[#This Row],[Title]]) = 1</f>
        <v>1</v>
      </c>
      <c r="AE670" s="2" t="b">
        <f>AND(Table1938[[#This Row],[IC + EC]:[Unique]])</f>
        <v>0</v>
      </c>
      <c r="AF670" s="2" t="b">
        <v>0</v>
      </c>
      <c r="AG670" s="2" t="b">
        <v>0</v>
      </c>
      <c r="AH670" s="2" t="b">
        <v>0</v>
      </c>
      <c r="AI670" s="2" t="b">
        <f>IF(AND(Table1938[[#This Row],[Double Check]]=TRUE,Table1938[[#This Row],[Inspected]]=TRUE,Table1938[[#This Row],[Relevant]]=TRUE),TRUE,FALSE)</f>
        <v>0</v>
      </c>
    </row>
    <row r="671" spans="1:35" ht="43" x14ac:dyDescent="0.5">
      <c r="A671" s="2">
        <v>670</v>
      </c>
      <c r="B671" s="20" t="s">
        <v>1</v>
      </c>
      <c r="C671" s="20" t="s">
        <v>3379</v>
      </c>
      <c r="D671" s="20" t="s">
        <v>212</v>
      </c>
      <c r="E671" s="20" t="s">
        <v>822</v>
      </c>
      <c r="F671" s="2" t="s">
        <v>123</v>
      </c>
      <c r="G671" s="20" t="s">
        <v>184</v>
      </c>
      <c r="H671" s="36">
        <v>44440</v>
      </c>
      <c r="I671" s="20">
        <v>2021</v>
      </c>
      <c r="J671" s="20" t="s">
        <v>61</v>
      </c>
      <c r="K671" s="20" t="s">
        <v>123</v>
      </c>
      <c r="L671" s="20" t="s">
        <v>642</v>
      </c>
      <c r="M671" s="20" t="s">
        <v>213</v>
      </c>
      <c r="N671" s="20" t="b">
        <v>0</v>
      </c>
      <c r="O671" s="2" t="b">
        <f>IF(Table1938[[#This Row],[Title]]="",TRUE,FALSE)</f>
        <v>0</v>
      </c>
      <c r="P671" s="2" t="b">
        <f>IF(Table1938[[#This Row],[Author]]="",TRUE,FALSE)</f>
        <v>0</v>
      </c>
      <c r="Q671" s="2" t="b">
        <f>IF(Table1938[[#This Row],[DOI]]&lt;&gt;"", FALSE,TRUE)</f>
        <v>0</v>
      </c>
      <c r="R671" s="2" t="b">
        <f>IF(Table1938[[#This Row],[Abstract]]="",TRUE,FALSE)</f>
        <v>1</v>
      </c>
      <c r="S671" s="2" t="b">
        <f>IF(OR(Table1938[[#This Row],[Document Type]]="book",Table1938[[#This Row],[Document Type]]="bookSection"),TRUE,FALSE)</f>
        <v>0</v>
      </c>
      <c r="T671" s="2" t="b">
        <f>NOT(IF(OR(Table1938[[#This Row],[Language]]&lt;&gt;"en",Table1938[[#This Row],[Language]]&lt;&gt;"EN",Table1938[[#This Row],[Language]]&lt;&gt;"spa",Table1938[[#This Row],[Language]]&lt;&gt;"SPA"),TRUE,FALSE))</f>
        <v>0</v>
      </c>
      <c r="U671" s="2" t="b">
        <f>IF(AND(Table1938[[#This Row],[EC-01]]=FALSE,Table1938[[#This Row],[EC-02]]=FALSE,Table1938[[#This Row],[EC-03]]=FALSE,Table1938[[#This Row],[EC-04]]=FALSE,Table1938[[#This Row],[EC-05]]=FALSE,Table1938[[#This Row],[EC-06]]=FALSE),TRUE,FALSE)</f>
        <v>0</v>
      </c>
      <c r="V671" s="2" t="b">
        <f>IF(Table1938[[#This Row],[Date]]&lt;&gt;"",AND(YEAR(Table1938[[#This Row],[Date]])&gt;=2010, YEAR(Table1938[[#This Row],[Date]])&lt;=2024),FALSE)</f>
        <v>1</v>
      </c>
      <c r="W671" s="2" t="b">
        <f>IF(Table1938[[#This Row],[Date]]&lt;&gt;"",AND(YEAR(Table1938[[#This Row],[Date]])&gt;=2010, YEAR(Table1938[[#This Row],[Date]])&lt;=2020),FALSE)</f>
        <v>0</v>
      </c>
      <c r="X671" s="2" t="b">
        <f>IF(AND(Table1938[[#This Row],[Accesible]]=TRUE,Table1938[[#This Row],[DOI]]&lt;&gt;""),TRUE,FALSE)</f>
        <v>0</v>
      </c>
      <c r="Y671" s="2" t="b">
        <f>OR(Table1938[[#This Row],[Document Type]]="journalArticle",Table1938[[#This Row],[Document Type]]="conferencePaper",Table1938[[#This Row],[Document Type]]="review")</f>
        <v>1</v>
      </c>
      <c r="Z671" s="2" t="b" cm="1">
        <f t="array" ref="Z671">SUMPRODUCT(--ISNUMBER(SEARCH({"dimensional analysis","dimensionless coefficients","Π","Pi","theorem","software","design","tools","development","architecture","similar"}, LOWER(Table1938[[#This Row],[Title]]))))&gt;0</f>
        <v>1</v>
      </c>
      <c r="AA671" s="2" t="b" cm="1">
        <f t="array" ref="AA671">SUMPRODUCT(--ISNUMBER(SEARCH({"dimensional analysis","dimensionless coefficients","Π","Pi","theorem","software","design","tools","development","architecture","similar"}, LOWER(Table1938[[#This Row],[Abstract]]))))&gt;0</f>
        <v>0</v>
      </c>
      <c r="AB671" s="2" t="b">
        <f>AND(OR(Table1938[[#This Row],[IC-01 @2024]:[IC-01 @2020]])=TRUE,Table1938[[#This Row],[IC-02]]=TRUE,Table1938[[#This Row],[IC-03]]=TRUE,Table1938[[#This Row],[IC-04]]=TRUE,Table1938[[#This Row],[IC-05]]=TRUE)</f>
        <v>0</v>
      </c>
      <c r="AC671" s="2" t="b">
        <f>AND(Table1938[[#This Row],[Pass-IC]]=TRUE,Table1938[[#This Row],[Pass-EC]]=TRUE)</f>
        <v>0</v>
      </c>
      <c r="AD671" s="2" t="b">
        <f>COUNTIF($D$12:D684, Table1938[[#This Row],[Title]]) = 1</f>
        <v>1</v>
      </c>
      <c r="AE671" s="2" t="b">
        <f>AND(Table1938[[#This Row],[IC + EC]:[Unique]])</f>
        <v>0</v>
      </c>
      <c r="AF671" s="2" t="b">
        <v>0</v>
      </c>
      <c r="AG671" s="2" t="b">
        <v>0</v>
      </c>
      <c r="AH671" s="2" t="b">
        <v>0</v>
      </c>
      <c r="AI671" s="2" t="b">
        <f>IF(AND(Table1938[[#This Row],[Double Check]]=TRUE,Table1938[[#This Row],[Inspected]]=TRUE,Table1938[[#This Row],[Relevant]]=TRUE),TRUE,FALSE)</f>
        <v>0</v>
      </c>
    </row>
    <row r="672" spans="1:35" ht="57.35" x14ac:dyDescent="0.5">
      <c r="A672" s="2">
        <v>671</v>
      </c>
      <c r="B672" s="20" t="s">
        <v>1</v>
      </c>
      <c r="C672" s="20" t="s">
        <v>3380</v>
      </c>
      <c r="D672" s="20" t="s">
        <v>268</v>
      </c>
      <c r="E672" s="20" t="s">
        <v>823</v>
      </c>
      <c r="F672" s="2" t="s">
        <v>123</v>
      </c>
      <c r="G672" s="20" t="s">
        <v>269</v>
      </c>
      <c r="H672" s="36">
        <v>44531</v>
      </c>
      <c r="I672" s="20">
        <v>2021</v>
      </c>
      <c r="J672" s="20" t="s">
        <v>61</v>
      </c>
      <c r="K672" s="20" t="s">
        <v>123</v>
      </c>
      <c r="L672" s="20" t="s">
        <v>642</v>
      </c>
      <c r="M672" s="20" t="s">
        <v>270</v>
      </c>
      <c r="N672" s="20" t="b">
        <v>0</v>
      </c>
      <c r="O672" s="2" t="b">
        <f>IF(Table1938[[#This Row],[Title]]="",TRUE,FALSE)</f>
        <v>0</v>
      </c>
      <c r="P672" s="2" t="b">
        <f>IF(Table1938[[#This Row],[Author]]="",TRUE,FALSE)</f>
        <v>0</v>
      </c>
      <c r="Q672" s="2" t="b">
        <f>IF(Table1938[[#This Row],[DOI]]&lt;&gt;"", FALSE,TRUE)</f>
        <v>0</v>
      </c>
      <c r="R672" s="2" t="b">
        <f>IF(Table1938[[#This Row],[Abstract]]="",TRUE,FALSE)</f>
        <v>1</v>
      </c>
      <c r="S672" s="2" t="b">
        <f>IF(OR(Table1938[[#This Row],[Document Type]]="book",Table1938[[#This Row],[Document Type]]="bookSection"),TRUE,FALSE)</f>
        <v>0</v>
      </c>
      <c r="T672" s="2" t="b">
        <f>NOT(IF(OR(Table1938[[#This Row],[Language]]&lt;&gt;"en",Table1938[[#This Row],[Language]]&lt;&gt;"EN",Table1938[[#This Row],[Language]]&lt;&gt;"spa",Table1938[[#This Row],[Language]]&lt;&gt;"SPA"),TRUE,FALSE))</f>
        <v>0</v>
      </c>
      <c r="U672" s="2" t="b">
        <f>IF(AND(Table1938[[#This Row],[EC-01]]=FALSE,Table1938[[#This Row],[EC-02]]=FALSE,Table1938[[#This Row],[EC-03]]=FALSE,Table1938[[#This Row],[EC-04]]=FALSE,Table1938[[#This Row],[EC-05]]=FALSE,Table1938[[#This Row],[EC-06]]=FALSE),TRUE,FALSE)</f>
        <v>0</v>
      </c>
      <c r="V672" s="2" t="b">
        <f>IF(Table1938[[#This Row],[Date]]&lt;&gt;"",AND(YEAR(Table1938[[#This Row],[Date]])&gt;=2010, YEAR(Table1938[[#This Row],[Date]])&lt;=2024),FALSE)</f>
        <v>1</v>
      </c>
      <c r="W672" s="2" t="b">
        <f>IF(Table1938[[#This Row],[Date]]&lt;&gt;"",AND(YEAR(Table1938[[#This Row],[Date]])&gt;=2010, YEAR(Table1938[[#This Row],[Date]])&lt;=2020),FALSE)</f>
        <v>0</v>
      </c>
      <c r="X672" s="2" t="b">
        <f>IF(AND(Table1938[[#This Row],[Accesible]]=TRUE,Table1938[[#This Row],[DOI]]&lt;&gt;""),TRUE,FALSE)</f>
        <v>0</v>
      </c>
      <c r="Y672" s="2" t="b">
        <f>OR(Table1938[[#This Row],[Document Type]]="journalArticle",Table1938[[#This Row],[Document Type]]="conferencePaper",Table1938[[#This Row],[Document Type]]="review")</f>
        <v>1</v>
      </c>
      <c r="Z672" s="2" t="b" cm="1">
        <f t="array" ref="Z672">SUMPRODUCT(--ISNUMBER(SEARCH({"dimensional analysis","dimensionless coefficients","Π","Pi","theorem","software","design","tools","development","architecture","similar"}, LOWER(Table1938[[#This Row],[Title]]))))&gt;0</f>
        <v>0</v>
      </c>
      <c r="AA672" s="2" t="b" cm="1">
        <f t="array" ref="AA672">SUMPRODUCT(--ISNUMBER(SEARCH({"dimensional analysis","dimensionless coefficients","Π","Pi","theorem","software","design","tools","development","architecture","similar"}, LOWER(Table1938[[#This Row],[Abstract]]))))&gt;0</f>
        <v>0</v>
      </c>
      <c r="AB672" s="2" t="b">
        <f>AND(OR(Table1938[[#This Row],[IC-01 @2024]:[IC-01 @2020]])=TRUE,Table1938[[#This Row],[IC-02]]=TRUE,Table1938[[#This Row],[IC-03]]=TRUE,Table1938[[#This Row],[IC-04]]=TRUE,Table1938[[#This Row],[IC-05]]=TRUE)</f>
        <v>0</v>
      </c>
      <c r="AC672" s="2" t="b">
        <f>AND(Table1938[[#This Row],[Pass-IC]]=TRUE,Table1938[[#This Row],[Pass-EC]]=TRUE)</f>
        <v>0</v>
      </c>
      <c r="AD672" s="2" t="b">
        <f>COUNTIF($D$11:D686, Table1938[[#This Row],[Title]]) = 1</f>
        <v>1</v>
      </c>
      <c r="AE672" s="2" t="b">
        <f>AND(Table1938[[#This Row],[IC + EC]:[Unique]])</f>
        <v>0</v>
      </c>
      <c r="AF672" s="2" t="b">
        <v>0</v>
      </c>
      <c r="AG672" s="2" t="b">
        <v>0</v>
      </c>
      <c r="AH672" s="2" t="b">
        <v>0</v>
      </c>
      <c r="AI672" s="2" t="b">
        <f>IF(AND(Table1938[[#This Row],[Double Check]]=TRUE,Table1938[[#This Row],[Inspected]]=TRUE,Table1938[[#This Row],[Relevant]]=TRUE),TRUE,FALSE)</f>
        <v>0</v>
      </c>
    </row>
    <row r="673" spans="1:35" ht="100.35" x14ac:dyDescent="0.5">
      <c r="A673" s="2">
        <v>672</v>
      </c>
      <c r="B673" s="20" t="s">
        <v>1</v>
      </c>
      <c r="C673" s="20" t="s">
        <v>3381</v>
      </c>
      <c r="D673" s="20" t="s">
        <v>242</v>
      </c>
      <c r="E673" s="20" t="s">
        <v>824</v>
      </c>
      <c r="F673" s="2" t="s">
        <v>123</v>
      </c>
      <c r="G673" s="20" t="s">
        <v>155</v>
      </c>
      <c r="H673" s="36">
        <v>44317</v>
      </c>
      <c r="I673" s="20">
        <v>2021</v>
      </c>
      <c r="J673" s="20" t="s">
        <v>61</v>
      </c>
      <c r="K673" s="20" t="s">
        <v>123</v>
      </c>
      <c r="L673" s="20" t="s">
        <v>642</v>
      </c>
      <c r="M673" s="20" t="s">
        <v>244</v>
      </c>
      <c r="N673" s="20" t="b">
        <v>0</v>
      </c>
      <c r="O673" s="2" t="b">
        <f>IF(Table1938[[#This Row],[Title]]="",TRUE,FALSE)</f>
        <v>0</v>
      </c>
      <c r="P673" s="2" t="b">
        <f>IF(Table1938[[#This Row],[Author]]="",TRUE,FALSE)</f>
        <v>0</v>
      </c>
      <c r="Q673" s="2" t="b">
        <f>IF(Table1938[[#This Row],[DOI]]&lt;&gt;"", FALSE,TRUE)</f>
        <v>0</v>
      </c>
      <c r="R673" s="2" t="b">
        <f>IF(Table1938[[#This Row],[Abstract]]="",TRUE,FALSE)</f>
        <v>1</v>
      </c>
      <c r="S673" s="2" t="b">
        <f>IF(OR(Table1938[[#This Row],[Document Type]]="book",Table1938[[#This Row],[Document Type]]="bookSection"),TRUE,FALSE)</f>
        <v>0</v>
      </c>
      <c r="T673" s="2" t="b">
        <f>NOT(IF(OR(Table1938[[#This Row],[Language]]&lt;&gt;"en",Table1938[[#This Row],[Language]]&lt;&gt;"EN",Table1938[[#This Row],[Language]]&lt;&gt;"spa",Table1938[[#This Row],[Language]]&lt;&gt;"SPA"),TRUE,FALSE))</f>
        <v>0</v>
      </c>
      <c r="U673" s="2" t="b">
        <f>IF(AND(Table1938[[#This Row],[EC-01]]=FALSE,Table1938[[#This Row],[EC-02]]=FALSE,Table1938[[#This Row],[EC-03]]=FALSE,Table1938[[#This Row],[EC-04]]=FALSE,Table1938[[#This Row],[EC-05]]=FALSE,Table1938[[#This Row],[EC-06]]=FALSE),TRUE,FALSE)</f>
        <v>0</v>
      </c>
      <c r="V673" s="2" t="b">
        <f>IF(Table1938[[#This Row],[Date]]&lt;&gt;"",AND(YEAR(Table1938[[#This Row],[Date]])&gt;=2010, YEAR(Table1938[[#This Row],[Date]])&lt;=2024),FALSE)</f>
        <v>1</v>
      </c>
      <c r="W673" s="2" t="b">
        <f>IF(Table1938[[#This Row],[Date]]&lt;&gt;"",AND(YEAR(Table1938[[#This Row],[Date]])&gt;=2010, YEAR(Table1938[[#This Row],[Date]])&lt;=2020),FALSE)</f>
        <v>0</v>
      </c>
      <c r="X673" s="2" t="b">
        <f>IF(AND(Table1938[[#This Row],[Accesible]]=TRUE,Table1938[[#This Row],[DOI]]&lt;&gt;""),TRUE,FALSE)</f>
        <v>0</v>
      </c>
      <c r="Y673" s="2" t="b">
        <f>OR(Table1938[[#This Row],[Document Type]]="journalArticle",Table1938[[#This Row],[Document Type]]="conferencePaper",Table1938[[#This Row],[Document Type]]="review")</f>
        <v>1</v>
      </c>
      <c r="Z673" s="2" t="b" cm="1">
        <f t="array" ref="Z673">SUMPRODUCT(--ISNUMBER(SEARCH({"dimensional analysis","dimensionless coefficients","Π","Pi","theorem","software","design","tools","development","architecture","similar"}, LOWER(Table1938[[#This Row],[Title]]))))&gt;0</f>
        <v>0</v>
      </c>
      <c r="AA673" s="2" t="b" cm="1">
        <f t="array" ref="AA673">SUMPRODUCT(--ISNUMBER(SEARCH({"dimensional analysis","dimensionless coefficients","Π","Pi","theorem","software","design","tools","development","architecture","similar"}, LOWER(Table1938[[#This Row],[Abstract]]))))&gt;0</f>
        <v>0</v>
      </c>
      <c r="AB673" s="2" t="b">
        <f>AND(OR(Table1938[[#This Row],[IC-01 @2024]:[IC-01 @2020]])=TRUE,Table1938[[#This Row],[IC-02]]=TRUE,Table1938[[#This Row],[IC-03]]=TRUE,Table1938[[#This Row],[IC-04]]=TRUE,Table1938[[#This Row],[IC-05]]=TRUE)</f>
        <v>0</v>
      </c>
      <c r="AC673" s="2" t="b">
        <f>AND(Table1938[[#This Row],[Pass-IC]]=TRUE,Table1938[[#This Row],[Pass-EC]]=TRUE)</f>
        <v>0</v>
      </c>
      <c r="AD673" s="2" t="b">
        <f>COUNTIF($D$10:D688, Table1938[[#This Row],[Title]]) = 1</f>
        <v>1</v>
      </c>
      <c r="AE673" s="2" t="b">
        <f>AND(Table1938[[#This Row],[IC + EC]:[Unique]])</f>
        <v>0</v>
      </c>
      <c r="AF673" s="2" t="b">
        <v>0</v>
      </c>
      <c r="AG673" s="2" t="b">
        <v>0</v>
      </c>
      <c r="AH673" s="2" t="b">
        <v>0</v>
      </c>
      <c r="AI673" s="2" t="b">
        <f>IF(AND(Table1938[[#This Row],[Double Check]]=TRUE,Table1938[[#This Row],[Inspected]]=TRUE,Table1938[[#This Row],[Relevant]]=TRUE),TRUE,FALSE)</f>
        <v>0</v>
      </c>
    </row>
    <row r="674" spans="1:35" x14ac:dyDescent="0.5">
      <c r="A674" s="2">
        <v>673</v>
      </c>
      <c r="B674" s="20" t="s">
        <v>1</v>
      </c>
      <c r="C674" s="20" t="s">
        <v>3382</v>
      </c>
      <c r="D674" s="20" t="s">
        <v>139</v>
      </c>
      <c r="E674" s="20" t="s">
        <v>123</v>
      </c>
      <c r="F674" s="2" t="s">
        <v>123</v>
      </c>
      <c r="G674" s="20" t="s">
        <v>140</v>
      </c>
      <c r="H674" s="36">
        <v>44926</v>
      </c>
      <c r="I674" s="20">
        <v>2022</v>
      </c>
      <c r="J674" s="20" t="s">
        <v>61</v>
      </c>
      <c r="K674" s="20" t="s">
        <v>123</v>
      </c>
      <c r="L674" s="20" t="s">
        <v>642</v>
      </c>
      <c r="M674" s="20" t="s">
        <v>141</v>
      </c>
      <c r="N674" s="20" t="b">
        <v>1</v>
      </c>
      <c r="O674" s="2" t="b">
        <f>IF(Table1938[[#This Row],[Title]]="",TRUE,FALSE)</f>
        <v>0</v>
      </c>
      <c r="P674" s="2" t="b">
        <f>IF(Table1938[[#This Row],[Author]]="",TRUE,FALSE)</f>
        <v>1</v>
      </c>
      <c r="Q674" s="2" t="b">
        <f>IF(Table1938[[#This Row],[DOI]]&lt;&gt;"", FALSE,TRUE)</f>
        <v>0</v>
      </c>
      <c r="R674" s="2" t="b">
        <f>IF(Table1938[[#This Row],[Abstract]]="",TRUE,FALSE)</f>
        <v>1</v>
      </c>
      <c r="S674" s="2" t="b">
        <f>IF(OR(Table1938[[#This Row],[Document Type]]="book",Table1938[[#This Row],[Document Type]]="bookSection"),TRUE,FALSE)</f>
        <v>0</v>
      </c>
      <c r="T674" s="2" t="b">
        <f>NOT(IF(OR(Table1938[[#This Row],[Language]]&lt;&gt;"en",Table1938[[#This Row],[Language]]&lt;&gt;"EN",Table1938[[#This Row],[Language]]&lt;&gt;"spa",Table1938[[#This Row],[Language]]&lt;&gt;"SPA"),TRUE,FALSE))</f>
        <v>0</v>
      </c>
      <c r="U674" s="2" t="b">
        <f>IF(AND(Table1938[[#This Row],[EC-01]]=FALSE,Table1938[[#This Row],[EC-02]]=FALSE,Table1938[[#This Row],[EC-03]]=FALSE,Table1938[[#This Row],[EC-04]]=FALSE,Table1938[[#This Row],[EC-05]]=FALSE,Table1938[[#This Row],[EC-06]]=FALSE),TRUE,FALSE)</f>
        <v>0</v>
      </c>
      <c r="V674" s="2" t="b">
        <f>IF(Table1938[[#This Row],[Date]]&lt;&gt;"",AND(YEAR(Table1938[[#This Row],[Date]])&gt;=2010, YEAR(Table1938[[#This Row],[Date]])&lt;=2024),FALSE)</f>
        <v>1</v>
      </c>
      <c r="W674" s="2" t="b">
        <f>IF(Table1938[[#This Row],[Date]]&lt;&gt;"",AND(YEAR(Table1938[[#This Row],[Date]])&gt;=2010, YEAR(Table1938[[#This Row],[Date]])&lt;=2020),FALSE)</f>
        <v>0</v>
      </c>
      <c r="X674" s="2" t="b">
        <f>IF(AND(Table1938[[#This Row],[Accesible]]=TRUE,Table1938[[#This Row],[DOI]]&lt;&gt;""),TRUE,FALSE)</f>
        <v>1</v>
      </c>
      <c r="Y674" s="2" t="b">
        <f>OR(Table1938[[#This Row],[Document Type]]="journalArticle",Table1938[[#This Row],[Document Type]]="conferencePaper",Table1938[[#This Row],[Document Type]]="review")</f>
        <v>1</v>
      </c>
      <c r="Z674" s="2" t="b" cm="1">
        <f t="array" ref="Z674">SUMPRODUCT(--ISNUMBER(SEARCH({"dimensional analysis","dimensionless coefficients","Π","Pi","theorem","software","design","tools","development","architecture","similar"}, LOWER(Table1938[[#This Row],[Title]]))))&gt;0</f>
        <v>0</v>
      </c>
      <c r="AA674" s="2" t="b" cm="1">
        <f t="array" ref="AA674">SUMPRODUCT(--ISNUMBER(SEARCH({"dimensional analysis","dimensionless coefficients","Π","Pi","theorem","software","design","tools","development","architecture","similar"}, LOWER(Table1938[[#This Row],[Abstract]]))))&gt;0</f>
        <v>0</v>
      </c>
      <c r="AB674" s="2" t="b">
        <f>AND(OR(Table1938[[#This Row],[IC-01 @2024]:[IC-01 @2020]])=TRUE,Table1938[[#This Row],[IC-02]]=TRUE,Table1938[[#This Row],[IC-03]]=TRUE,Table1938[[#This Row],[IC-04]]=TRUE,Table1938[[#This Row],[IC-05]]=TRUE)</f>
        <v>0</v>
      </c>
      <c r="AC674" s="2" t="b">
        <f>AND(Table1938[[#This Row],[Pass-IC]]=TRUE,Table1938[[#This Row],[Pass-EC]]=TRUE)</f>
        <v>0</v>
      </c>
      <c r="AD674" s="2" t="b">
        <f>COUNTIF($D$9:D690, Table1938[[#This Row],[Title]]) = 1</f>
        <v>1</v>
      </c>
      <c r="AE674" s="2" t="b">
        <f>AND(Table1938[[#This Row],[IC + EC]:[Unique]])</f>
        <v>0</v>
      </c>
      <c r="AF674" s="2" t="b">
        <v>0</v>
      </c>
      <c r="AG674" s="2" t="b">
        <v>0</v>
      </c>
      <c r="AH674" s="2" t="b">
        <v>0</v>
      </c>
      <c r="AI674" s="2" t="b">
        <f>IF(AND(Table1938[[#This Row],[Double Check]]=TRUE,Table1938[[#This Row],[Inspected]]=TRUE,Table1938[[#This Row],[Relevant]]=TRUE),TRUE,FALSE)</f>
        <v>0</v>
      </c>
    </row>
    <row r="675" spans="1:35" ht="57.35" x14ac:dyDescent="0.5">
      <c r="A675" s="2">
        <v>674</v>
      </c>
      <c r="B675" s="20" t="s">
        <v>1</v>
      </c>
      <c r="C675" s="20" t="s">
        <v>3383</v>
      </c>
      <c r="D675" s="20" t="s">
        <v>826</v>
      </c>
      <c r="E675" s="20" t="s">
        <v>825</v>
      </c>
      <c r="F675" s="2" t="s">
        <v>123</v>
      </c>
      <c r="G675" s="20" t="s">
        <v>163</v>
      </c>
      <c r="H675" s="36">
        <v>45017</v>
      </c>
      <c r="I675" s="20">
        <v>2023</v>
      </c>
      <c r="J675" s="20" t="s">
        <v>61</v>
      </c>
      <c r="K675" s="20" t="s">
        <v>123</v>
      </c>
      <c r="L675" s="20" t="s">
        <v>642</v>
      </c>
      <c r="M675" s="20" t="s">
        <v>827</v>
      </c>
      <c r="N675" s="20" t="b">
        <v>0</v>
      </c>
      <c r="O675" s="2" t="b">
        <f>IF(Table1938[[#This Row],[Title]]="",TRUE,FALSE)</f>
        <v>0</v>
      </c>
      <c r="P675" s="2" t="b">
        <f>IF(Table1938[[#This Row],[Author]]="",TRUE,FALSE)</f>
        <v>0</v>
      </c>
      <c r="Q675" s="2" t="b">
        <f>IF(Table1938[[#This Row],[DOI]]&lt;&gt;"", FALSE,TRUE)</f>
        <v>0</v>
      </c>
      <c r="R675" s="2" t="b">
        <f>IF(Table1938[[#This Row],[Abstract]]="",TRUE,FALSE)</f>
        <v>1</v>
      </c>
      <c r="S675" s="2" t="b">
        <f>IF(OR(Table1938[[#This Row],[Document Type]]="book",Table1938[[#This Row],[Document Type]]="bookSection"),TRUE,FALSE)</f>
        <v>0</v>
      </c>
      <c r="T675" s="2" t="b">
        <f>NOT(IF(OR(Table1938[[#This Row],[Language]]&lt;&gt;"en",Table1938[[#This Row],[Language]]&lt;&gt;"EN",Table1938[[#This Row],[Language]]&lt;&gt;"spa",Table1938[[#This Row],[Language]]&lt;&gt;"SPA"),TRUE,FALSE))</f>
        <v>0</v>
      </c>
      <c r="U675" s="2" t="b">
        <f>IF(AND(Table1938[[#This Row],[EC-01]]=FALSE,Table1938[[#This Row],[EC-02]]=FALSE,Table1938[[#This Row],[EC-03]]=FALSE,Table1938[[#This Row],[EC-04]]=FALSE,Table1938[[#This Row],[EC-05]]=FALSE,Table1938[[#This Row],[EC-06]]=FALSE),TRUE,FALSE)</f>
        <v>0</v>
      </c>
      <c r="V675" s="2" t="b">
        <f>IF(Table1938[[#This Row],[Date]]&lt;&gt;"",AND(YEAR(Table1938[[#This Row],[Date]])&gt;=2010, YEAR(Table1938[[#This Row],[Date]])&lt;=2024),FALSE)</f>
        <v>1</v>
      </c>
      <c r="W675" s="2" t="b">
        <f>IF(Table1938[[#This Row],[Date]]&lt;&gt;"",AND(YEAR(Table1938[[#This Row],[Date]])&gt;=2010, YEAR(Table1938[[#This Row],[Date]])&lt;=2020),FALSE)</f>
        <v>0</v>
      </c>
      <c r="X675" s="2" t="b">
        <f>IF(AND(Table1938[[#This Row],[Accesible]]=TRUE,Table1938[[#This Row],[DOI]]&lt;&gt;""),TRUE,FALSE)</f>
        <v>0</v>
      </c>
      <c r="Y675" s="2" t="b">
        <f>OR(Table1938[[#This Row],[Document Type]]="journalArticle",Table1938[[#This Row],[Document Type]]="conferencePaper",Table1938[[#This Row],[Document Type]]="review")</f>
        <v>1</v>
      </c>
      <c r="Z675" s="2" t="b" cm="1">
        <f t="array" ref="Z675">SUMPRODUCT(--ISNUMBER(SEARCH({"dimensional analysis","dimensionless coefficients","Π","Pi","theorem","software","design","tools","development","architecture","similar"}, LOWER(Table1938[[#This Row],[Title]]))))&gt;0</f>
        <v>0</v>
      </c>
      <c r="AA675" s="2" t="b" cm="1">
        <f t="array" ref="AA675">SUMPRODUCT(--ISNUMBER(SEARCH({"dimensional analysis","dimensionless coefficients","Π","Pi","theorem","software","design","tools","development","architecture","similar"}, LOWER(Table1938[[#This Row],[Abstract]]))))&gt;0</f>
        <v>0</v>
      </c>
      <c r="AB675" s="2" t="b">
        <f>AND(OR(Table1938[[#This Row],[IC-01 @2024]:[IC-01 @2020]])=TRUE,Table1938[[#This Row],[IC-02]]=TRUE,Table1938[[#This Row],[IC-03]]=TRUE,Table1938[[#This Row],[IC-04]]=TRUE,Table1938[[#This Row],[IC-05]]=TRUE)</f>
        <v>0</v>
      </c>
      <c r="AC675" s="2" t="b">
        <f>AND(Table1938[[#This Row],[Pass-IC]]=TRUE,Table1938[[#This Row],[Pass-EC]]=TRUE)</f>
        <v>0</v>
      </c>
      <c r="AD675" s="2" t="b">
        <f>COUNTIF($D$8:D692, Table1938[[#This Row],[Title]]) = 1</f>
        <v>1</v>
      </c>
      <c r="AE675" s="2" t="b">
        <f>AND(Table1938[[#This Row],[IC + EC]:[Unique]])</f>
        <v>0</v>
      </c>
      <c r="AF675" s="2" t="b">
        <v>0</v>
      </c>
      <c r="AG675" s="2" t="b">
        <v>0</v>
      </c>
      <c r="AH675" s="2" t="b">
        <v>0</v>
      </c>
      <c r="AI675" s="2" t="b">
        <f>IF(AND(Table1938[[#This Row],[Double Check]]=TRUE,Table1938[[#This Row],[Inspected]]=TRUE,Table1938[[#This Row],[Relevant]]=TRUE),TRUE,FALSE)</f>
        <v>0</v>
      </c>
    </row>
    <row r="676" spans="1:35" x14ac:dyDescent="0.5">
      <c r="A676" s="2">
        <v>675</v>
      </c>
      <c r="B676" s="20" t="s">
        <v>1</v>
      </c>
      <c r="C676" s="20" t="s">
        <v>3384</v>
      </c>
      <c r="D676" s="20" t="s">
        <v>733</v>
      </c>
      <c r="E676" s="20" t="s">
        <v>123</v>
      </c>
      <c r="F676" s="2" t="s">
        <v>123</v>
      </c>
      <c r="G676" s="20" t="s">
        <v>734</v>
      </c>
      <c r="H676" s="36">
        <v>45292</v>
      </c>
      <c r="I676" s="20">
        <v>2024</v>
      </c>
      <c r="J676" s="20" t="s">
        <v>688</v>
      </c>
      <c r="K676" s="20" t="s">
        <v>123</v>
      </c>
      <c r="L676" s="20" t="s">
        <v>642</v>
      </c>
      <c r="M676" s="20" t="s">
        <v>123</v>
      </c>
      <c r="N676" s="20" t="b">
        <v>0</v>
      </c>
      <c r="O676" s="2" t="b">
        <f>IF(Table1938[[#This Row],[Title]]="",TRUE,FALSE)</f>
        <v>0</v>
      </c>
      <c r="P676" s="2" t="b">
        <f>IF(Table1938[[#This Row],[Author]]="",TRUE,FALSE)</f>
        <v>1</v>
      </c>
      <c r="Q676" s="2" t="b">
        <f>IF(Table1938[[#This Row],[DOI]]&lt;&gt;"", FALSE,TRUE)</f>
        <v>1</v>
      </c>
      <c r="R676" s="2" t="b">
        <f>IF(Table1938[[#This Row],[Abstract]]="",TRUE,FALSE)</f>
        <v>1</v>
      </c>
      <c r="S676" s="2" t="b">
        <f>IF(OR(Table1938[[#This Row],[Document Type]]="book",Table1938[[#This Row],[Document Type]]="bookSection"),TRUE,FALSE)</f>
        <v>1</v>
      </c>
      <c r="T676" s="2" t="b">
        <f>NOT(IF(OR(Table1938[[#This Row],[Language]]&lt;&gt;"en",Table1938[[#This Row],[Language]]&lt;&gt;"EN",Table1938[[#This Row],[Language]]&lt;&gt;"spa",Table1938[[#This Row],[Language]]&lt;&gt;"SPA"),TRUE,FALSE))</f>
        <v>0</v>
      </c>
      <c r="U676" s="2" t="b">
        <f>IF(AND(Table1938[[#This Row],[EC-01]]=FALSE,Table1938[[#This Row],[EC-02]]=FALSE,Table1938[[#This Row],[EC-03]]=FALSE,Table1938[[#This Row],[EC-04]]=FALSE,Table1938[[#This Row],[EC-05]]=FALSE,Table1938[[#This Row],[EC-06]]=FALSE),TRUE,FALSE)</f>
        <v>0</v>
      </c>
      <c r="V676" s="2" t="b">
        <f>IF(Table1938[[#This Row],[Date]]&lt;&gt;"",AND(YEAR(Table1938[[#This Row],[Date]])&gt;=2010, YEAR(Table1938[[#This Row],[Date]])&lt;=2024),FALSE)</f>
        <v>1</v>
      </c>
      <c r="W676" s="2" t="b">
        <f>IF(Table1938[[#This Row],[Date]]&lt;&gt;"",AND(YEAR(Table1938[[#This Row],[Date]])&gt;=2010, YEAR(Table1938[[#This Row],[Date]])&lt;=2020),FALSE)</f>
        <v>0</v>
      </c>
      <c r="X676" s="2" t="b">
        <f>IF(AND(Table1938[[#This Row],[Accesible]]=TRUE,Table1938[[#This Row],[DOI]]&lt;&gt;""),TRUE,FALSE)</f>
        <v>0</v>
      </c>
      <c r="Y676" s="2" t="b">
        <f>OR(Table1938[[#This Row],[Document Type]]="journalArticle",Table1938[[#This Row],[Document Type]]="conferencePaper",Table1938[[#This Row],[Document Type]]="review")</f>
        <v>0</v>
      </c>
      <c r="Z676" s="2" t="b" cm="1">
        <f t="array" ref="Z676">SUMPRODUCT(--ISNUMBER(SEARCH({"dimensional analysis","dimensionless coefficients","Π","Pi","theorem","software","design","tools","development","architecture","similar"}, LOWER(Table1938[[#This Row],[Title]]))))&gt;0</f>
        <v>0</v>
      </c>
      <c r="AA676" s="2" t="b" cm="1">
        <f t="array" ref="AA676">SUMPRODUCT(--ISNUMBER(SEARCH({"dimensional analysis","dimensionless coefficients","Π","Pi","theorem","software","design","tools","development","architecture","similar"}, LOWER(Table1938[[#This Row],[Abstract]]))))&gt;0</f>
        <v>0</v>
      </c>
      <c r="AB676" s="2" t="b">
        <f>AND(OR(Table1938[[#This Row],[IC-01 @2024]:[IC-01 @2020]])=TRUE,Table1938[[#This Row],[IC-02]]=TRUE,Table1938[[#This Row],[IC-03]]=TRUE,Table1938[[#This Row],[IC-04]]=TRUE,Table1938[[#This Row],[IC-05]]=TRUE)</f>
        <v>0</v>
      </c>
      <c r="AC676" s="2" t="b">
        <f>AND(Table1938[[#This Row],[Pass-IC]]=TRUE,Table1938[[#This Row],[Pass-EC]]=TRUE)</f>
        <v>0</v>
      </c>
      <c r="AD676" s="2" t="b">
        <f>COUNTIF($D$7:D694, Table1938[[#This Row],[Title]]) = 1</f>
        <v>1</v>
      </c>
      <c r="AE676" s="2" t="b">
        <f>AND(Table1938[[#This Row],[IC + EC]:[Unique]])</f>
        <v>0</v>
      </c>
      <c r="AF676" s="2" t="b">
        <v>0</v>
      </c>
      <c r="AG676" s="2" t="b">
        <v>0</v>
      </c>
      <c r="AH676" s="2" t="b">
        <v>0</v>
      </c>
      <c r="AI676" s="2" t="b">
        <f>IF(AND(Table1938[[#This Row],[Double Check]]=TRUE,Table1938[[#This Row],[Inspected]]=TRUE,Table1938[[#This Row],[Relevant]]=TRUE),TRUE,FALSE)</f>
        <v>0</v>
      </c>
    </row>
    <row r="677" spans="1:35" ht="28.7" x14ac:dyDescent="0.5">
      <c r="A677" s="2">
        <v>676</v>
      </c>
      <c r="B677" s="20" t="s">
        <v>1</v>
      </c>
      <c r="C677" s="20" t="s">
        <v>3385</v>
      </c>
      <c r="D677" s="20" t="s">
        <v>735</v>
      </c>
      <c r="E677" s="20" t="s">
        <v>123</v>
      </c>
      <c r="F677" s="2" t="s">
        <v>123</v>
      </c>
      <c r="G677" s="20" t="s">
        <v>123</v>
      </c>
      <c r="H677" s="36">
        <v>45292</v>
      </c>
      <c r="I677" s="20">
        <v>2024</v>
      </c>
      <c r="J677" s="20" t="s">
        <v>63</v>
      </c>
      <c r="K677" s="20" t="s">
        <v>123</v>
      </c>
      <c r="L677" s="20" t="s">
        <v>642</v>
      </c>
      <c r="M677" s="20" t="s">
        <v>123</v>
      </c>
      <c r="N677" s="20" t="b">
        <v>0</v>
      </c>
      <c r="O677" s="2" t="b">
        <f>IF(Table1938[[#This Row],[Title]]="",TRUE,FALSE)</f>
        <v>0</v>
      </c>
      <c r="P677" s="2" t="b">
        <f>IF(Table1938[[#This Row],[Author]]="",TRUE,FALSE)</f>
        <v>1</v>
      </c>
      <c r="Q677" s="2" t="b">
        <f>IF(Table1938[[#This Row],[DOI]]&lt;&gt;"", FALSE,TRUE)</f>
        <v>1</v>
      </c>
      <c r="R677" s="2" t="b">
        <f>IF(Table1938[[#This Row],[Abstract]]="",TRUE,FALSE)</f>
        <v>1</v>
      </c>
      <c r="S677" s="2" t="b">
        <f>IF(OR(Table1938[[#This Row],[Document Type]]="book",Table1938[[#This Row],[Document Type]]="bookSection"),TRUE,FALSE)</f>
        <v>1</v>
      </c>
      <c r="T677" s="2" t="b">
        <f>NOT(IF(OR(Table1938[[#This Row],[Language]]&lt;&gt;"en",Table1938[[#This Row],[Language]]&lt;&gt;"EN",Table1938[[#This Row],[Language]]&lt;&gt;"spa",Table1938[[#This Row],[Language]]&lt;&gt;"SPA"),TRUE,FALSE))</f>
        <v>0</v>
      </c>
      <c r="U677" s="2" t="b">
        <f>IF(AND(Table1938[[#This Row],[EC-01]]=FALSE,Table1938[[#This Row],[EC-02]]=FALSE,Table1938[[#This Row],[EC-03]]=FALSE,Table1938[[#This Row],[EC-04]]=FALSE,Table1938[[#This Row],[EC-05]]=FALSE,Table1938[[#This Row],[EC-06]]=FALSE),TRUE,FALSE)</f>
        <v>0</v>
      </c>
      <c r="V677" s="2" t="b">
        <f>IF(Table1938[[#This Row],[Date]]&lt;&gt;"",AND(YEAR(Table1938[[#This Row],[Date]])&gt;=2010, YEAR(Table1938[[#This Row],[Date]])&lt;=2024),FALSE)</f>
        <v>1</v>
      </c>
      <c r="W677" s="2" t="b">
        <f>IF(Table1938[[#This Row],[Date]]&lt;&gt;"",AND(YEAR(Table1938[[#This Row],[Date]])&gt;=2010, YEAR(Table1938[[#This Row],[Date]])&lt;=2020),FALSE)</f>
        <v>0</v>
      </c>
      <c r="X677" s="2" t="b">
        <f>IF(AND(Table1938[[#This Row],[Accesible]]=TRUE,Table1938[[#This Row],[DOI]]&lt;&gt;""),TRUE,FALSE)</f>
        <v>0</v>
      </c>
      <c r="Y677" s="2" t="b">
        <f>OR(Table1938[[#This Row],[Document Type]]="journalArticle",Table1938[[#This Row],[Document Type]]="conferencePaper",Table1938[[#This Row],[Document Type]]="review")</f>
        <v>0</v>
      </c>
      <c r="Z677" s="2" t="b" cm="1">
        <f t="array" ref="Z677">SUMPRODUCT(--ISNUMBER(SEARCH({"dimensional analysis","dimensionless coefficients","Π","Pi","theorem","software","design","tools","development","architecture","similar"}, LOWER(Table1938[[#This Row],[Title]]))))&gt;0</f>
        <v>1</v>
      </c>
      <c r="AA677" s="2" t="b" cm="1">
        <f t="array" ref="AA677">SUMPRODUCT(--ISNUMBER(SEARCH({"dimensional analysis","dimensionless coefficients","Π","Pi","theorem","software","design","tools","development","architecture","similar"}, LOWER(Table1938[[#This Row],[Abstract]]))))&gt;0</f>
        <v>0</v>
      </c>
      <c r="AB677" s="2" t="b">
        <f>AND(OR(Table1938[[#This Row],[IC-01 @2024]:[IC-01 @2020]])=TRUE,Table1938[[#This Row],[IC-02]]=TRUE,Table1938[[#This Row],[IC-03]]=TRUE,Table1938[[#This Row],[IC-04]]=TRUE,Table1938[[#This Row],[IC-05]]=TRUE)</f>
        <v>0</v>
      </c>
      <c r="AC677" s="2" t="b">
        <f>AND(Table1938[[#This Row],[Pass-IC]]=TRUE,Table1938[[#This Row],[Pass-EC]]=TRUE)</f>
        <v>0</v>
      </c>
      <c r="AD677" s="2" t="b">
        <f>COUNTIF($D$6:D696, Table1938[[#This Row],[Title]]) = 1</f>
        <v>1</v>
      </c>
      <c r="AE677" s="2" t="b">
        <f>AND(Table1938[[#This Row],[IC + EC]:[Unique]])</f>
        <v>0</v>
      </c>
      <c r="AF677" s="2" t="b">
        <v>0</v>
      </c>
      <c r="AG677" s="2" t="b">
        <v>0</v>
      </c>
      <c r="AH677" s="2" t="b">
        <v>0</v>
      </c>
      <c r="AI677" s="2" t="b">
        <f>IF(AND(Table1938[[#This Row],[Double Check]]=TRUE,Table1938[[#This Row],[Inspected]]=TRUE,Table1938[[#This Row],[Relevant]]=TRUE),TRUE,FALSE)</f>
        <v>0</v>
      </c>
    </row>
    <row r="678" spans="1:35" ht="43" x14ac:dyDescent="0.5">
      <c r="A678" s="2">
        <v>677</v>
      </c>
      <c r="B678" s="20" t="s">
        <v>1</v>
      </c>
      <c r="C678" s="20" t="s">
        <v>3386</v>
      </c>
      <c r="D678" s="20" t="s">
        <v>259</v>
      </c>
      <c r="E678" s="20" t="s">
        <v>832</v>
      </c>
      <c r="F678" s="2" t="s">
        <v>123</v>
      </c>
      <c r="G678" s="20" t="s">
        <v>155</v>
      </c>
      <c r="H678" s="36">
        <v>44593</v>
      </c>
      <c r="I678" s="20">
        <v>2022</v>
      </c>
      <c r="J678" s="20" t="s">
        <v>61</v>
      </c>
      <c r="K678" s="20" t="s">
        <v>123</v>
      </c>
      <c r="L678" s="20" t="s">
        <v>642</v>
      </c>
      <c r="M678" s="20" t="s">
        <v>260</v>
      </c>
      <c r="N678" s="20" t="b">
        <v>0</v>
      </c>
      <c r="O678" s="2" t="b">
        <f>IF(Table1938[[#This Row],[Title]]="",TRUE,FALSE)</f>
        <v>0</v>
      </c>
      <c r="P678" s="2" t="b">
        <f>IF(Table1938[[#This Row],[Author]]="",TRUE,FALSE)</f>
        <v>0</v>
      </c>
      <c r="Q678" s="2" t="b">
        <f>IF(Table1938[[#This Row],[DOI]]&lt;&gt;"", FALSE,TRUE)</f>
        <v>0</v>
      </c>
      <c r="R678" s="2" t="b">
        <f>IF(Table1938[[#This Row],[Abstract]]="",TRUE,FALSE)</f>
        <v>1</v>
      </c>
      <c r="S678" s="2" t="b">
        <f>IF(OR(Table1938[[#This Row],[Document Type]]="book",Table1938[[#This Row],[Document Type]]="bookSection"),TRUE,FALSE)</f>
        <v>0</v>
      </c>
      <c r="T678" s="2" t="b">
        <f>NOT(IF(OR(Table1938[[#This Row],[Language]]&lt;&gt;"en",Table1938[[#This Row],[Language]]&lt;&gt;"EN",Table1938[[#This Row],[Language]]&lt;&gt;"spa",Table1938[[#This Row],[Language]]&lt;&gt;"SPA"),TRUE,FALSE))</f>
        <v>0</v>
      </c>
      <c r="U678" s="2" t="b">
        <f>IF(AND(Table1938[[#This Row],[EC-01]]=FALSE,Table1938[[#This Row],[EC-02]]=FALSE,Table1938[[#This Row],[EC-03]]=FALSE,Table1938[[#This Row],[EC-04]]=FALSE,Table1938[[#This Row],[EC-05]]=FALSE,Table1938[[#This Row],[EC-06]]=FALSE),TRUE,FALSE)</f>
        <v>0</v>
      </c>
      <c r="V678" s="2" t="b">
        <f>IF(Table1938[[#This Row],[Date]]&lt;&gt;"",AND(YEAR(Table1938[[#This Row],[Date]])&gt;=2010, YEAR(Table1938[[#This Row],[Date]])&lt;=2024),FALSE)</f>
        <v>1</v>
      </c>
      <c r="W678" s="2" t="b">
        <f>IF(Table1938[[#This Row],[Date]]&lt;&gt;"",AND(YEAR(Table1938[[#This Row],[Date]])&gt;=2010, YEAR(Table1938[[#This Row],[Date]])&lt;=2020),FALSE)</f>
        <v>0</v>
      </c>
      <c r="X678" s="2" t="b">
        <f>IF(AND(Table1938[[#This Row],[Accesible]]=TRUE,Table1938[[#This Row],[DOI]]&lt;&gt;""),TRUE,FALSE)</f>
        <v>0</v>
      </c>
      <c r="Y678" s="2" t="b">
        <f>OR(Table1938[[#This Row],[Document Type]]="journalArticle",Table1938[[#This Row],[Document Type]]="conferencePaper",Table1938[[#This Row],[Document Type]]="review")</f>
        <v>1</v>
      </c>
      <c r="Z678" s="2" t="b" cm="1">
        <f t="array" ref="Z678">SUMPRODUCT(--ISNUMBER(SEARCH({"dimensional analysis","dimensionless coefficients","Π","Pi","theorem","software","design","tools","development","architecture","similar"}, LOWER(Table1938[[#This Row],[Title]]))))&gt;0</f>
        <v>0</v>
      </c>
      <c r="AA678" s="2" t="b" cm="1">
        <f t="array" ref="AA678">SUMPRODUCT(--ISNUMBER(SEARCH({"dimensional analysis","dimensionless coefficients","Π","Pi","theorem","software","design","tools","development","architecture","similar"}, LOWER(Table1938[[#This Row],[Abstract]]))))&gt;0</f>
        <v>0</v>
      </c>
      <c r="AB678" s="2" t="b">
        <f>AND(OR(Table1938[[#This Row],[IC-01 @2024]:[IC-01 @2020]])=TRUE,Table1938[[#This Row],[IC-02]]=TRUE,Table1938[[#This Row],[IC-03]]=TRUE,Table1938[[#This Row],[IC-04]]=TRUE,Table1938[[#This Row],[IC-05]]=TRUE)</f>
        <v>0</v>
      </c>
      <c r="AC678" s="2" t="b">
        <f>AND(Table1938[[#This Row],[Pass-IC]]=TRUE,Table1938[[#This Row],[Pass-EC]]=TRUE)</f>
        <v>0</v>
      </c>
      <c r="AD678" s="2" t="b">
        <f>COUNTIF($D$5:D698, Table1938[[#This Row],[Title]]) = 1</f>
        <v>1</v>
      </c>
      <c r="AE678" s="2" t="b">
        <f>AND(Table1938[[#This Row],[IC + EC]:[Unique]])</f>
        <v>0</v>
      </c>
      <c r="AF678" s="2" t="b">
        <v>0</v>
      </c>
      <c r="AG678" s="2" t="b">
        <v>0</v>
      </c>
      <c r="AH678" s="2" t="b">
        <v>0</v>
      </c>
      <c r="AI678" s="2" t="b">
        <f>IF(AND(Table1938[[#This Row],[Double Check]]=TRUE,Table1938[[#This Row],[Inspected]]=TRUE,Table1938[[#This Row],[Relevant]]=TRUE),TRUE,FALSE)</f>
        <v>0</v>
      </c>
    </row>
    <row r="679" spans="1:35" ht="43" x14ac:dyDescent="0.5">
      <c r="A679" s="2">
        <v>678</v>
      </c>
      <c r="B679" s="20" t="s">
        <v>1</v>
      </c>
      <c r="C679" s="20" t="s">
        <v>3387</v>
      </c>
      <c r="D679" s="20" t="s">
        <v>147</v>
      </c>
      <c r="E679" s="20" t="s">
        <v>123</v>
      </c>
      <c r="F679" s="2" t="s">
        <v>123</v>
      </c>
      <c r="G679" s="20" t="s">
        <v>148</v>
      </c>
      <c r="H679" s="36">
        <v>44440</v>
      </c>
      <c r="I679" s="20">
        <v>2021</v>
      </c>
      <c r="J679" s="20" t="s">
        <v>61</v>
      </c>
      <c r="K679" s="20" t="s">
        <v>123</v>
      </c>
      <c r="L679" s="20" t="s">
        <v>642</v>
      </c>
      <c r="M679" s="20" t="s">
        <v>149</v>
      </c>
      <c r="N679" s="20" t="b">
        <v>0</v>
      </c>
      <c r="O679" s="2" t="b">
        <f>IF(Table1938[[#This Row],[Title]]="",TRUE,FALSE)</f>
        <v>0</v>
      </c>
      <c r="P679" s="2" t="b">
        <f>IF(Table1938[[#This Row],[Author]]="",TRUE,FALSE)</f>
        <v>1</v>
      </c>
      <c r="Q679" s="2" t="b">
        <f>IF(Table1938[[#This Row],[DOI]]&lt;&gt;"", FALSE,TRUE)</f>
        <v>0</v>
      </c>
      <c r="R679" s="2" t="b">
        <f>IF(Table1938[[#This Row],[Abstract]]="",TRUE,FALSE)</f>
        <v>1</v>
      </c>
      <c r="S679" s="2" t="b">
        <f>IF(OR(Table1938[[#This Row],[Document Type]]="book",Table1938[[#This Row],[Document Type]]="bookSection"),TRUE,FALSE)</f>
        <v>0</v>
      </c>
      <c r="T679" s="2" t="b">
        <f>NOT(IF(OR(Table1938[[#This Row],[Language]]&lt;&gt;"en",Table1938[[#This Row],[Language]]&lt;&gt;"EN",Table1938[[#This Row],[Language]]&lt;&gt;"spa",Table1938[[#This Row],[Language]]&lt;&gt;"SPA"),TRUE,FALSE))</f>
        <v>0</v>
      </c>
      <c r="U679" s="2" t="b">
        <f>IF(AND(Table1938[[#This Row],[EC-01]]=FALSE,Table1938[[#This Row],[EC-02]]=FALSE,Table1938[[#This Row],[EC-03]]=FALSE,Table1938[[#This Row],[EC-04]]=FALSE,Table1938[[#This Row],[EC-05]]=FALSE,Table1938[[#This Row],[EC-06]]=FALSE),TRUE,FALSE)</f>
        <v>0</v>
      </c>
      <c r="V679" s="2" t="b">
        <f>IF(Table1938[[#This Row],[Date]]&lt;&gt;"",AND(YEAR(Table1938[[#This Row],[Date]])&gt;=2010, YEAR(Table1938[[#This Row],[Date]])&lt;=2024),FALSE)</f>
        <v>1</v>
      </c>
      <c r="W679" s="2" t="b">
        <f>IF(Table1938[[#This Row],[Date]]&lt;&gt;"",AND(YEAR(Table1938[[#This Row],[Date]])&gt;=2010, YEAR(Table1938[[#This Row],[Date]])&lt;=2020),FALSE)</f>
        <v>0</v>
      </c>
      <c r="X679" s="2" t="b">
        <f>IF(AND(Table1938[[#This Row],[Accesible]]=TRUE,Table1938[[#This Row],[DOI]]&lt;&gt;""),TRUE,FALSE)</f>
        <v>0</v>
      </c>
      <c r="Y679" s="2" t="b">
        <f>OR(Table1938[[#This Row],[Document Type]]="journalArticle",Table1938[[#This Row],[Document Type]]="conferencePaper",Table1938[[#This Row],[Document Type]]="review")</f>
        <v>1</v>
      </c>
      <c r="Z679" s="2" t="b" cm="1">
        <f t="array" ref="Z679">SUMPRODUCT(--ISNUMBER(SEARCH({"dimensional analysis","dimensionless coefficients","Π","Pi","theorem","software","design","tools","development","architecture","similar"}, LOWER(Table1938[[#This Row],[Title]]))))&gt;0</f>
        <v>0</v>
      </c>
      <c r="AA679" s="2" t="b" cm="1">
        <f t="array" ref="AA679">SUMPRODUCT(--ISNUMBER(SEARCH({"dimensional analysis","dimensionless coefficients","Π","Pi","theorem","software","design","tools","development","architecture","similar"}, LOWER(Table1938[[#This Row],[Abstract]]))))&gt;0</f>
        <v>0</v>
      </c>
      <c r="AB679" s="2" t="b">
        <f>AND(OR(Table1938[[#This Row],[IC-01 @2024]:[IC-01 @2020]])=TRUE,Table1938[[#This Row],[IC-02]]=TRUE,Table1938[[#This Row],[IC-03]]=TRUE,Table1938[[#This Row],[IC-04]]=TRUE,Table1938[[#This Row],[IC-05]]=TRUE)</f>
        <v>0</v>
      </c>
      <c r="AC679" s="2" t="b">
        <f>AND(Table1938[[#This Row],[Pass-IC]]=TRUE,Table1938[[#This Row],[Pass-EC]]=TRUE)</f>
        <v>0</v>
      </c>
      <c r="AD679" s="2" t="b">
        <f>COUNTIF($D$4:D700, Table1938[[#This Row],[Title]]) = 1</f>
        <v>1</v>
      </c>
      <c r="AE679" s="2" t="b">
        <f>AND(Table1938[[#This Row],[IC + EC]:[Unique]])</f>
        <v>0</v>
      </c>
      <c r="AF679" s="2" t="b">
        <v>0</v>
      </c>
      <c r="AG679" s="2" t="b">
        <v>0</v>
      </c>
      <c r="AH679" s="2" t="b">
        <v>0</v>
      </c>
      <c r="AI679" s="2" t="b">
        <f>IF(AND(Table1938[[#This Row],[Double Check]]=TRUE,Table1938[[#This Row],[Inspected]]=TRUE,Table1938[[#This Row],[Relevant]]=TRUE),TRUE,FALSE)</f>
        <v>0</v>
      </c>
    </row>
    <row r="680" spans="1:35" ht="28.7" x14ac:dyDescent="0.5">
      <c r="A680" s="2">
        <v>679</v>
      </c>
      <c r="B680" s="20" t="s">
        <v>1</v>
      </c>
      <c r="C680" s="20" t="s">
        <v>3388</v>
      </c>
      <c r="D680" s="20" t="s">
        <v>828</v>
      </c>
      <c r="E680" s="20" t="s">
        <v>123</v>
      </c>
      <c r="F680" s="2" t="s">
        <v>123</v>
      </c>
      <c r="G680" s="20" t="s">
        <v>829</v>
      </c>
      <c r="H680" s="36">
        <v>45292</v>
      </c>
      <c r="I680" s="20">
        <v>2024</v>
      </c>
      <c r="J680" s="20" t="s">
        <v>688</v>
      </c>
      <c r="K680" s="20" t="s">
        <v>123</v>
      </c>
      <c r="L680" s="20" t="s">
        <v>642</v>
      </c>
      <c r="M680" s="20" t="s">
        <v>123</v>
      </c>
      <c r="N680" s="20" t="b">
        <v>0</v>
      </c>
      <c r="O680" s="2" t="b">
        <f>IF(Table1938[[#This Row],[Title]]="",TRUE,FALSE)</f>
        <v>0</v>
      </c>
      <c r="P680" s="2" t="b">
        <f>IF(Table1938[[#This Row],[Author]]="",TRUE,FALSE)</f>
        <v>1</v>
      </c>
      <c r="Q680" s="2" t="b">
        <f>IF(Table1938[[#This Row],[DOI]]&lt;&gt;"", FALSE,TRUE)</f>
        <v>1</v>
      </c>
      <c r="R680" s="2" t="b">
        <f>IF(Table1938[[#This Row],[Abstract]]="",TRUE,FALSE)</f>
        <v>1</v>
      </c>
      <c r="S680" s="2" t="b">
        <f>IF(OR(Table1938[[#This Row],[Document Type]]="book",Table1938[[#This Row],[Document Type]]="bookSection"),TRUE,FALSE)</f>
        <v>1</v>
      </c>
      <c r="T680" s="2" t="b">
        <f>NOT(IF(OR(Table1938[[#This Row],[Language]]&lt;&gt;"en",Table1938[[#This Row],[Language]]&lt;&gt;"EN",Table1938[[#This Row],[Language]]&lt;&gt;"spa",Table1938[[#This Row],[Language]]&lt;&gt;"SPA"),TRUE,FALSE))</f>
        <v>0</v>
      </c>
      <c r="U680" s="2" t="b">
        <f>IF(AND(Table1938[[#This Row],[EC-01]]=FALSE,Table1938[[#This Row],[EC-02]]=FALSE,Table1938[[#This Row],[EC-03]]=FALSE,Table1938[[#This Row],[EC-04]]=FALSE,Table1938[[#This Row],[EC-05]]=FALSE,Table1938[[#This Row],[EC-06]]=FALSE),TRUE,FALSE)</f>
        <v>0</v>
      </c>
      <c r="V680" s="2" t="b">
        <f>IF(Table1938[[#This Row],[Date]]&lt;&gt;"",AND(YEAR(Table1938[[#This Row],[Date]])&gt;=2010, YEAR(Table1938[[#This Row],[Date]])&lt;=2024),FALSE)</f>
        <v>1</v>
      </c>
      <c r="W680" s="2" t="b">
        <f>IF(Table1938[[#This Row],[Date]]&lt;&gt;"",AND(YEAR(Table1938[[#This Row],[Date]])&gt;=2010, YEAR(Table1938[[#This Row],[Date]])&lt;=2020),FALSE)</f>
        <v>0</v>
      </c>
      <c r="X680" s="2" t="b">
        <f>IF(AND(Table1938[[#This Row],[Accesible]]=TRUE,Table1938[[#This Row],[DOI]]&lt;&gt;""),TRUE,FALSE)</f>
        <v>0</v>
      </c>
      <c r="Y680" s="2" t="b">
        <f>OR(Table1938[[#This Row],[Document Type]]="journalArticle",Table1938[[#This Row],[Document Type]]="conferencePaper",Table1938[[#This Row],[Document Type]]="review")</f>
        <v>0</v>
      </c>
      <c r="Z680" s="2" t="b" cm="1">
        <f t="array" ref="Z680">SUMPRODUCT(--ISNUMBER(SEARCH({"dimensional analysis","dimensionless coefficients","Π","Pi","theorem","software","design","tools","development","architecture","similar"}, LOWER(Table1938[[#This Row],[Title]]))))&gt;0</f>
        <v>0</v>
      </c>
      <c r="AA680" s="2" t="b" cm="1">
        <f t="array" ref="AA680">SUMPRODUCT(--ISNUMBER(SEARCH({"dimensional analysis","dimensionless coefficients","Π","Pi","theorem","software","design","tools","development","architecture","similar"}, LOWER(Table1938[[#This Row],[Abstract]]))))&gt;0</f>
        <v>0</v>
      </c>
      <c r="AB680" s="2" t="b">
        <f>AND(OR(Table1938[[#This Row],[IC-01 @2024]:[IC-01 @2020]])=TRUE,Table1938[[#This Row],[IC-02]]=TRUE,Table1938[[#This Row],[IC-03]]=TRUE,Table1938[[#This Row],[IC-04]]=TRUE,Table1938[[#This Row],[IC-05]]=TRUE)</f>
        <v>0</v>
      </c>
      <c r="AC680" s="2" t="b">
        <f>AND(Table1938[[#This Row],[Pass-IC]]=TRUE,Table1938[[#This Row],[Pass-EC]]=TRUE)</f>
        <v>0</v>
      </c>
      <c r="AD680" s="2" t="b">
        <f>COUNTIF($D$3:D702, Table1938[[#This Row],[Title]]) = 1</f>
        <v>1</v>
      </c>
      <c r="AE680" s="2" t="b">
        <f>AND(Table1938[[#This Row],[IC + EC]:[Unique]])</f>
        <v>0</v>
      </c>
      <c r="AF680" s="2" t="b">
        <v>0</v>
      </c>
      <c r="AG680" s="2" t="b">
        <v>0</v>
      </c>
      <c r="AH680" s="2" t="b">
        <v>0</v>
      </c>
      <c r="AI680" s="2" t="b">
        <f>IF(AND(Table1938[[#This Row],[Double Check]]=TRUE,Table1938[[#This Row],[Inspected]]=TRUE,Table1938[[#This Row],[Relevant]]=TRUE),TRUE,FALSE)</f>
        <v>0</v>
      </c>
    </row>
    <row r="681" spans="1:35" x14ac:dyDescent="0.5">
      <c r="A681" s="2">
        <v>680</v>
      </c>
      <c r="B681" s="20" t="s">
        <v>1</v>
      </c>
      <c r="C681" s="20" t="s">
        <v>3389</v>
      </c>
      <c r="D681" s="20" t="s">
        <v>831</v>
      </c>
      <c r="E681" s="20" t="s">
        <v>830</v>
      </c>
      <c r="F681" s="2" t="s">
        <v>123</v>
      </c>
      <c r="G681" s="20" t="s">
        <v>123</v>
      </c>
      <c r="H681" s="36">
        <v>45292</v>
      </c>
      <c r="I681" s="20">
        <v>2024</v>
      </c>
      <c r="J681" s="20" t="s">
        <v>63</v>
      </c>
      <c r="K681" s="20" t="s">
        <v>123</v>
      </c>
      <c r="L681" s="20" t="s">
        <v>642</v>
      </c>
      <c r="M681" s="20" t="s">
        <v>123</v>
      </c>
      <c r="N681" s="20" t="b">
        <v>0</v>
      </c>
      <c r="O681" s="2" t="b">
        <f>IF(Table1938[[#This Row],[Title]]="",TRUE,FALSE)</f>
        <v>0</v>
      </c>
      <c r="P681" s="2" t="b">
        <f>IF(Table1938[[#This Row],[Author]]="",TRUE,FALSE)</f>
        <v>0</v>
      </c>
      <c r="Q681" s="2" t="b">
        <f>IF(Table1938[[#This Row],[DOI]]&lt;&gt;"", FALSE,TRUE)</f>
        <v>1</v>
      </c>
      <c r="R681" s="2" t="b">
        <f>IF(Table1938[[#This Row],[Abstract]]="",TRUE,FALSE)</f>
        <v>1</v>
      </c>
      <c r="S681" s="2" t="b">
        <f>IF(OR(Table1938[[#This Row],[Document Type]]="book",Table1938[[#This Row],[Document Type]]="bookSection"),TRUE,FALSE)</f>
        <v>1</v>
      </c>
      <c r="T681" s="2" t="b">
        <f>NOT(IF(OR(Table1938[[#This Row],[Language]]&lt;&gt;"en",Table1938[[#This Row],[Language]]&lt;&gt;"EN",Table1938[[#This Row],[Language]]&lt;&gt;"spa",Table1938[[#This Row],[Language]]&lt;&gt;"SPA"),TRUE,FALSE))</f>
        <v>0</v>
      </c>
      <c r="U681" s="2" t="b">
        <f>IF(AND(Table1938[[#This Row],[EC-01]]=FALSE,Table1938[[#This Row],[EC-02]]=FALSE,Table1938[[#This Row],[EC-03]]=FALSE,Table1938[[#This Row],[EC-04]]=FALSE,Table1938[[#This Row],[EC-05]]=FALSE,Table1938[[#This Row],[EC-06]]=FALSE),TRUE,FALSE)</f>
        <v>0</v>
      </c>
      <c r="V681" s="2" t="b">
        <f>IF(Table1938[[#This Row],[Date]]&lt;&gt;"",AND(YEAR(Table1938[[#This Row],[Date]])&gt;=2010, YEAR(Table1938[[#This Row],[Date]])&lt;=2024),FALSE)</f>
        <v>1</v>
      </c>
      <c r="W681" s="2" t="b">
        <f>IF(Table1938[[#This Row],[Date]]&lt;&gt;"",AND(YEAR(Table1938[[#This Row],[Date]])&gt;=2010, YEAR(Table1938[[#This Row],[Date]])&lt;=2020),FALSE)</f>
        <v>0</v>
      </c>
      <c r="X681" s="2" t="b">
        <f>IF(AND(Table1938[[#This Row],[Accesible]]=TRUE,Table1938[[#This Row],[DOI]]&lt;&gt;""),TRUE,FALSE)</f>
        <v>0</v>
      </c>
      <c r="Y681" s="2" t="b">
        <f>OR(Table1938[[#This Row],[Document Type]]="journalArticle",Table1938[[#This Row],[Document Type]]="conferencePaper",Table1938[[#This Row],[Document Type]]="review")</f>
        <v>0</v>
      </c>
      <c r="Z681" s="2" t="b" cm="1">
        <f t="array" ref="Z681">SUMPRODUCT(--ISNUMBER(SEARCH({"dimensional analysis","dimensionless coefficients","Π","Pi","theorem","software","design","tools","development","architecture","similar"}, LOWER(Table1938[[#This Row],[Title]]))))&gt;0</f>
        <v>0</v>
      </c>
      <c r="AA681" s="2" t="b" cm="1">
        <f t="array" ref="AA681">SUMPRODUCT(--ISNUMBER(SEARCH({"dimensional analysis","dimensionless coefficients","Π","Pi","theorem","software","design","tools","development","architecture","similar"}, LOWER(Table1938[[#This Row],[Abstract]]))))&gt;0</f>
        <v>0</v>
      </c>
      <c r="AB681" s="2" t="b">
        <f>AND(OR(Table1938[[#This Row],[IC-01 @2024]:[IC-01 @2020]])=TRUE,Table1938[[#This Row],[IC-02]]=TRUE,Table1938[[#This Row],[IC-03]]=TRUE,Table1938[[#This Row],[IC-04]]=TRUE,Table1938[[#This Row],[IC-05]]=TRUE)</f>
        <v>0</v>
      </c>
      <c r="AC681" s="2" t="b">
        <f>AND(Table1938[[#This Row],[Pass-IC]]=TRUE,Table1938[[#This Row],[Pass-EC]]=TRUE)</f>
        <v>0</v>
      </c>
      <c r="AD681" s="2" t="b">
        <f>COUNTIF($D$2:D704, Table1938[[#This Row],[Title]]) = 1</f>
        <v>1</v>
      </c>
      <c r="AE681" s="2" t="b">
        <f>AND(Table1938[[#This Row],[IC + EC]:[Unique]])</f>
        <v>0</v>
      </c>
      <c r="AF681" s="2" t="b">
        <v>0</v>
      </c>
      <c r="AG681" s="2" t="b">
        <v>0</v>
      </c>
      <c r="AH681" s="2" t="b">
        <v>0</v>
      </c>
      <c r="AI681" s="2" t="b">
        <f>IF(AND(Table1938[[#This Row],[Double Check]]=TRUE,Table1938[[#This Row],[Inspected]]=TRUE,Table1938[[#This Row],[Relevant]]=TRUE),TRUE,FALSE)</f>
        <v>0</v>
      </c>
    </row>
  </sheetData>
  <phoneticPr fontId="4" type="noConversion"/>
  <conditionalFormatting sqref="D2:D681">
    <cfRule type="duplicateValues" dxfId="25" priority="43"/>
  </conditionalFormatting>
  <conditionalFormatting sqref="U2:U681">
    <cfRule type="cellIs" dxfId="24" priority="2" operator="equal">
      <formula>TRUE</formula>
    </cfRule>
    <cfRule type="cellIs" dxfId="23" priority="4" operator="equal">
      <formula>TRUE</formula>
    </cfRule>
  </conditionalFormatting>
  <conditionalFormatting sqref="U2:AE681">
    <cfRule type="cellIs" dxfId="22" priority="5" operator="equal">
      <formula>FALSE</formula>
    </cfRule>
  </conditionalFormatting>
  <conditionalFormatting sqref="AI2:AI681">
    <cfRule type="cellIs" dxfId="21" priority="1" operator="equal">
      <formula>TRUE</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60A3883-4317-4514-83D2-44475B17D71B}">
          <x14:formula1>
            <xm:f>'99 - Extras'!$B$4:$B$8</xm:f>
          </x14:formula1>
          <xm:sqref>B2:B681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4772-2FA2-475F-813D-7C8A7452E6B8}">
  <sheetPr codeName="Sheet11"/>
  <dimension ref="B1:Z11"/>
  <sheetViews>
    <sheetView zoomScale="120" zoomScaleNormal="120" workbookViewId="0">
      <pane xSplit="3" ySplit="1" topLeftCell="K2" activePane="bottomRight" state="frozen"/>
      <selection pane="topRight" activeCell="C1" sqref="C1"/>
      <selection pane="bottomLeft" activeCell="A3" sqref="A3"/>
      <selection pane="bottomRight" activeCell="B1" sqref="B1:M9"/>
    </sheetView>
  </sheetViews>
  <sheetFormatPr defaultRowHeight="14.35" x14ac:dyDescent="0.5"/>
  <cols>
    <col min="2" max="2" width="6.87890625" style="1" bestFit="1" customWidth="1"/>
    <col min="3" max="3" width="35.64453125" style="3" bestFit="1" customWidth="1"/>
    <col min="4" max="4" width="10" style="1" bestFit="1" customWidth="1"/>
    <col min="5" max="5" width="18.3515625" style="1" bestFit="1" customWidth="1"/>
    <col min="6" max="11" width="9.9375" style="1" bestFit="1" customWidth="1"/>
    <col min="12" max="12" width="10.05859375" bestFit="1" customWidth="1"/>
    <col min="13" max="13" width="12.9375" bestFit="1" customWidth="1"/>
    <col min="14" max="14" width="13" customWidth="1"/>
    <col min="17" max="17" width="6.87890625" style="1" bestFit="1" customWidth="1"/>
    <col min="18" max="18" width="37" style="3" bestFit="1" customWidth="1"/>
    <col min="19" max="19" width="10" style="1" bestFit="1" customWidth="1"/>
    <col min="20" max="20" width="18.3515625" style="1" bestFit="1" customWidth="1"/>
    <col min="21" max="22" width="35.8203125" style="1" customWidth="1"/>
    <col min="23" max="23" width="35.52734375" style="1" bestFit="1" customWidth="1"/>
    <col min="24" max="24" width="36.29296875" style="1" bestFit="1" customWidth="1"/>
    <col min="25" max="25" width="35.41015625" style="1" bestFit="1" customWidth="1"/>
    <col min="26" max="26" width="35.8203125" style="1" customWidth="1"/>
    <col min="27" max="27" width="54.3515625" customWidth="1"/>
  </cols>
  <sheetData>
    <row r="1" spans="2:26" x14ac:dyDescent="0.5">
      <c r="B1" s="7" t="s">
        <v>50</v>
      </c>
      <c r="C1" s="7" t="s">
        <v>8</v>
      </c>
      <c r="D1" s="7" t="s">
        <v>20</v>
      </c>
      <c r="E1" s="7" t="s">
        <v>14</v>
      </c>
      <c r="F1" s="7" t="s">
        <v>3849</v>
      </c>
      <c r="G1" s="7" t="s">
        <v>3850</v>
      </c>
      <c r="H1" s="7" t="s">
        <v>3851</v>
      </c>
      <c r="I1" s="7" t="s">
        <v>3852</v>
      </c>
      <c r="J1" s="7" t="s">
        <v>3853</v>
      </c>
      <c r="K1" s="7" t="s">
        <v>3854</v>
      </c>
      <c r="L1" s="7" t="s">
        <v>3855</v>
      </c>
      <c r="M1" s="7" t="s">
        <v>77</v>
      </c>
      <c r="N1" s="5"/>
      <c r="Q1" s="5" t="s">
        <v>50</v>
      </c>
      <c r="R1" s="5" t="s">
        <v>8</v>
      </c>
      <c r="S1" s="5" t="s">
        <v>20</v>
      </c>
      <c r="T1" s="5" t="s">
        <v>14</v>
      </c>
      <c r="U1" s="5" t="s">
        <v>3849</v>
      </c>
      <c r="V1" s="5" t="s">
        <v>3850</v>
      </c>
      <c r="W1" s="5" t="s">
        <v>3851</v>
      </c>
      <c r="X1" s="5" t="s">
        <v>3852</v>
      </c>
      <c r="Y1" s="5" t="s">
        <v>3853</v>
      </c>
      <c r="Z1" s="5" t="s">
        <v>3854</v>
      </c>
    </row>
    <row r="2" spans="2:26" ht="28.7" x14ac:dyDescent="0.5">
      <c r="B2" s="15" t="s">
        <v>4021</v>
      </c>
      <c r="C2" s="16" t="s">
        <v>3905</v>
      </c>
      <c r="D2" s="3" t="s">
        <v>3590</v>
      </c>
      <c r="E2" s="3">
        <v>2022</v>
      </c>
      <c r="F2" s="3" t="s">
        <v>78</v>
      </c>
      <c r="G2" s="3" t="s">
        <v>78</v>
      </c>
      <c r="H2" s="3" t="s">
        <v>78</v>
      </c>
      <c r="I2" s="3" t="s">
        <v>78</v>
      </c>
      <c r="J2" s="3" t="s">
        <v>78</v>
      </c>
      <c r="K2" s="3" t="s">
        <v>79</v>
      </c>
      <c r="L2" s="4">
        <f>SUM(COUNTIF(Table2529[[#This Row],[QF-01]:[QF-06]],"YES"),COUNTIF(Table2529[[#This Row],[QF-01]:[QF-06]],"PARTIALLY")/2,COUNTIF(Table2529[[#This Row],[QF-01]:[QF-06]],"YES/NO"))/COUNTA(Table2529[[#This Row],[QF-01]:[QF-06]])</f>
        <v>0.91666666666666663</v>
      </c>
      <c r="M2" s="17" t="str">
        <f>IF(Table2529[[#This Row],[ Score]]&gt;0.7, "YES", "NO")</f>
        <v>YES</v>
      </c>
      <c r="N2" s="1"/>
      <c r="Q2" s="5" t="s">
        <v>4021</v>
      </c>
      <c r="R2" s="15" t="s">
        <v>3905</v>
      </c>
      <c r="S2" s="3" t="s">
        <v>3590</v>
      </c>
      <c r="T2" s="3">
        <v>2022</v>
      </c>
      <c r="U2" s="29" t="s">
        <v>4030</v>
      </c>
      <c r="V2" s="29" t="s">
        <v>4031</v>
      </c>
      <c r="W2" s="29" t="s">
        <v>4032</v>
      </c>
      <c r="X2" s="29" t="s">
        <v>4033</v>
      </c>
      <c r="Y2" s="29" t="s">
        <v>4034</v>
      </c>
      <c r="Z2" s="29" t="s">
        <v>4035</v>
      </c>
    </row>
    <row r="3" spans="2:26" ht="43" x14ac:dyDescent="0.5">
      <c r="B3" s="15" t="s">
        <v>4022</v>
      </c>
      <c r="C3" s="16" t="s">
        <v>3906</v>
      </c>
      <c r="D3" s="3" t="s">
        <v>2720</v>
      </c>
      <c r="E3" s="3">
        <v>2011</v>
      </c>
      <c r="F3" s="3" t="s">
        <v>78</v>
      </c>
      <c r="G3" s="3" t="s">
        <v>78</v>
      </c>
      <c r="H3" s="3" t="s">
        <v>78</v>
      </c>
      <c r="I3" s="3" t="s">
        <v>78</v>
      </c>
      <c r="J3" s="3" t="s">
        <v>78</v>
      </c>
      <c r="K3" s="3" t="s">
        <v>79</v>
      </c>
      <c r="L3" s="4">
        <f>SUM(COUNTIF(Table2529[[#This Row],[QF-01]:[QF-06]],"YES"),COUNTIF(Table2529[[#This Row],[QF-01]:[QF-06]],"PARTIALLY")/2,COUNTIF(Table2529[[#This Row],[QF-01]:[QF-06]],"YES/NO"))/COUNTA(Table2529[[#This Row],[QF-01]:[QF-06]])</f>
        <v>0.91666666666666663</v>
      </c>
      <c r="M3" s="17" t="str">
        <f>IF(Table2529[[#This Row],[ Score]]&gt;0.7, "YES", "NO")</f>
        <v>YES</v>
      </c>
      <c r="N3" s="1"/>
      <c r="Q3" s="5" t="s">
        <v>4022</v>
      </c>
      <c r="R3" s="15" t="s">
        <v>3906</v>
      </c>
      <c r="S3" s="3" t="s">
        <v>2720</v>
      </c>
      <c r="T3" s="3">
        <v>2011</v>
      </c>
      <c r="U3" s="29" t="s">
        <v>4036</v>
      </c>
      <c r="V3" s="29" t="s">
        <v>4037</v>
      </c>
      <c r="W3" s="29" t="s">
        <v>4038</v>
      </c>
      <c r="X3" s="29" t="s">
        <v>4039</v>
      </c>
      <c r="Y3" s="29" t="s">
        <v>4040</v>
      </c>
      <c r="Z3" s="29" t="s">
        <v>4041</v>
      </c>
    </row>
    <row r="4" spans="2:26" ht="28.7" x14ac:dyDescent="0.5">
      <c r="B4" s="15" t="s">
        <v>4023</v>
      </c>
      <c r="C4" s="16" t="s">
        <v>3907</v>
      </c>
      <c r="D4" s="3" t="s">
        <v>2922</v>
      </c>
      <c r="E4" s="3">
        <v>2010</v>
      </c>
      <c r="F4" s="3" t="s">
        <v>78</v>
      </c>
      <c r="G4" s="3" t="s">
        <v>78</v>
      </c>
      <c r="H4" s="3" t="s">
        <v>78</v>
      </c>
      <c r="I4" s="3" t="s">
        <v>78</v>
      </c>
      <c r="J4" s="3" t="s">
        <v>78</v>
      </c>
      <c r="K4" s="3" t="s">
        <v>79</v>
      </c>
      <c r="L4" s="4">
        <f>SUM(COUNTIF(Table2529[[#This Row],[QF-01]:[QF-06]],"YES"),COUNTIF(Table2529[[#This Row],[QF-01]:[QF-06]],"PARTIALLY")/2,COUNTIF(Table2529[[#This Row],[QF-01]:[QF-06]],"YES/NO"))/COUNTA(Table2529[[#This Row],[QF-01]:[QF-06]])</f>
        <v>0.91666666666666663</v>
      </c>
      <c r="M4" s="17" t="str">
        <f>IF(Table2529[[#This Row],[ Score]]&gt;0.7, "YES", "NO")</f>
        <v>YES</v>
      </c>
      <c r="N4" s="1"/>
      <c r="Q4" s="5" t="s">
        <v>4023</v>
      </c>
      <c r="R4" s="15" t="s">
        <v>3907</v>
      </c>
      <c r="S4" s="3" t="s">
        <v>2922</v>
      </c>
      <c r="T4" s="3">
        <v>2010</v>
      </c>
      <c r="U4" s="29" t="s">
        <v>4042</v>
      </c>
      <c r="V4" s="29" t="s">
        <v>4043</v>
      </c>
      <c r="W4" s="29" t="s">
        <v>4044</v>
      </c>
      <c r="X4" s="29" t="s">
        <v>4045</v>
      </c>
      <c r="Y4" s="29" t="s">
        <v>4046</v>
      </c>
      <c r="Z4" s="29" t="s">
        <v>4047</v>
      </c>
    </row>
    <row r="5" spans="2:26" ht="28.7" x14ac:dyDescent="0.5">
      <c r="B5" s="51" t="s">
        <v>4024</v>
      </c>
      <c r="C5" s="51" t="s">
        <v>3908</v>
      </c>
      <c r="D5" s="51" t="s">
        <v>3860</v>
      </c>
      <c r="E5" s="51">
        <v>2009</v>
      </c>
      <c r="F5" s="51" t="s">
        <v>78</v>
      </c>
      <c r="G5" s="51" t="s">
        <v>78</v>
      </c>
      <c r="H5" s="51" t="s">
        <v>78</v>
      </c>
      <c r="I5" s="51" t="s">
        <v>79</v>
      </c>
      <c r="J5" s="51" t="s">
        <v>79</v>
      </c>
      <c r="K5" s="51" t="s">
        <v>4016</v>
      </c>
      <c r="L5" s="52">
        <f>SUM(COUNTIF(Table2529[[#This Row],[QF-01]:[QF-06]],"YES"),COUNTIF(Table2529[[#This Row],[QF-01]:[QF-06]],"PARTIALLY")/2,COUNTIF(Table2529[[#This Row],[QF-01]:[QF-06]],"YES/NO"))/COUNTA(Table2529[[#This Row],[QF-01]:[QF-06]])</f>
        <v>0.66666666666666663</v>
      </c>
      <c r="M5" s="52" t="str">
        <f>IF(Table2529[[#This Row],[ Score]]&gt;0.7, "YES", "NO")</f>
        <v>NO</v>
      </c>
      <c r="N5" s="1"/>
      <c r="Q5" s="51" t="s">
        <v>4024</v>
      </c>
      <c r="R5" s="51" t="s">
        <v>3908</v>
      </c>
      <c r="S5" s="51" t="s">
        <v>3860</v>
      </c>
      <c r="T5" s="51">
        <v>2009</v>
      </c>
      <c r="U5" s="56" t="s">
        <v>4048</v>
      </c>
      <c r="V5" s="56" t="s">
        <v>4049</v>
      </c>
      <c r="W5" s="56" t="s">
        <v>4050</v>
      </c>
      <c r="X5" s="56" t="s">
        <v>4051</v>
      </c>
      <c r="Y5" s="56" t="s">
        <v>4052</v>
      </c>
      <c r="Z5" s="56" t="s">
        <v>4053</v>
      </c>
    </row>
    <row r="6" spans="2:26" ht="28.7" x14ac:dyDescent="0.5">
      <c r="B6" s="15" t="s">
        <v>4025</v>
      </c>
      <c r="C6" s="3" t="s">
        <v>3909</v>
      </c>
      <c r="D6" s="3" t="s">
        <v>3862</v>
      </c>
      <c r="E6" s="3">
        <v>2008</v>
      </c>
      <c r="F6" s="3" t="s">
        <v>78</v>
      </c>
      <c r="G6" s="3" t="s">
        <v>78</v>
      </c>
      <c r="H6" s="3" t="s">
        <v>78</v>
      </c>
      <c r="I6" s="3" t="s">
        <v>78</v>
      </c>
      <c r="J6" s="3" t="s">
        <v>79</v>
      </c>
      <c r="K6" s="3" t="s">
        <v>4016</v>
      </c>
      <c r="L6" s="4">
        <f>SUM(COUNTIF(Table2529[[#This Row],[QF-01]:[QF-06]],"YES"),COUNTIF(Table2529[[#This Row],[QF-01]:[QF-06]],"PARTIALLY")/2,COUNTIF(Table2529[[#This Row],[QF-01]:[QF-06]],"YES/NO"))/COUNTA(Table2529[[#This Row],[QF-01]:[QF-06]])</f>
        <v>0.75</v>
      </c>
      <c r="M6" s="17" t="str">
        <f>IF(Table2529[[#This Row],[ Score]]&gt;0.7, "YES", "NO")</f>
        <v>YES</v>
      </c>
      <c r="N6" s="1"/>
      <c r="Q6" s="5" t="s">
        <v>4025</v>
      </c>
      <c r="R6" s="15" t="s">
        <v>3909</v>
      </c>
      <c r="S6" s="3" t="s">
        <v>3862</v>
      </c>
      <c r="T6" s="3">
        <v>2008</v>
      </c>
      <c r="U6" s="29" t="s">
        <v>4054</v>
      </c>
      <c r="V6" s="29" t="s">
        <v>4055</v>
      </c>
      <c r="W6" s="29" t="s">
        <v>4056</v>
      </c>
      <c r="X6" s="29" t="s">
        <v>4057</v>
      </c>
      <c r="Y6" s="29" t="s">
        <v>4058</v>
      </c>
      <c r="Z6" s="29" t="s">
        <v>4059</v>
      </c>
    </row>
    <row r="7" spans="2:26" ht="28.7" x14ac:dyDescent="0.5">
      <c r="B7" s="15" t="s">
        <v>4026</v>
      </c>
      <c r="C7" s="3" t="s">
        <v>3911</v>
      </c>
      <c r="D7" s="3" t="s">
        <v>3859</v>
      </c>
      <c r="E7" s="3">
        <v>2008</v>
      </c>
      <c r="F7" s="3" t="s">
        <v>78</v>
      </c>
      <c r="G7" s="3" t="s">
        <v>78</v>
      </c>
      <c r="H7" s="3" t="s">
        <v>78</v>
      </c>
      <c r="I7" s="3" t="s">
        <v>78</v>
      </c>
      <c r="J7" s="3" t="s">
        <v>79</v>
      </c>
      <c r="K7" s="3" t="s">
        <v>4016</v>
      </c>
      <c r="L7" s="4">
        <f>SUM(COUNTIF(Table2529[[#This Row],[QF-01]:[QF-06]],"YES"),COUNTIF(Table2529[[#This Row],[QF-01]:[QF-06]],"PARTIALLY")/2,COUNTIF(Table2529[[#This Row],[QF-01]:[QF-06]],"YES/NO"))/COUNTA(Table2529[[#This Row],[QF-01]:[QF-06]])</f>
        <v>0.75</v>
      </c>
      <c r="M7" s="17" t="str">
        <f>IF(Table2529[[#This Row],[ Score]]&gt;0.7, "YES", "NO")</f>
        <v>YES</v>
      </c>
      <c r="N7" s="1"/>
      <c r="Q7" s="5" t="s">
        <v>4026</v>
      </c>
      <c r="R7" s="15" t="s">
        <v>3911</v>
      </c>
      <c r="S7" s="3" t="s">
        <v>3859</v>
      </c>
      <c r="T7" s="3">
        <v>2008</v>
      </c>
      <c r="U7" s="29" t="s">
        <v>4060</v>
      </c>
      <c r="V7" s="29" t="s">
        <v>4061</v>
      </c>
      <c r="W7" s="29" t="s">
        <v>4062</v>
      </c>
      <c r="X7" s="29" t="s">
        <v>4063</v>
      </c>
      <c r="Y7" s="29" t="s">
        <v>4064</v>
      </c>
      <c r="Z7" s="29" t="s">
        <v>4065</v>
      </c>
    </row>
    <row r="8" spans="2:26" ht="43" x14ac:dyDescent="0.5">
      <c r="B8" s="15" t="s">
        <v>4027</v>
      </c>
      <c r="C8" s="3" t="s">
        <v>3866</v>
      </c>
      <c r="D8" s="3" t="s">
        <v>3863</v>
      </c>
      <c r="E8" s="3">
        <v>2008</v>
      </c>
      <c r="F8" s="3" t="s">
        <v>78</v>
      </c>
      <c r="G8" s="3" t="s">
        <v>78</v>
      </c>
      <c r="H8" s="3" t="s">
        <v>78</v>
      </c>
      <c r="I8" s="3" t="s">
        <v>78</v>
      </c>
      <c r="J8" s="3" t="s">
        <v>79</v>
      </c>
      <c r="K8" s="3" t="s">
        <v>4016</v>
      </c>
      <c r="L8" s="4">
        <f>SUM(COUNTIF(Table2529[[#This Row],[QF-01]:[QF-06]],"YES"),COUNTIF(Table2529[[#This Row],[QF-01]:[QF-06]],"PARTIALLY")/2,COUNTIF(Table2529[[#This Row],[QF-01]:[QF-06]],"YES/NO"))/COUNTA(Table2529[[#This Row],[QF-01]:[QF-06]])</f>
        <v>0.75</v>
      </c>
      <c r="M8" s="17" t="str">
        <f>IF(Table2529[[#This Row],[ Score]]&gt;0.7, "YES", "NO")</f>
        <v>YES</v>
      </c>
      <c r="N8" s="1"/>
      <c r="Q8" s="5" t="s">
        <v>4027</v>
      </c>
      <c r="R8" s="15" t="s">
        <v>3866</v>
      </c>
      <c r="S8" s="3" t="s">
        <v>3863</v>
      </c>
      <c r="T8" s="3">
        <v>2008</v>
      </c>
      <c r="U8" s="29" t="s">
        <v>4077</v>
      </c>
      <c r="V8" s="29" t="s">
        <v>4066</v>
      </c>
      <c r="W8" s="29" t="s">
        <v>4067</v>
      </c>
      <c r="X8" s="29" t="s">
        <v>4068</v>
      </c>
      <c r="Y8" s="29" t="s">
        <v>4069</v>
      </c>
      <c r="Z8" s="29" t="s">
        <v>4070</v>
      </c>
    </row>
    <row r="9" spans="2:26" ht="43" x14ac:dyDescent="0.5">
      <c r="B9" s="51" t="s">
        <v>4028</v>
      </c>
      <c r="C9" s="51" t="s">
        <v>3913</v>
      </c>
      <c r="D9" s="51" t="s">
        <v>3861</v>
      </c>
      <c r="E9" s="51">
        <v>2007</v>
      </c>
      <c r="F9" s="51" t="s">
        <v>78</v>
      </c>
      <c r="G9" s="51" t="s">
        <v>78</v>
      </c>
      <c r="H9" s="51" t="s">
        <v>78</v>
      </c>
      <c r="I9" s="51" t="s">
        <v>79</v>
      </c>
      <c r="J9" s="51" t="s">
        <v>79</v>
      </c>
      <c r="K9" s="51" t="s">
        <v>4016</v>
      </c>
      <c r="L9" s="52">
        <f>SUM(COUNTIF(Table2529[[#This Row],[QF-01]:[QF-06]],"YES"),COUNTIF(Table2529[[#This Row],[QF-01]:[QF-06]],"PARTIALLY")/2,COUNTIF(Table2529[[#This Row],[QF-01]:[QF-06]],"YES/NO"))/COUNTA(Table2529[[#This Row],[QF-01]:[QF-06]])</f>
        <v>0.66666666666666663</v>
      </c>
      <c r="M9" s="52" t="str">
        <f>IF(Table2529[[#This Row],[ Score]]&gt;0.7, "YES", "NO")</f>
        <v>NO</v>
      </c>
      <c r="N9" s="1"/>
      <c r="Q9" s="51" t="s">
        <v>4028</v>
      </c>
      <c r="R9" s="51" t="s">
        <v>3913</v>
      </c>
      <c r="S9" s="51" t="s">
        <v>3861</v>
      </c>
      <c r="T9" s="51">
        <v>2007</v>
      </c>
      <c r="U9" s="56" t="s">
        <v>4071</v>
      </c>
      <c r="V9" s="56" t="s">
        <v>4072</v>
      </c>
      <c r="W9" s="56" t="s">
        <v>4073</v>
      </c>
      <c r="X9" s="56" t="s">
        <v>4074</v>
      </c>
      <c r="Y9" s="56" t="s">
        <v>4075</v>
      </c>
      <c r="Z9" s="56" t="s">
        <v>4076</v>
      </c>
    </row>
    <row r="10" spans="2:26" x14ac:dyDescent="0.5">
      <c r="S10" s="42"/>
    </row>
    <row r="11" spans="2:26" x14ac:dyDescent="0.5">
      <c r="S11" s="42"/>
    </row>
  </sheetData>
  <phoneticPr fontId="4" type="noConversion"/>
  <conditionalFormatting sqref="C2:C3">
    <cfRule type="duplicateValues" dxfId="20" priority="45"/>
  </conditionalFormatting>
  <conditionalFormatting sqref="C4:C9">
    <cfRule type="duplicateValues" dxfId="19" priority="1"/>
  </conditionalFormatting>
  <conditionalFormatting sqref="D2:D9 B2:B9">
    <cfRule type="duplicateValues" dxfId="18" priority="46"/>
  </conditionalFormatting>
  <pageMargins left="0.7" right="0.7" top="0.75" bottom="0.75" header="0.3" footer="0.3"/>
  <legacy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FEF3-30E3-4513-A530-2DB8428DCC6F}">
  <sheetPr codeName="Sheet5"/>
  <dimension ref="A2:F19"/>
  <sheetViews>
    <sheetView topLeftCell="C3" zoomScaleNormal="100" workbookViewId="0">
      <selection activeCell="E3" sqref="E3:F19"/>
    </sheetView>
  </sheetViews>
  <sheetFormatPr defaultRowHeight="14.35" x14ac:dyDescent="0.5"/>
  <cols>
    <col min="1" max="1" width="9.29296875" style="3" bestFit="1" customWidth="1"/>
    <col min="2" max="2" width="14.87890625" style="3" customWidth="1"/>
    <col min="3" max="3" width="39.703125" style="30" bestFit="1" customWidth="1"/>
    <col min="4" max="4" width="22.46875" style="30" customWidth="1"/>
    <col min="5" max="5" width="16.1171875" style="3" bestFit="1" customWidth="1"/>
    <col min="6" max="6" width="16.1171875" style="1" bestFit="1" customWidth="1"/>
  </cols>
  <sheetData>
    <row r="2" spans="1:6" s="23" customFormat="1" x14ac:dyDescent="0.5">
      <c r="A2" s="3" t="s">
        <v>2463</v>
      </c>
      <c r="B2" s="3" t="s">
        <v>2472</v>
      </c>
      <c r="C2" s="3" t="s">
        <v>73</v>
      </c>
      <c r="D2" s="3" t="s">
        <v>74</v>
      </c>
      <c r="E2" s="3" t="s">
        <v>619</v>
      </c>
      <c r="F2" s="3" t="s">
        <v>618</v>
      </c>
    </row>
    <row r="3" spans="1:6" ht="28.7" x14ac:dyDescent="0.5">
      <c r="A3" s="15" t="s">
        <v>2429</v>
      </c>
      <c r="B3" s="3" t="s">
        <v>75</v>
      </c>
      <c r="C3" s="30" t="s">
        <v>2456</v>
      </c>
      <c r="D3" s="30" t="s">
        <v>2446</v>
      </c>
      <c r="E3" s="3">
        <f>Table10192636[[#Totals],[Total @2024]]</f>
        <v>1073</v>
      </c>
      <c r="F3" s="3">
        <f>Table10192636[[#Totals],[Total @2020]]</f>
        <v>589</v>
      </c>
    </row>
    <row r="4" spans="1:6" ht="28.7" x14ac:dyDescent="0.5">
      <c r="A4" s="15" t="s">
        <v>2430</v>
      </c>
      <c r="B4" s="2" t="s">
        <v>1017</v>
      </c>
      <c r="C4" s="30" t="s">
        <v>2457</v>
      </c>
      <c r="D4" s="30" t="s">
        <v>2451</v>
      </c>
      <c r="E4" s="3">
        <f>Table10192636[[#Totals],[Available @2024]]</f>
        <v>758</v>
      </c>
      <c r="F4" s="3">
        <f>Table10192636[[#Totals],[Available @2020]]</f>
        <v>359</v>
      </c>
    </row>
    <row r="5" spans="1:6" ht="28.7" x14ac:dyDescent="0.5">
      <c r="A5" s="15" t="s">
        <v>2431</v>
      </c>
      <c r="B5" s="2" t="s">
        <v>1018</v>
      </c>
      <c r="C5" s="30" t="s">
        <v>2475</v>
      </c>
      <c r="D5" s="30" t="s">
        <v>2447</v>
      </c>
      <c r="E5" s="1">
        <f>COUNTIFS(Table1938[IC-01 @2024],TRUE, Table1938[IC-02],TRUE)</f>
        <v>484</v>
      </c>
      <c r="F5" s="1">
        <f>COUNTIFS(Table1938[IC-01 @2020],TRUE, Table1938[IC-02],TRUE)</f>
        <v>200</v>
      </c>
    </row>
    <row r="6" spans="1:6" ht="28.7" x14ac:dyDescent="0.5">
      <c r="A6" s="15" t="s">
        <v>2432</v>
      </c>
      <c r="B6" s="2" t="s">
        <v>1029</v>
      </c>
      <c r="C6" s="30" t="s">
        <v>2445</v>
      </c>
      <c r="D6" s="30" t="s">
        <v>2473</v>
      </c>
      <c r="E6" s="3">
        <f>COUNTIFS(Table1938[IC-01 @2024],TRUE,Table1938[IC-02],TRUE,Table1938[EC-06],FALSE)</f>
        <v>484</v>
      </c>
      <c r="F6" s="3">
        <f>COUNTIFS(Table1938[IC-01 @2020],TRUE,Table1938[IC-02],TRUE,Table1938[EC-06],FALSE)</f>
        <v>200</v>
      </c>
    </row>
    <row r="7" spans="1:6" ht="28.7" x14ac:dyDescent="0.5">
      <c r="A7" s="15" t="s">
        <v>2433</v>
      </c>
      <c r="B7" s="2" t="s">
        <v>1026</v>
      </c>
      <c r="C7" s="30" t="s">
        <v>2443</v>
      </c>
      <c r="D7" s="30" t="s">
        <v>2448</v>
      </c>
      <c r="E7" s="3">
        <f>COUNTIFS(Table1938[IC-01 @2024],TRUE,Table1938[IC-02],TRUE,Table1938[EC-06],FALSE,Table1938[EC-05],FALSE)</f>
        <v>484</v>
      </c>
      <c r="F7" s="3">
        <f>COUNTIFS(Table1938[IC-01 @2020],TRUE,Table1938[IC-02],TRUE,Table1938[EC-06],FALSE,Table1938[EC-05],FALSE)</f>
        <v>200</v>
      </c>
    </row>
    <row r="8" spans="1:6" ht="28.7" x14ac:dyDescent="0.5">
      <c r="A8" s="15" t="s">
        <v>2434</v>
      </c>
      <c r="B8" s="2" t="s">
        <v>1019</v>
      </c>
      <c r="C8" s="30" t="s">
        <v>2464</v>
      </c>
      <c r="D8" s="30" t="s">
        <v>2448</v>
      </c>
      <c r="E8" s="3">
        <f>COUNTIFS(Table1938[IC-01 @2024],TRUE,Table1938[IC-02],TRUE,Table1938[EC-06],FALSE,Table1938[EC-05],FALSE,Table1938[IC-03],TRUE)</f>
        <v>484</v>
      </c>
      <c r="F8" s="3">
        <f>COUNTIFS(Table1938[IC-01 @2020],TRUE,Table1938[IC-02],TRUE,Table1938[EC-06],FALSE,Table1938[EC-05],FALSE,Table1938[IC-03],TRUE)</f>
        <v>200</v>
      </c>
    </row>
    <row r="9" spans="1:6" ht="28.7" x14ac:dyDescent="0.5">
      <c r="A9" s="15" t="s">
        <v>2435</v>
      </c>
      <c r="B9" s="2" t="s">
        <v>1022</v>
      </c>
      <c r="C9" s="29" t="s">
        <v>2466</v>
      </c>
      <c r="D9" s="29" t="s">
        <v>2449</v>
      </c>
      <c r="E9" s="3">
        <f>COUNTIFS(Table1938[IC-01 @2024],TRUE,Table1938[IC-02],TRUE,Table1938[EC-06],FALSE,Table1938[EC-05],FALSE,Table1938[IC-03],TRUE,Table1938[EC-01],FALSE)</f>
        <v>484</v>
      </c>
      <c r="F9" s="3">
        <f>COUNTIFS(Table1938[IC-01 @2020],TRUE,Table1938[IC-02],TRUE,Table1938[EC-06],FALSE,Table1938[EC-05],FALSE,Table1938[IC-03],TRUE,Table1938[EC-01],FALSE)</f>
        <v>200</v>
      </c>
    </row>
    <row r="10" spans="1:6" ht="28.7" x14ac:dyDescent="0.5">
      <c r="A10" s="15" t="s">
        <v>2436</v>
      </c>
      <c r="B10" s="2" t="s">
        <v>1023</v>
      </c>
      <c r="C10" s="29" t="s">
        <v>2444</v>
      </c>
      <c r="D10" s="29" t="s">
        <v>2449</v>
      </c>
      <c r="E10" s="3">
        <f>COUNTIFS(Table1938[IC-01 @2024],TRUE,Table1938[IC-02],TRUE,Table1938[EC-06],FALSE,Table1938[EC-05],FALSE,Table1938[IC-03],TRUE,Table1938[EC-01],FALSE,Table1938[EC-02],FALSE)</f>
        <v>462</v>
      </c>
      <c r="F10" s="3">
        <f>COUNTIFS(Table1938[IC-01 @2020],TRUE,Table1938[IC-02],TRUE,Table1938[EC-06],FALSE,Table1938[EC-05],FALSE,Table1938[IC-03],TRUE,Table1938[EC-01],FALSE,Table1938[EC-02],FALSE)</f>
        <v>194</v>
      </c>
    </row>
    <row r="11" spans="1:6" ht="28.7" x14ac:dyDescent="0.5">
      <c r="A11" s="15" t="s">
        <v>2437</v>
      </c>
      <c r="B11" s="2" t="s">
        <v>1024</v>
      </c>
      <c r="C11" s="29" t="s">
        <v>2465</v>
      </c>
      <c r="D11" s="29" t="s">
        <v>2450</v>
      </c>
      <c r="E11" s="3">
        <f>COUNTIFS(Table1938[IC-01 @2024],TRUE,Table1938[IC-02],TRUE,Table1938[EC-06],FALSE,Table1938[EC-05],FALSE,Table1938[IC-03],TRUE,Table1938[EC-01],FALSE,Table1938[EC-02],FALSE,Table1938[EC-03],FALSE)</f>
        <v>462</v>
      </c>
      <c r="F11" s="3">
        <f>COUNTIFS(Table1938[IC-01 @2020],TRUE,Table1938[IC-02],TRUE,Table1938[EC-06],FALSE,Table1938[EC-05],FALSE,Table1938[IC-03],TRUE,Table1938[EC-01],FALSE,Table1938[EC-02],FALSE,Table1938[EC-03],FALSE)</f>
        <v>194</v>
      </c>
    </row>
    <row r="12" spans="1:6" ht="28.7" x14ac:dyDescent="0.5">
      <c r="A12" s="15" t="s">
        <v>2438</v>
      </c>
      <c r="B12" s="3" t="s">
        <v>1025</v>
      </c>
      <c r="C12" s="29" t="s">
        <v>2442</v>
      </c>
      <c r="D12" s="29" t="s">
        <v>2449</v>
      </c>
      <c r="E12" s="3">
        <f>COUNTIFS(Table1938[IC-01 @2024],TRUE,Table1938[IC-02],TRUE,Table1938[EC-06],FALSE,Table1938[EC-05],FALSE,Table1938[IC-03],TRUE,Table1938[EC-01],FALSE,Table1938[EC-02],FALSE,Table1938[EC-03],FALSE,Table1938[EC-04],FALSE)</f>
        <v>454</v>
      </c>
      <c r="F12" s="3">
        <f>COUNTIFS(Table1938[IC-01 @2020],TRUE,Table1938[IC-02],TRUE,Table1938[EC-06],FALSE,Table1938[EC-05],FALSE,Table1938[IC-03],TRUE,Table1938[EC-01],FALSE,Table1938[EC-02],FALSE,Table1938[EC-03],FALSE,Table1938[EC-04],FALSE)</f>
        <v>188</v>
      </c>
    </row>
    <row r="13" spans="1:6" ht="43" x14ac:dyDescent="0.5">
      <c r="A13" s="15" t="s">
        <v>2439</v>
      </c>
      <c r="B13" s="20" t="s">
        <v>1020</v>
      </c>
      <c r="C13" s="29" t="s">
        <v>2470</v>
      </c>
      <c r="D13" s="29" t="s">
        <v>2452</v>
      </c>
      <c r="E13" s="3">
        <f>COUNTIFS(Table1938[IC-01 @2024],TRUE,Table1938[IC-02],TRUE,Table1938[EC-06],FALSE,Table1938[EC-05],FALSE,Table1938[IC-03],TRUE,Table1938[EC-01],FALSE,Table1938[EC-02],FALSE,Table1938[EC-03],FALSE,Table1938[EC-04],FALSE,Table1938[IC-04],TRUE)</f>
        <v>149</v>
      </c>
      <c r="F13" s="3">
        <f>COUNTIFS(Table1938[IC-01 @2020],TRUE,Table1938[IC-02],TRUE,Table1938[EC-06],FALSE,Table1938[EC-05],FALSE,Table1938[IC-03],TRUE,Table1938[EC-01],FALSE,Table1938[EC-02],FALSE,Table1938[EC-03],FALSE,Table1938[EC-04],FALSE,Table1938[IC-04],TRUE)</f>
        <v>65</v>
      </c>
    </row>
    <row r="14" spans="1:6" ht="43" x14ac:dyDescent="0.5">
      <c r="A14" s="15" t="s">
        <v>2440</v>
      </c>
      <c r="B14" s="2" t="s">
        <v>1021</v>
      </c>
      <c r="C14" s="29" t="s">
        <v>2469</v>
      </c>
      <c r="D14" s="29" t="s">
        <v>2453</v>
      </c>
      <c r="E14" s="3">
        <f>COUNTIFS(Table1938[IC-01 @2024],TRUE,Table1938[IC-02],TRUE,Table1938[EC-06],FALSE,Table1938[EC-05],FALSE,Table1938[IC-03],TRUE,Table1938[EC-01],FALSE,Table1938[EC-02],FALSE,Table1938[EC-03],FALSE,Table1938[EC-04],FALSE,Table1938[IC-04],TRUE,Table1938[IC-05],TRUE)</f>
        <v>146</v>
      </c>
      <c r="F14" s="3">
        <f>COUNTIFS(Table1938[IC-01 @2020],TRUE,Table1938[IC-02],TRUE,Table1938[EC-06],FALSE,Table1938[EC-05],FALSE,Table1938[IC-03],TRUE,Table1938[EC-01],FALSE,Table1938[EC-02],FALSE,Table1938[EC-03],FALSE,Table1938[EC-04],FALSE,Table1938[IC-04],TRUE,Table1938[IC-05],TRUE)</f>
        <v>64</v>
      </c>
    </row>
    <row r="15" spans="1:6" ht="43" x14ac:dyDescent="0.5">
      <c r="A15" s="15" t="s">
        <v>2441</v>
      </c>
      <c r="B15" s="3" t="s">
        <v>4080</v>
      </c>
      <c r="C15" s="29" t="s">
        <v>2471</v>
      </c>
      <c r="D15" s="30" t="s">
        <v>2448</v>
      </c>
      <c r="E15" s="3">
        <f>COUNTIFS(Table1938[IC-01 @2024],TRUE,Table1938[IC + EC],TRUE,Table1938[Unique],TRUE)</f>
        <v>144</v>
      </c>
      <c r="F15" s="3">
        <f>COUNTIFS(Table1938[IC-01 @2020],TRUE,Table1938[IC + EC],TRUE,Table1938[Unique],TRUE)</f>
        <v>62</v>
      </c>
    </row>
    <row r="16" spans="1:6" ht="28.7" x14ac:dyDescent="0.5">
      <c r="A16" s="15" t="s">
        <v>2467</v>
      </c>
      <c r="B16" s="3" t="s">
        <v>4079</v>
      </c>
      <c r="C16" s="29" t="s">
        <v>2454</v>
      </c>
      <c r="D16" s="29" t="s">
        <v>2455</v>
      </c>
      <c r="E16" s="3">
        <f>COUNTIFS(Table1938[IC-01 @2024],TRUE,Table1938[IC + EC],TRUE,Table1938[Unique],TRUE,Table1938[Inspected],TRUE)</f>
        <v>5</v>
      </c>
      <c r="F16" s="3">
        <f>COUNTIFS(Table1938[IC-01 @2020],TRUE,Table1938[IC + EC],TRUE,Table1938[Unique],TRUE,Table1938[Inspected],TRUE)</f>
        <v>3</v>
      </c>
    </row>
    <row r="17" spans="1:6" ht="43" x14ac:dyDescent="0.5">
      <c r="A17" s="15" t="s">
        <v>2468</v>
      </c>
      <c r="B17" s="3" t="s">
        <v>4082</v>
      </c>
      <c r="C17" s="30" t="s">
        <v>3847</v>
      </c>
      <c r="D17" s="29" t="s">
        <v>2453</v>
      </c>
      <c r="E17" s="3">
        <f>COUNTIFS(Table1938[IC-01 @2024],TRUE,Table1938[IC + EC],TRUE,Table1938[Unique],TRUE,Table1938[SELECTED],TRUE)</f>
        <v>3</v>
      </c>
      <c r="F17" s="3">
        <f>COUNTIFS(Table1938[IC-01 @2020],TRUE,Table1938[IC + EC],TRUE,Table1938[Unique],TRUE,Table1938[SELECTED],TRUE)</f>
        <v>2</v>
      </c>
    </row>
    <row r="18" spans="1:6" ht="28.7" x14ac:dyDescent="0.5">
      <c r="A18" s="15" t="s">
        <v>3848</v>
      </c>
      <c r="B18" s="3" t="s">
        <v>4081</v>
      </c>
      <c r="C18" s="29" t="s">
        <v>2482</v>
      </c>
      <c r="D18" s="29" t="s">
        <v>2474</v>
      </c>
      <c r="E18" s="3">
        <f>E17+5</f>
        <v>8</v>
      </c>
      <c r="F18" s="3">
        <f>F17+5</f>
        <v>7</v>
      </c>
    </row>
    <row r="19" spans="1:6" ht="28.7" x14ac:dyDescent="0.5">
      <c r="A19" s="15" t="s">
        <v>4018</v>
      </c>
      <c r="B19" s="3" t="s">
        <v>4078</v>
      </c>
      <c r="C19" s="30" t="s">
        <v>4019</v>
      </c>
      <c r="D19" s="30" t="s">
        <v>4020</v>
      </c>
      <c r="E19" s="3">
        <f>E18-2</f>
        <v>6</v>
      </c>
      <c r="F19" s="3">
        <f>F18-2</f>
        <v>5</v>
      </c>
    </row>
  </sheetData>
  <phoneticPr fontId="4" type="noConversion"/>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C8E7-723C-45E9-BDF6-DC9D16815E96}">
  <sheetPr codeName="Sheet7"/>
  <dimension ref="B2:X12"/>
  <sheetViews>
    <sheetView zoomScale="90" zoomScaleNormal="90" workbookViewId="0">
      <pane xSplit="7" ySplit="2" topLeftCell="X4" activePane="bottomRight" state="frozen"/>
      <selection pane="topRight" activeCell="F1" sqref="F1"/>
      <selection pane="bottomLeft" activeCell="A2" sqref="A2"/>
      <selection pane="bottomRight" activeCell="B2" sqref="B2:X9"/>
    </sheetView>
  </sheetViews>
  <sheetFormatPr defaultRowHeight="14.35" x14ac:dyDescent="0.5"/>
  <cols>
    <col min="2" max="2" width="7.29296875" bestFit="1" customWidth="1"/>
    <col min="3" max="3" width="16.1171875" bestFit="1" customWidth="1"/>
    <col min="4" max="4" width="10" style="10" bestFit="1" customWidth="1"/>
    <col min="5" max="5" width="23.05859375" style="10" customWidth="1"/>
    <col min="6" max="6" width="21.703125" style="10" bestFit="1" customWidth="1"/>
    <col min="7" max="7" width="18.87890625" style="10" bestFit="1" customWidth="1"/>
    <col min="8" max="8" width="102.52734375" style="10" customWidth="1"/>
    <col min="9" max="9" width="19.64453125" style="41" bestFit="1" customWidth="1"/>
    <col min="10" max="10" width="17.3515625" bestFit="1" customWidth="1"/>
    <col min="11" max="11" width="15.1171875" bestFit="1" customWidth="1"/>
    <col min="12" max="12" width="15.76171875" style="10" bestFit="1" customWidth="1"/>
    <col min="13" max="13" width="30.8203125" style="10" bestFit="1" customWidth="1"/>
    <col min="14" max="14" width="28.8203125" style="10" bestFit="1" customWidth="1"/>
    <col min="15" max="15" width="21.46875" style="10" bestFit="1" customWidth="1"/>
    <col min="16" max="16" width="34.234375" style="43" customWidth="1"/>
    <col min="17" max="17" width="34.41015625" style="43" customWidth="1"/>
    <col min="18" max="18" width="27.5859375" style="43" customWidth="1"/>
    <col min="19" max="19" width="29.87890625" style="43" customWidth="1"/>
    <col min="20" max="20" width="27.5859375" style="43" customWidth="1"/>
    <col min="21" max="21" width="27.76171875" style="46" customWidth="1"/>
    <col min="22" max="22" width="28.8203125" style="46" customWidth="1"/>
    <col min="23" max="23" width="31.703125" style="47" bestFit="1" customWidth="1"/>
    <col min="24" max="24" width="19.234375" bestFit="1" customWidth="1"/>
  </cols>
  <sheetData>
    <row r="2" spans="2:24" s="23" customFormat="1" x14ac:dyDescent="0.5">
      <c r="B2" s="2" t="s">
        <v>50</v>
      </c>
      <c r="C2" s="2" t="s">
        <v>620</v>
      </c>
      <c r="D2" s="20" t="s">
        <v>20</v>
      </c>
      <c r="E2" s="28" t="s">
        <v>9</v>
      </c>
      <c r="F2" s="28" t="s">
        <v>10</v>
      </c>
      <c r="G2" s="27" t="s">
        <v>14</v>
      </c>
      <c r="H2" s="27" t="s">
        <v>11</v>
      </c>
      <c r="I2" s="27" t="s">
        <v>3888</v>
      </c>
      <c r="J2" s="37" t="s">
        <v>3891</v>
      </c>
      <c r="K2" s="24" t="s">
        <v>3887</v>
      </c>
      <c r="L2" s="27" t="s">
        <v>32</v>
      </c>
      <c r="M2" s="27" t="s">
        <v>84</v>
      </c>
      <c r="N2" s="7" t="s">
        <v>16</v>
      </c>
      <c r="O2" s="7" t="s">
        <v>3873</v>
      </c>
      <c r="P2" s="5" t="s">
        <v>3904</v>
      </c>
      <c r="Q2" s="7" t="s">
        <v>86</v>
      </c>
      <c r="R2" s="7" t="s">
        <v>106</v>
      </c>
      <c r="S2" s="8" t="s">
        <v>85</v>
      </c>
      <c r="T2" s="8" t="s">
        <v>3889</v>
      </c>
      <c r="U2" s="44" t="s">
        <v>3890</v>
      </c>
      <c r="V2" s="45" t="s">
        <v>3900</v>
      </c>
      <c r="W2" s="45" t="s">
        <v>3917</v>
      </c>
      <c r="X2" s="8" t="s">
        <v>3899</v>
      </c>
    </row>
    <row r="3" spans="2:24" ht="114.7" x14ac:dyDescent="0.5">
      <c r="B3" s="15" t="s">
        <v>81</v>
      </c>
      <c r="C3" s="20" t="s">
        <v>3</v>
      </c>
      <c r="D3" s="3" t="s">
        <v>3590</v>
      </c>
      <c r="E3" s="3" t="s">
        <v>3905</v>
      </c>
      <c r="F3" s="3" t="s">
        <v>1222</v>
      </c>
      <c r="G3" s="3">
        <v>2022</v>
      </c>
      <c r="H3" s="30" t="s">
        <v>1225</v>
      </c>
      <c r="I3" s="3" t="s">
        <v>1004</v>
      </c>
      <c r="J3" s="26">
        <v>44866</v>
      </c>
      <c r="K3" s="1" t="s">
        <v>3892</v>
      </c>
      <c r="L3" s="3" t="s">
        <v>3901</v>
      </c>
      <c r="M3" s="3" t="s">
        <v>3591</v>
      </c>
      <c r="N3" s="3" t="s">
        <v>1224</v>
      </c>
      <c r="O3" s="9" t="s">
        <v>3876</v>
      </c>
      <c r="P3" s="29" t="s">
        <v>3915</v>
      </c>
      <c r="Q3" s="29" t="s">
        <v>3918</v>
      </c>
      <c r="R3" s="29" t="s">
        <v>3926</v>
      </c>
      <c r="S3" s="29" t="s">
        <v>3927</v>
      </c>
      <c r="T3" s="29" t="s">
        <v>3928</v>
      </c>
      <c r="U3" s="29" t="s">
        <v>3929</v>
      </c>
      <c r="V3" s="29" t="s">
        <v>3931</v>
      </c>
      <c r="W3" s="29" t="s">
        <v>3930</v>
      </c>
      <c r="X3" s="3">
        <v>42</v>
      </c>
    </row>
    <row r="4" spans="2:24" ht="114.7" x14ac:dyDescent="0.5">
      <c r="B4" s="15" t="s">
        <v>82</v>
      </c>
      <c r="C4" s="20" t="s">
        <v>3</v>
      </c>
      <c r="D4" s="3" t="s">
        <v>2720</v>
      </c>
      <c r="E4" s="3" t="s">
        <v>3906</v>
      </c>
      <c r="F4" s="3" t="s">
        <v>326</v>
      </c>
      <c r="G4" s="3">
        <v>2011</v>
      </c>
      <c r="H4" s="30" t="s">
        <v>88</v>
      </c>
      <c r="I4" s="3" t="s">
        <v>89</v>
      </c>
      <c r="J4" s="26">
        <v>40575</v>
      </c>
      <c r="K4" s="1" t="s">
        <v>3892</v>
      </c>
      <c r="L4" s="3" t="s">
        <v>3902</v>
      </c>
      <c r="M4" s="3" t="s">
        <v>2721</v>
      </c>
      <c r="N4" s="3" t="s">
        <v>376</v>
      </c>
      <c r="O4" s="9" t="s">
        <v>3879</v>
      </c>
      <c r="P4" s="29" t="s">
        <v>3916</v>
      </c>
      <c r="Q4" s="29" t="s">
        <v>3923</v>
      </c>
      <c r="R4" s="29" t="s">
        <v>4006</v>
      </c>
      <c r="S4" s="29" t="s">
        <v>3932</v>
      </c>
      <c r="T4" s="29" t="s">
        <v>3933</v>
      </c>
      <c r="U4" s="29" t="s">
        <v>3934</v>
      </c>
      <c r="V4" s="29" t="s">
        <v>3919</v>
      </c>
      <c r="W4" s="29" t="s">
        <v>3935</v>
      </c>
      <c r="X4" s="3">
        <v>46</v>
      </c>
    </row>
    <row r="5" spans="2:24" ht="157.69999999999999" x14ac:dyDescent="0.5">
      <c r="B5" s="15" t="s">
        <v>83</v>
      </c>
      <c r="C5" s="20" t="s">
        <v>2</v>
      </c>
      <c r="D5" s="3" t="s">
        <v>2922</v>
      </c>
      <c r="E5" s="3" t="s">
        <v>3907</v>
      </c>
      <c r="F5" s="3" t="s">
        <v>640</v>
      </c>
      <c r="G5" s="3">
        <v>2010</v>
      </c>
      <c r="H5" s="30" t="s">
        <v>52</v>
      </c>
      <c r="I5" s="3" t="s">
        <v>53</v>
      </c>
      <c r="J5" s="26">
        <v>41671</v>
      </c>
      <c r="K5" s="1" t="s">
        <v>3892</v>
      </c>
      <c r="L5" s="3" t="s">
        <v>3903</v>
      </c>
      <c r="M5" s="3" t="s">
        <v>3947</v>
      </c>
      <c r="N5" s="3" t="s">
        <v>54</v>
      </c>
      <c r="O5" s="9" t="s">
        <v>3874</v>
      </c>
      <c r="P5" s="29" t="s">
        <v>3948</v>
      </c>
      <c r="Q5" s="29" t="s">
        <v>3924</v>
      </c>
      <c r="R5" s="29" t="s">
        <v>3949</v>
      </c>
      <c r="S5" s="29" t="s">
        <v>3937</v>
      </c>
      <c r="T5" s="29" t="s">
        <v>3950</v>
      </c>
      <c r="U5" s="29" t="s">
        <v>3938</v>
      </c>
      <c r="V5" s="29" t="s">
        <v>3951</v>
      </c>
      <c r="W5" s="29" t="s">
        <v>3952</v>
      </c>
      <c r="X5" s="3">
        <v>84</v>
      </c>
    </row>
    <row r="6" spans="2:24" ht="100.35" hidden="1" x14ac:dyDescent="0.5">
      <c r="B6" s="51" t="s">
        <v>4029</v>
      </c>
      <c r="C6" s="51" t="s">
        <v>1</v>
      </c>
      <c r="D6" s="51" t="s">
        <v>3860</v>
      </c>
      <c r="E6" s="51" t="s">
        <v>3908</v>
      </c>
      <c r="F6" s="51" t="s">
        <v>640</v>
      </c>
      <c r="G6" s="51">
        <v>2009</v>
      </c>
      <c r="H6" s="53" t="s">
        <v>90</v>
      </c>
      <c r="I6" s="51" t="s">
        <v>91</v>
      </c>
      <c r="J6" s="54">
        <v>40299</v>
      </c>
      <c r="K6" s="55" t="s">
        <v>3892</v>
      </c>
      <c r="L6" s="51" t="s">
        <v>3894</v>
      </c>
      <c r="M6" s="51" t="s">
        <v>3883</v>
      </c>
      <c r="N6" s="51" t="s">
        <v>3869</v>
      </c>
      <c r="O6" s="51" t="s">
        <v>92</v>
      </c>
      <c r="P6" s="56" t="s">
        <v>3953</v>
      </c>
      <c r="Q6" s="56" t="s">
        <v>3954</v>
      </c>
      <c r="R6" s="56" t="s">
        <v>3936</v>
      </c>
      <c r="S6" s="56" t="s">
        <v>3939</v>
      </c>
      <c r="T6" s="56" t="s">
        <v>3940</v>
      </c>
      <c r="U6" s="56" t="s">
        <v>3941</v>
      </c>
      <c r="V6" s="56" t="s">
        <v>3955</v>
      </c>
      <c r="W6" s="56" t="s">
        <v>3942</v>
      </c>
      <c r="X6" s="51">
        <v>15</v>
      </c>
    </row>
    <row r="7" spans="2:24" ht="129" x14ac:dyDescent="0.5">
      <c r="B7" s="15" t="s">
        <v>3856</v>
      </c>
      <c r="C7" s="20" t="s">
        <v>3</v>
      </c>
      <c r="D7" s="3" t="s">
        <v>3862</v>
      </c>
      <c r="E7" s="3" t="s">
        <v>3909</v>
      </c>
      <c r="F7" s="3" t="s">
        <v>640</v>
      </c>
      <c r="G7" s="3">
        <v>2008</v>
      </c>
      <c r="H7" s="30" t="s">
        <v>3956</v>
      </c>
      <c r="I7" s="3" t="s">
        <v>2817</v>
      </c>
      <c r="J7" s="26">
        <v>39873</v>
      </c>
      <c r="K7" s="1" t="s">
        <v>3892</v>
      </c>
      <c r="L7" s="3" t="s">
        <v>3895</v>
      </c>
      <c r="M7" s="3" t="s">
        <v>3885</v>
      </c>
      <c r="N7" s="3" t="s">
        <v>3871</v>
      </c>
      <c r="O7" s="9" t="s">
        <v>3878</v>
      </c>
      <c r="P7" s="29" t="s">
        <v>3910</v>
      </c>
      <c r="Q7" s="29" t="s">
        <v>4002</v>
      </c>
      <c r="R7" s="29" t="s">
        <v>4003</v>
      </c>
      <c r="S7" s="29" t="s">
        <v>4007</v>
      </c>
      <c r="T7" s="29" t="s">
        <v>3957</v>
      </c>
      <c r="U7" s="29" t="s">
        <v>3958</v>
      </c>
      <c r="V7" s="29" t="s">
        <v>4005</v>
      </c>
      <c r="W7" s="29" t="s">
        <v>3959</v>
      </c>
      <c r="X7" s="3">
        <v>30</v>
      </c>
    </row>
    <row r="8" spans="2:24" ht="86" x14ac:dyDescent="0.5">
      <c r="B8" s="15" t="s">
        <v>3857</v>
      </c>
      <c r="C8" s="20" t="s">
        <v>3</v>
      </c>
      <c r="D8" s="3" t="s">
        <v>3859</v>
      </c>
      <c r="E8" s="3" t="s">
        <v>3911</v>
      </c>
      <c r="F8" s="3" t="s">
        <v>640</v>
      </c>
      <c r="G8" s="3">
        <v>2008</v>
      </c>
      <c r="H8" s="30" t="s">
        <v>3880</v>
      </c>
      <c r="I8" s="3" t="s">
        <v>2817</v>
      </c>
      <c r="J8" s="26">
        <v>39692</v>
      </c>
      <c r="K8" s="1" t="s">
        <v>3892</v>
      </c>
      <c r="L8" s="3" t="s">
        <v>3896</v>
      </c>
      <c r="M8" s="3" t="s">
        <v>3882</v>
      </c>
      <c r="N8" s="3" t="s">
        <v>3868</v>
      </c>
      <c r="O8" s="9" t="s">
        <v>3875</v>
      </c>
      <c r="P8" s="29" t="s">
        <v>3943</v>
      </c>
      <c r="Q8" s="29" t="s">
        <v>3925</v>
      </c>
      <c r="R8" s="29" t="s">
        <v>4004</v>
      </c>
      <c r="S8" s="29" t="s">
        <v>3960</v>
      </c>
      <c r="T8" s="29" t="s">
        <v>3961</v>
      </c>
      <c r="U8" s="29" t="s">
        <v>3962</v>
      </c>
      <c r="V8" s="29" t="s">
        <v>3920</v>
      </c>
      <c r="W8" s="29" t="s">
        <v>3994</v>
      </c>
      <c r="X8" s="3">
        <v>22</v>
      </c>
    </row>
    <row r="9" spans="2:24" ht="71.7" x14ac:dyDescent="0.5">
      <c r="B9" s="15" t="s">
        <v>3858</v>
      </c>
      <c r="C9" s="20" t="s">
        <v>1</v>
      </c>
      <c r="D9" s="3" t="s">
        <v>3863</v>
      </c>
      <c r="E9" s="3" t="s">
        <v>3866</v>
      </c>
      <c r="F9" s="3" t="s">
        <v>640</v>
      </c>
      <c r="G9" s="3">
        <v>2008</v>
      </c>
      <c r="H9" s="30" t="s">
        <v>3881</v>
      </c>
      <c r="I9" s="3" t="s">
        <v>3867</v>
      </c>
      <c r="J9" s="26">
        <v>39448</v>
      </c>
      <c r="K9" s="1" t="s">
        <v>3893</v>
      </c>
      <c r="L9" s="3" t="s">
        <v>3897</v>
      </c>
      <c r="M9" s="3" t="s">
        <v>3886</v>
      </c>
      <c r="N9" s="3" t="s">
        <v>3872</v>
      </c>
      <c r="O9" s="9" t="s">
        <v>3996</v>
      </c>
      <c r="P9" s="29" t="s">
        <v>3912</v>
      </c>
      <c r="Q9" s="29" t="s">
        <v>3944</v>
      </c>
      <c r="R9" s="29" t="s">
        <v>3990</v>
      </c>
      <c r="S9" s="29" t="s">
        <v>3991</v>
      </c>
      <c r="T9" s="29" t="s">
        <v>3992</v>
      </c>
      <c r="U9" s="29" t="s">
        <v>3993</v>
      </c>
      <c r="V9" s="29" t="s">
        <v>3921</v>
      </c>
      <c r="W9" s="29" t="s">
        <v>3995</v>
      </c>
      <c r="X9" s="50">
        <v>24</v>
      </c>
    </row>
    <row r="10" spans="2:24" ht="86" hidden="1" x14ac:dyDescent="0.5">
      <c r="B10" s="51" t="s">
        <v>4029</v>
      </c>
      <c r="C10" s="51" t="s">
        <v>2</v>
      </c>
      <c r="D10" s="51" t="s">
        <v>3861</v>
      </c>
      <c r="E10" s="51" t="s">
        <v>3913</v>
      </c>
      <c r="F10" s="51" t="s">
        <v>640</v>
      </c>
      <c r="G10" s="51">
        <v>2007</v>
      </c>
      <c r="H10" s="53" t="s">
        <v>3945</v>
      </c>
      <c r="I10" s="51" t="s">
        <v>91</v>
      </c>
      <c r="J10" s="54">
        <v>39508</v>
      </c>
      <c r="K10" s="55" t="s">
        <v>3892</v>
      </c>
      <c r="L10" s="51" t="s">
        <v>3898</v>
      </c>
      <c r="M10" s="51" t="s">
        <v>3884</v>
      </c>
      <c r="N10" s="51" t="s">
        <v>3870</v>
      </c>
      <c r="O10" s="51" t="s">
        <v>3877</v>
      </c>
      <c r="P10" s="56" t="s">
        <v>3914</v>
      </c>
      <c r="Q10" s="56" t="s">
        <v>3946</v>
      </c>
      <c r="R10" s="56" t="s">
        <v>3997</v>
      </c>
      <c r="S10" s="56" t="s">
        <v>3998</v>
      </c>
      <c r="T10" s="56" t="s">
        <v>3999</v>
      </c>
      <c r="U10" s="56" t="s">
        <v>4000</v>
      </c>
      <c r="V10" s="56" t="s">
        <v>3922</v>
      </c>
      <c r="W10" s="56" t="s">
        <v>4001</v>
      </c>
      <c r="X10" s="57">
        <v>16</v>
      </c>
    </row>
    <row r="11" spans="2:24" x14ac:dyDescent="0.5">
      <c r="V11" s="48"/>
    </row>
    <row r="12" spans="2:24" x14ac:dyDescent="0.5">
      <c r="V12" s="48"/>
    </row>
  </sheetData>
  <phoneticPr fontId="4" type="noConversion"/>
  <hyperlinks>
    <hyperlink ref="O9" r:id="rId1" xr:uid="{A6C39512-E3FA-4161-9AC2-72D89DA42AC2}"/>
    <hyperlink ref="O8" r:id="rId2" xr:uid="{48690B5B-C6FB-496A-B1FD-C23BE64C3C99}"/>
    <hyperlink ref="O7" r:id="rId3" xr:uid="{6C5CDE45-6811-4FFD-B878-24B8179C4D7D}"/>
    <hyperlink ref="O6" r:id="rId4" xr:uid="{5F500986-482D-4422-849A-AD61E10D7F76}"/>
    <hyperlink ref="O5" r:id="rId5" xr:uid="{CC496A5C-E7EF-4FEC-A58A-7602332A5DB2}"/>
    <hyperlink ref="O4" r:id="rId6" xr:uid="{DCB30C30-70C4-4EC4-A357-5A3F8A96DA65}"/>
    <hyperlink ref="O3" r:id="rId7" xr:uid="{6690CACD-E216-43FF-9F76-B9AE9F8C7051}"/>
    <hyperlink ref="O10" r:id="rId8" xr:uid="{BC00B961-7909-4AF4-AB45-71FEF796830F}"/>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44532108-B797-4F42-A19C-CBCFFF24C2F2}">
          <x14:formula1>
            <xm:f>'99 - Extras'!$B$4:$B$8</xm:f>
          </x14:formula1>
          <xm:sqref>C3:C10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E029-D87B-4CA8-84A0-17ED99CF9069}">
  <dimension ref="A1:P11"/>
  <sheetViews>
    <sheetView zoomScale="90" zoomScaleNormal="90" workbookViewId="0">
      <pane xSplit="6" ySplit="1" topLeftCell="G2" activePane="bottomRight" state="frozen"/>
      <selection pane="topRight" activeCell="F1" sqref="F1"/>
      <selection pane="bottomLeft" activeCell="A2" sqref="A2"/>
      <selection pane="bottomRight" activeCell="I3" sqref="I3"/>
    </sheetView>
  </sheetViews>
  <sheetFormatPr defaultRowHeight="14.35" x14ac:dyDescent="0.5"/>
  <cols>
    <col min="1" max="1" width="7.29296875" bestFit="1" customWidth="1"/>
    <col min="2" max="2" width="16.1171875" bestFit="1" customWidth="1"/>
    <col min="3" max="3" width="10" style="10" bestFit="1" customWidth="1"/>
    <col min="4" max="4" width="27.29296875" style="10" customWidth="1"/>
    <col min="5" max="5" width="21.703125" style="10" bestFit="1" customWidth="1"/>
    <col min="6" max="6" width="18.87890625" style="10" bestFit="1" customWidth="1"/>
    <col min="7" max="7" width="19.64453125" style="41" bestFit="1" customWidth="1"/>
    <col min="8" max="8" width="48.5859375" style="43" customWidth="1"/>
    <col min="9" max="9" width="36.703125" style="43" bestFit="1" customWidth="1"/>
    <col min="10" max="10" width="37.1171875" style="43" bestFit="1" customWidth="1"/>
    <col min="11" max="11" width="14.5859375" style="43" bestFit="1" customWidth="1"/>
    <col min="12" max="12" width="40" style="43" bestFit="1" customWidth="1"/>
    <col min="13" max="13" width="39.1171875" style="46" bestFit="1" customWidth="1"/>
    <col min="14" max="14" width="38.3515625" style="46" bestFit="1" customWidth="1"/>
    <col min="15" max="15" width="31.703125" style="47" bestFit="1" customWidth="1"/>
    <col min="16" max="16" width="19.234375" bestFit="1" customWidth="1"/>
  </cols>
  <sheetData>
    <row r="1" spans="1:16" s="23" customFormat="1" x14ac:dyDescent="0.5">
      <c r="A1" s="2" t="s">
        <v>50</v>
      </c>
      <c r="B1" s="2" t="s">
        <v>620</v>
      </c>
      <c r="C1" s="20" t="s">
        <v>20</v>
      </c>
      <c r="D1" s="28" t="s">
        <v>9</v>
      </c>
      <c r="E1" s="28" t="s">
        <v>10</v>
      </c>
      <c r="F1" s="27" t="s">
        <v>14</v>
      </c>
      <c r="G1" s="27" t="s">
        <v>3888</v>
      </c>
      <c r="H1" s="5" t="s">
        <v>3904</v>
      </c>
      <c r="I1" s="5" t="s">
        <v>4008</v>
      </c>
      <c r="J1" s="5" t="s">
        <v>4009</v>
      </c>
      <c r="K1" s="5" t="s">
        <v>4010</v>
      </c>
      <c r="L1" s="5" t="s">
        <v>4011</v>
      </c>
      <c r="M1" s="5" t="s">
        <v>4012</v>
      </c>
      <c r="N1" s="5" t="s">
        <v>4013</v>
      </c>
      <c r="O1" s="5" t="s">
        <v>4015</v>
      </c>
      <c r="P1" s="8" t="s">
        <v>3899</v>
      </c>
    </row>
    <row r="2" spans="1:16" ht="57.35" x14ac:dyDescent="0.5">
      <c r="A2" s="15" t="s">
        <v>81</v>
      </c>
      <c r="B2" s="20" t="s">
        <v>3</v>
      </c>
      <c r="C2" s="3" t="s">
        <v>3590</v>
      </c>
      <c r="D2" s="16" t="s">
        <v>3905</v>
      </c>
      <c r="E2" s="3" t="s">
        <v>1222</v>
      </c>
      <c r="F2" s="3">
        <v>2022</v>
      </c>
      <c r="G2" s="3" t="s">
        <v>1004</v>
      </c>
      <c r="H2" s="29" t="s">
        <v>3915</v>
      </c>
      <c r="I2" s="49" t="s">
        <v>4014</v>
      </c>
      <c r="J2" s="49" t="s">
        <v>4014</v>
      </c>
      <c r="K2" s="49" t="s">
        <v>4014</v>
      </c>
      <c r="L2" s="49" t="s">
        <v>4014</v>
      </c>
      <c r="M2" s="29" t="s">
        <v>3963</v>
      </c>
      <c r="N2" s="49" t="s">
        <v>4014</v>
      </c>
      <c r="O2" s="49" t="s">
        <v>4014</v>
      </c>
      <c r="P2" s="49" t="s">
        <v>4014</v>
      </c>
    </row>
    <row r="3" spans="1:16" ht="57.35" x14ac:dyDescent="0.5">
      <c r="A3" s="15" t="s">
        <v>82</v>
      </c>
      <c r="B3" s="20" t="s">
        <v>3</v>
      </c>
      <c r="C3" s="3" t="s">
        <v>2720</v>
      </c>
      <c r="D3" s="16" t="s">
        <v>3906</v>
      </c>
      <c r="E3" s="3" t="s">
        <v>326</v>
      </c>
      <c r="F3" s="3">
        <v>2011</v>
      </c>
      <c r="G3" s="3" t="s">
        <v>89</v>
      </c>
      <c r="H3" s="29" t="s">
        <v>3916</v>
      </c>
      <c r="I3" s="29" t="s">
        <v>3964</v>
      </c>
      <c r="J3" s="29" t="s">
        <v>3965</v>
      </c>
      <c r="K3" s="49" t="s">
        <v>4014</v>
      </c>
      <c r="L3" s="29" t="s">
        <v>4017</v>
      </c>
      <c r="M3" s="29" t="s">
        <v>3966</v>
      </c>
      <c r="N3" s="49" t="s">
        <v>4014</v>
      </c>
      <c r="O3" s="29" t="s">
        <v>3967</v>
      </c>
      <c r="P3" s="49" t="s">
        <v>4014</v>
      </c>
    </row>
    <row r="4" spans="1:16" ht="57.35" x14ac:dyDescent="0.5">
      <c r="A4" s="15" t="s">
        <v>83</v>
      </c>
      <c r="B4" s="20" t="s">
        <v>1</v>
      </c>
      <c r="C4" s="3" t="s">
        <v>2922</v>
      </c>
      <c r="D4" s="16" t="s">
        <v>3907</v>
      </c>
      <c r="E4" s="3" t="s">
        <v>640</v>
      </c>
      <c r="F4" s="3">
        <v>2010</v>
      </c>
      <c r="G4" s="3" t="s">
        <v>53</v>
      </c>
      <c r="H4" s="29" t="s">
        <v>3948</v>
      </c>
      <c r="I4" s="49" t="s">
        <v>4014</v>
      </c>
      <c r="J4" s="29" t="s">
        <v>3968</v>
      </c>
      <c r="K4" s="49" t="s">
        <v>4014</v>
      </c>
      <c r="L4" s="29" t="s">
        <v>3969</v>
      </c>
      <c r="M4" s="29" t="s">
        <v>3970</v>
      </c>
      <c r="N4" s="49" t="s">
        <v>4014</v>
      </c>
      <c r="O4" s="49" t="s">
        <v>4014</v>
      </c>
      <c r="P4" s="49" t="s">
        <v>4014</v>
      </c>
    </row>
    <row r="5" spans="1:16" ht="57.35" hidden="1" x14ac:dyDescent="0.5">
      <c r="A5" s="51" t="s">
        <v>4029</v>
      </c>
      <c r="B5" s="51" t="s">
        <v>1</v>
      </c>
      <c r="C5" s="51" t="s">
        <v>3860</v>
      </c>
      <c r="D5" s="51" t="s">
        <v>3908</v>
      </c>
      <c r="E5" s="51" t="s">
        <v>640</v>
      </c>
      <c r="F5" s="51">
        <v>2009</v>
      </c>
      <c r="G5" s="51" t="s">
        <v>91</v>
      </c>
      <c r="H5" s="56" t="s">
        <v>3953</v>
      </c>
      <c r="I5" s="56" t="s">
        <v>3971</v>
      </c>
      <c r="J5" s="58" t="s">
        <v>4014</v>
      </c>
      <c r="K5" s="58" t="s">
        <v>4014</v>
      </c>
      <c r="L5" s="56" t="s">
        <v>3972</v>
      </c>
      <c r="M5" s="56" t="s">
        <v>3973</v>
      </c>
      <c r="N5" s="58" t="s">
        <v>4014</v>
      </c>
      <c r="O5" s="58" t="s">
        <v>4014</v>
      </c>
      <c r="P5" s="58" t="s">
        <v>4014</v>
      </c>
    </row>
    <row r="6" spans="1:16" ht="43" x14ac:dyDescent="0.5">
      <c r="A6" s="15" t="s">
        <v>3856</v>
      </c>
      <c r="B6" s="20" t="s">
        <v>3</v>
      </c>
      <c r="C6" s="3" t="s">
        <v>3862</v>
      </c>
      <c r="D6" s="3" t="s">
        <v>3909</v>
      </c>
      <c r="E6" s="3" t="s">
        <v>640</v>
      </c>
      <c r="F6" s="3">
        <v>2008</v>
      </c>
      <c r="G6" s="3" t="s">
        <v>2817</v>
      </c>
      <c r="H6" s="29" t="s">
        <v>3910</v>
      </c>
      <c r="I6" s="29" t="s">
        <v>3974</v>
      </c>
      <c r="J6" s="29" t="s">
        <v>3975</v>
      </c>
      <c r="K6" s="49" t="s">
        <v>4014</v>
      </c>
      <c r="L6" s="29" t="s">
        <v>3976</v>
      </c>
      <c r="M6" s="29" t="s">
        <v>3977</v>
      </c>
      <c r="N6" s="29" t="s">
        <v>3978</v>
      </c>
      <c r="O6" s="49" t="s">
        <v>4014</v>
      </c>
      <c r="P6" s="49" t="s">
        <v>4014</v>
      </c>
    </row>
    <row r="7" spans="1:16" ht="57.35" x14ac:dyDescent="0.5">
      <c r="A7" s="15" t="s">
        <v>3857</v>
      </c>
      <c r="B7" s="20" t="s">
        <v>3</v>
      </c>
      <c r="C7" s="3" t="s">
        <v>3859</v>
      </c>
      <c r="D7" s="3" t="s">
        <v>3911</v>
      </c>
      <c r="E7" s="3" t="s">
        <v>640</v>
      </c>
      <c r="F7" s="3">
        <v>2008</v>
      </c>
      <c r="G7" s="3" t="s">
        <v>2817</v>
      </c>
      <c r="H7" s="29" t="s">
        <v>3943</v>
      </c>
      <c r="I7" s="29" t="s">
        <v>3979</v>
      </c>
      <c r="J7" s="29" t="s">
        <v>3980</v>
      </c>
      <c r="K7" s="49" t="s">
        <v>4014</v>
      </c>
      <c r="L7" s="29" t="s">
        <v>3981</v>
      </c>
      <c r="M7" s="29" t="s">
        <v>3982</v>
      </c>
      <c r="N7" s="49" t="s">
        <v>4014</v>
      </c>
      <c r="O7" s="29" t="s">
        <v>3983</v>
      </c>
      <c r="P7" s="49" t="s">
        <v>4014</v>
      </c>
    </row>
    <row r="8" spans="1:16" ht="57.35" x14ac:dyDescent="0.5">
      <c r="A8" s="15" t="s">
        <v>3858</v>
      </c>
      <c r="B8" s="20" t="s">
        <v>1</v>
      </c>
      <c r="C8" s="3" t="s">
        <v>3863</v>
      </c>
      <c r="D8" s="3" t="s">
        <v>3866</v>
      </c>
      <c r="E8" s="3" t="s">
        <v>640</v>
      </c>
      <c r="F8" s="3">
        <v>2008</v>
      </c>
      <c r="G8" s="3" t="s">
        <v>3867</v>
      </c>
      <c r="H8" s="29" t="s">
        <v>3912</v>
      </c>
      <c r="I8" s="49" t="s">
        <v>4014</v>
      </c>
      <c r="J8" s="49" t="s">
        <v>4014</v>
      </c>
      <c r="K8" s="49" t="s">
        <v>4014</v>
      </c>
      <c r="L8" s="29" t="s">
        <v>3984</v>
      </c>
      <c r="M8" s="29" t="s">
        <v>3985</v>
      </c>
      <c r="N8" s="49" t="s">
        <v>4014</v>
      </c>
      <c r="O8" s="29" t="s">
        <v>3986</v>
      </c>
      <c r="P8" s="49" t="s">
        <v>4014</v>
      </c>
    </row>
    <row r="9" spans="1:16" ht="57.35" hidden="1" x14ac:dyDescent="0.5">
      <c r="A9" s="51" t="s">
        <v>4029</v>
      </c>
      <c r="B9" s="51" t="s">
        <v>2</v>
      </c>
      <c r="C9" s="51" t="s">
        <v>3861</v>
      </c>
      <c r="D9" s="51" t="s">
        <v>3913</v>
      </c>
      <c r="E9" s="51" t="s">
        <v>640</v>
      </c>
      <c r="F9" s="51">
        <v>2007</v>
      </c>
      <c r="G9" s="51" t="s">
        <v>91</v>
      </c>
      <c r="H9" s="56" t="s">
        <v>3914</v>
      </c>
      <c r="I9" s="56" t="s">
        <v>3987</v>
      </c>
      <c r="J9" s="58" t="s">
        <v>4014</v>
      </c>
      <c r="K9" s="58" t="s">
        <v>4014</v>
      </c>
      <c r="L9" s="56" t="s">
        <v>3988</v>
      </c>
      <c r="M9" s="56" t="s">
        <v>3989</v>
      </c>
      <c r="N9" s="58" t="s">
        <v>4014</v>
      </c>
      <c r="O9" s="58" t="s">
        <v>4014</v>
      </c>
      <c r="P9" s="58" t="s">
        <v>4014</v>
      </c>
    </row>
    <row r="10" spans="1:16" x14ac:dyDescent="0.5">
      <c r="N10" s="48"/>
    </row>
    <row r="11" spans="1:16" x14ac:dyDescent="0.5">
      <c r="N11" s="48"/>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E88E708-EB69-43AF-8F86-3F499449DCCD}">
          <x14:formula1>
            <xm:f>'99 - Extras'!$B$4:$B$8</xm:f>
          </x14:formula1>
          <xm:sqref>B2:B9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A5D9-50C6-44F1-A3BB-D755618B8684}">
  <sheetPr codeName="Sheet8"/>
  <dimension ref="B2:J18"/>
  <sheetViews>
    <sheetView topLeftCell="E1" zoomScaleNormal="100" workbookViewId="0">
      <selection activeCell="B2" sqref="B2:J11"/>
    </sheetView>
  </sheetViews>
  <sheetFormatPr defaultRowHeight="14.35" x14ac:dyDescent="0.5"/>
  <cols>
    <col min="2" max="3" width="27.9375" style="3" customWidth="1"/>
    <col min="4" max="4" width="7.46875" style="1" bestFit="1" customWidth="1"/>
    <col min="5" max="5" width="10.46875" style="1" bestFit="1" customWidth="1"/>
    <col min="6" max="6" width="9.8203125" style="1" bestFit="1" customWidth="1"/>
    <col min="7" max="7" width="9.3515625" style="1" bestFit="1" customWidth="1"/>
    <col min="8" max="8" width="18.87890625" style="1" bestFit="1" customWidth="1"/>
    <col min="9" max="9" width="19.234375" style="3" bestFit="1" customWidth="1"/>
    <col min="10" max="10" width="35.29296875" style="29" bestFit="1" customWidth="1"/>
  </cols>
  <sheetData>
    <row r="2" spans="2:10" x14ac:dyDescent="0.5">
      <c r="B2" s="3" t="s">
        <v>76</v>
      </c>
      <c r="C2" s="3" t="s">
        <v>8</v>
      </c>
      <c r="D2" s="1" t="s">
        <v>50</v>
      </c>
      <c r="E2" s="1" t="s">
        <v>4083</v>
      </c>
      <c r="F2" s="1" t="s">
        <v>4084</v>
      </c>
      <c r="G2" s="1" t="s">
        <v>4085</v>
      </c>
      <c r="H2" s="1" t="s">
        <v>4086</v>
      </c>
      <c r="I2" s="1" t="s">
        <v>96</v>
      </c>
      <c r="J2" s="3" t="s">
        <v>4088</v>
      </c>
    </row>
    <row r="3" spans="2:10" ht="28.7" x14ac:dyDescent="0.5">
      <c r="B3" s="3" t="s">
        <v>1223</v>
      </c>
      <c r="C3" s="67" t="s">
        <v>1223</v>
      </c>
      <c r="D3" s="68" t="s">
        <v>81</v>
      </c>
      <c r="E3" s="63">
        <v>5778</v>
      </c>
      <c r="F3" s="63">
        <v>1376</v>
      </c>
      <c r="G3" s="11">
        <f>Table101626[[#This Row],[Types]]/Table101626[[#This Row],[Words]]</f>
        <v>0.23814468674281758</v>
      </c>
      <c r="H3" s="11">
        <v>25.45</v>
      </c>
      <c r="I3" s="11">
        <v>23.052</v>
      </c>
      <c r="J3" s="29" t="s">
        <v>4089</v>
      </c>
    </row>
    <row r="4" spans="2:10" ht="28.7" x14ac:dyDescent="0.5">
      <c r="B4" s="3" t="s">
        <v>87</v>
      </c>
      <c r="C4" s="67" t="s">
        <v>87</v>
      </c>
      <c r="D4" s="68" t="s">
        <v>82</v>
      </c>
      <c r="E4" s="63">
        <v>10370</v>
      </c>
      <c r="F4" s="63">
        <v>2230</v>
      </c>
      <c r="G4" s="11">
        <f>Table101626[[#This Row],[Types]]/Table101626[[#This Row],[Words]]</f>
        <v>0.21504339440694312</v>
      </c>
      <c r="H4" s="11">
        <v>22.35</v>
      </c>
      <c r="I4" s="11">
        <v>12.413</v>
      </c>
      <c r="J4" s="29" t="s">
        <v>4090</v>
      </c>
    </row>
    <row r="5" spans="2:10" ht="28.7" x14ac:dyDescent="0.5">
      <c r="B5" s="3" t="s">
        <v>4091</v>
      </c>
      <c r="C5" s="67" t="s">
        <v>51</v>
      </c>
      <c r="D5" s="68" t="s">
        <v>83</v>
      </c>
      <c r="E5" s="63">
        <v>20765</v>
      </c>
      <c r="F5" s="63">
        <v>3996</v>
      </c>
      <c r="G5" s="11">
        <f>Table101626[[#This Row],[Types]]/Table101626[[#This Row],[Words]]</f>
        <v>0.19243920057789549</v>
      </c>
      <c r="H5" s="11">
        <v>26.9</v>
      </c>
      <c r="I5" s="11">
        <v>15.583</v>
      </c>
      <c r="J5" s="29" t="s">
        <v>4092</v>
      </c>
    </row>
    <row r="6" spans="2:10" ht="28.7" x14ac:dyDescent="0.5">
      <c r="B6" s="3" t="s">
        <v>4093</v>
      </c>
      <c r="C6" s="3" t="s">
        <v>3865</v>
      </c>
      <c r="D6" s="6" t="s">
        <v>3856</v>
      </c>
      <c r="E6" s="63">
        <v>9348</v>
      </c>
      <c r="F6" s="63">
        <v>2106</v>
      </c>
      <c r="G6" s="11">
        <f>Table101626[[#This Row],[Types]]/Table101626[[#This Row],[Words]]</f>
        <v>0.22528883183568676</v>
      </c>
      <c r="H6" s="11">
        <v>26.41</v>
      </c>
      <c r="I6" s="11">
        <v>12.651</v>
      </c>
      <c r="J6" s="29" t="s">
        <v>4094</v>
      </c>
    </row>
    <row r="7" spans="2:10" ht="28.7" x14ac:dyDescent="0.5">
      <c r="B7" s="3" t="s">
        <v>4087</v>
      </c>
      <c r="C7" s="3" t="s">
        <v>3864</v>
      </c>
      <c r="D7" s="6" t="s">
        <v>3857</v>
      </c>
      <c r="E7" s="63">
        <v>3246</v>
      </c>
      <c r="F7" s="63">
        <v>1020</v>
      </c>
      <c r="G7" s="11">
        <f>Table101626[[#This Row],[Types]]/Table101626[[#This Row],[Words]]</f>
        <v>0.3142329020332717</v>
      </c>
      <c r="H7" s="11">
        <v>29.24</v>
      </c>
      <c r="I7" s="11">
        <v>12.619</v>
      </c>
      <c r="J7" s="29" t="s">
        <v>4095</v>
      </c>
    </row>
    <row r="8" spans="2:10" ht="28.7" x14ac:dyDescent="0.5">
      <c r="B8" s="3" t="s">
        <v>9</v>
      </c>
      <c r="C8" s="3" t="s">
        <v>3866</v>
      </c>
      <c r="D8" s="6" t="s">
        <v>3858</v>
      </c>
      <c r="E8" s="63">
        <v>6789</v>
      </c>
      <c r="F8" s="63">
        <v>1606</v>
      </c>
      <c r="G8" s="11">
        <f>Table101626[[#This Row],[Types]]/Table101626[[#This Row],[Words]]</f>
        <v>0.23655913978494625</v>
      </c>
      <c r="H8" s="11">
        <v>26.11</v>
      </c>
      <c r="I8" s="11">
        <v>14.256</v>
      </c>
      <c r="J8" s="29" t="s">
        <v>4096</v>
      </c>
    </row>
    <row r="9" spans="2:10" x14ac:dyDescent="0.5">
      <c r="D9" s="1" t="s">
        <v>95</v>
      </c>
      <c r="E9" s="59">
        <f>SUBTOTAL(101,Table101626[Words])</f>
        <v>9382.6666666666661</v>
      </c>
      <c r="F9" s="11">
        <f>SUBTOTAL(101,Table101626[Types])</f>
        <v>2055.6666666666665</v>
      </c>
      <c r="G9" s="4">
        <f>SUBTOTAL(101,Table101626[Ratio])</f>
        <v>0.23695135923026014</v>
      </c>
      <c r="H9" s="11">
        <f>SUBTOTAL(101,Table101626[Words/Sentence])</f>
        <v>26.076666666666664</v>
      </c>
      <c r="I9" s="11">
        <f>SUBTOTAL(101,Table101626[Readability Index])</f>
        <v>15.095666666666666</v>
      </c>
    </row>
    <row r="10" spans="2:10" x14ac:dyDescent="0.5">
      <c r="D10" s="60" t="s">
        <v>94</v>
      </c>
      <c r="E10" s="60">
        <f>MIN(Table101626[Words])</f>
        <v>3246</v>
      </c>
      <c r="F10" s="61">
        <f>MIN(Table101626[Types])</f>
        <v>1020</v>
      </c>
      <c r="G10" s="62">
        <f>MIN(Table101626[Ratio])</f>
        <v>0.19243920057789549</v>
      </c>
      <c r="H10" s="60">
        <f>MIN(Table101626[Words/Sentence])</f>
        <v>22.35</v>
      </c>
      <c r="I10" s="60">
        <f>MIN(Table101626[Readability Index])</f>
        <v>12.413</v>
      </c>
    </row>
    <row r="11" spans="2:10" x14ac:dyDescent="0.5">
      <c r="D11" s="64" t="s">
        <v>93</v>
      </c>
      <c r="E11" s="64">
        <f>MAX(Table101626[Words])</f>
        <v>20765</v>
      </c>
      <c r="F11" s="65">
        <f>MAX(Table101626[Types])</f>
        <v>3996</v>
      </c>
      <c r="G11" s="66">
        <f>MAX(Table101626[Ratio])</f>
        <v>0.3142329020332717</v>
      </c>
      <c r="H11" s="64">
        <f>MAX(Table101626[Words/Sentence])</f>
        <v>29.24</v>
      </c>
      <c r="I11" s="64">
        <f>MAX(Table101626[Readability Index])</f>
        <v>23.052</v>
      </c>
    </row>
    <row r="16" spans="2:10" x14ac:dyDescent="0.5">
      <c r="I16" s="1"/>
    </row>
    <row r="17" spans="9:9" x14ac:dyDescent="0.5">
      <c r="I17" s="1"/>
    </row>
    <row r="18" spans="9:9" x14ac:dyDescent="0.5">
      <c r="I18" s="1"/>
    </row>
  </sheetData>
  <phoneticPr fontId="4"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203D-FD9C-4F84-8C19-7EDDD64AD16F}">
  <sheetPr codeName="Sheet10"/>
  <dimension ref="B1:K19"/>
  <sheetViews>
    <sheetView topLeftCell="B1" workbookViewId="0">
      <selection activeCell="N3" sqref="N3"/>
    </sheetView>
  </sheetViews>
  <sheetFormatPr defaultRowHeight="14.35" x14ac:dyDescent="0.5"/>
  <cols>
    <col min="2" max="2" width="29.17578125" style="3" bestFit="1" customWidth="1"/>
    <col min="3" max="3" width="26.52734375" style="3" bestFit="1" customWidth="1"/>
    <col min="4" max="4" width="6.87890625" style="1" bestFit="1" customWidth="1"/>
    <col min="5" max="5" width="14.5859375" style="1" bestFit="1" customWidth="1"/>
    <col min="6" max="6" width="15.05859375" style="1" bestFit="1" customWidth="1"/>
    <col min="7" max="7" width="13" style="1" bestFit="1" customWidth="1"/>
    <col min="8" max="8" width="14.64453125" style="1" bestFit="1" customWidth="1"/>
    <col min="9" max="9" width="14.46875" style="1" bestFit="1" customWidth="1"/>
    <col min="10" max="10" width="12.87890625" bestFit="1" customWidth="1"/>
    <col min="11" max="11" width="11.9375" bestFit="1" customWidth="1"/>
  </cols>
  <sheetData>
    <row r="1" spans="2:11" x14ac:dyDescent="0.5">
      <c r="B1" s="3" t="s">
        <v>98</v>
      </c>
    </row>
    <row r="2" spans="2:11" x14ac:dyDescent="0.5">
      <c r="B2" s="3" t="s">
        <v>4097</v>
      </c>
      <c r="C2" s="3" t="s">
        <v>9</v>
      </c>
      <c r="D2" s="3" t="s">
        <v>50</v>
      </c>
      <c r="E2" s="1" t="s">
        <v>97</v>
      </c>
      <c r="F2" s="1" t="s">
        <v>4098</v>
      </c>
      <c r="G2" s="1" t="s">
        <v>4100</v>
      </c>
      <c r="H2" s="1" t="s">
        <v>4099</v>
      </c>
      <c r="I2" s="1" t="s">
        <v>4105</v>
      </c>
    </row>
    <row r="3" spans="2:11" ht="43" x14ac:dyDescent="0.5">
      <c r="B3" s="3" t="s">
        <v>1223</v>
      </c>
      <c r="C3" s="3" t="s">
        <v>1223</v>
      </c>
      <c r="D3" s="3" t="s">
        <v>81</v>
      </c>
      <c r="E3" s="12">
        <v>3.2883000000000001E-3</v>
      </c>
      <c r="F3" s="12">
        <v>6.9227999999999998E-3</v>
      </c>
      <c r="G3" s="12">
        <v>1.0384000000000001E-3</v>
      </c>
      <c r="H3" s="12">
        <v>0</v>
      </c>
      <c r="I3" s="12">
        <v>5.1920000000000004E-4</v>
      </c>
    </row>
    <row r="4" spans="2:11" ht="28.7" x14ac:dyDescent="0.5">
      <c r="B4" s="3" t="s">
        <v>4091</v>
      </c>
      <c r="C4" s="3" t="s">
        <v>51</v>
      </c>
      <c r="D4" s="3" t="s">
        <v>83</v>
      </c>
      <c r="E4" s="12">
        <v>4.4787000000000004E-3</v>
      </c>
      <c r="F4" s="12">
        <v>2.2634E-3</v>
      </c>
      <c r="G4" s="12">
        <v>3.1302999999999999E-3</v>
      </c>
      <c r="H4" s="12">
        <v>1.6854999999999999E-3</v>
      </c>
      <c r="I4" s="12">
        <v>2.2634E-3</v>
      </c>
    </row>
    <row r="5" spans="2:11" ht="28.7" x14ac:dyDescent="0.5">
      <c r="B5" s="3" t="s">
        <v>4093</v>
      </c>
      <c r="C5" s="3" t="s">
        <v>3865</v>
      </c>
      <c r="D5" s="3" t="s">
        <v>3856</v>
      </c>
      <c r="E5" s="12">
        <v>3.7441000000000002E-3</v>
      </c>
      <c r="F5" s="12">
        <v>2.4604000000000002E-3</v>
      </c>
      <c r="G5" s="12">
        <v>8.1300999999999995E-3</v>
      </c>
      <c r="H5" s="12">
        <v>5.0277999999999998E-3</v>
      </c>
      <c r="I5" s="12">
        <v>2.5674000000000001E-3</v>
      </c>
    </row>
    <row r="6" spans="2:11" ht="28.7" x14ac:dyDescent="0.5">
      <c r="B6" s="3" t="s">
        <v>87</v>
      </c>
      <c r="C6" s="3" t="s">
        <v>87</v>
      </c>
      <c r="D6" s="3" t="s">
        <v>82</v>
      </c>
      <c r="E6" s="12">
        <v>3.3750999999999998E-3</v>
      </c>
      <c r="F6" s="12">
        <v>2.2179000000000001E-3</v>
      </c>
      <c r="G6" s="12">
        <v>9.7395999999999993E-3</v>
      </c>
      <c r="H6" s="12">
        <v>8.6790000000000001E-4</v>
      </c>
      <c r="I6" s="12">
        <v>3.9537000000000001E-3</v>
      </c>
    </row>
    <row r="7" spans="2:11" ht="28.7" x14ac:dyDescent="0.5">
      <c r="B7" s="3" t="s">
        <v>4087</v>
      </c>
      <c r="C7" s="3" t="s">
        <v>3864</v>
      </c>
      <c r="D7" s="3" t="s">
        <v>3857</v>
      </c>
      <c r="E7" s="12">
        <v>2.6513000000000001E-3</v>
      </c>
      <c r="F7" s="12">
        <v>1.7676E-3</v>
      </c>
      <c r="G7" s="12">
        <v>7.5122000000000001E-3</v>
      </c>
      <c r="H7" s="12">
        <v>4.7134999999999998E-3</v>
      </c>
      <c r="I7" s="12">
        <v>2.3568E-3</v>
      </c>
    </row>
    <row r="8" spans="2:11" ht="28.7" x14ac:dyDescent="0.5">
      <c r="B8" s="3" t="s">
        <v>9</v>
      </c>
      <c r="C8" s="3" t="s">
        <v>3866</v>
      </c>
      <c r="D8" s="3" t="s">
        <v>3858</v>
      </c>
      <c r="E8" s="12">
        <v>6.4695000000000004E-3</v>
      </c>
      <c r="F8" s="12">
        <v>4.313E-3</v>
      </c>
      <c r="G8" s="12">
        <v>7.0856000000000001E-3</v>
      </c>
      <c r="H8" s="12">
        <v>6.7775999999999999E-3</v>
      </c>
      <c r="I8" s="12">
        <v>3.3888E-3</v>
      </c>
    </row>
    <row r="12" spans="2:11" x14ac:dyDescent="0.5">
      <c r="B12" s="3" t="s">
        <v>99</v>
      </c>
    </row>
    <row r="13" spans="2:11" x14ac:dyDescent="0.5">
      <c r="B13" s="3" t="s">
        <v>4097</v>
      </c>
      <c r="C13" s="3" t="s">
        <v>9</v>
      </c>
      <c r="D13" s="1" t="s">
        <v>50</v>
      </c>
      <c r="E13" s="1" t="s">
        <v>611</v>
      </c>
      <c r="F13" s="1" t="s">
        <v>4100</v>
      </c>
      <c r="G13" s="1" t="s">
        <v>4101</v>
      </c>
      <c r="H13" s="1" t="s">
        <v>4102</v>
      </c>
      <c r="I13" s="1" t="s">
        <v>4103</v>
      </c>
      <c r="J13" s="1" t="s">
        <v>4099</v>
      </c>
      <c r="K13" s="1" t="s">
        <v>4104</v>
      </c>
    </row>
    <row r="14" spans="2:11" ht="43" x14ac:dyDescent="0.5">
      <c r="B14" s="3" t="s">
        <v>1223</v>
      </c>
      <c r="C14" s="3" t="s">
        <v>1223</v>
      </c>
      <c r="D14" s="1" t="s">
        <v>81</v>
      </c>
      <c r="E14" s="12">
        <v>1.12E-2</v>
      </c>
      <c r="F14" s="12">
        <v>1E-3</v>
      </c>
      <c r="G14" s="12">
        <v>3.3E-3</v>
      </c>
      <c r="H14" s="12">
        <v>1E-3</v>
      </c>
      <c r="I14" s="12">
        <v>5.4000000000000003E-3</v>
      </c>
      <c r="J14" s="12">
        <v>0</v>
      </c>
      <c r="K14" s="12">
        <v>2.9999999999999997E-4</v>
      </c>
    </row>
    <row r="15" spans="2:11" ht="28.7" x14ac:dyDescent="0.5">
      <c r="B15" s="3" t="s">
        <v>4091</v>
      </c>
      <c r="C15" s="3" t="s">
        <v>51</v>
      </c>
      <c r="D15" s="1" t="s">
        <v>83</v>
      </c>
      <c r="E15" s="12">
        <v>5.7000000000000002E-3</v>
      </c>
      <c r="F15" s="12">
        <v>3.0999999999999999E-3</v>
      </c>
      <c r="G15" s="12">
        <v>4.5999999999999999E-3</v>
      </c>
      <c r="H15" s="12">
        <v>3.2000000000000002E-3</v>
      </c>
      <c r="I15" s="12">
        <v>2.5999999999999999E-3</v>
      </c>
      <c r="J15" s="12">
        <v>1.6999999999999999E-3</v>
      </c>
      <c r="K15" s="12">
        <v>1.2999999999999999E-3</v>
      </c>
    </row>
    <row r="16" spans="2:11" ht="28.7" x14ac:dyDescent="0.5">
      <c r="B16" s="3" t="s">
        <v>4093</v>
      </c>
      <c r="C16" s="3" t="s">
        <v>3865</v>
      </c>
      <c r="D16" s="1" t="s">
        <v>3856</v>
      </c>
      <c r="E16" s="12">
        <v>5.8999999999999999E-3</v>
      </c>
      <c r="F16" s="12">
        <v>8.0999999999999996E-3</v>
      </c>
      <c r="G16" s="12">
        <v>4.3E-3</v>
      </c>
      <c r="H16" s="12">
        <v>4.5999999999999999E-3</v>
      </c>
      <c r="I16" s="12">
        <v>4.7999999999999996E-3</v>
      </c>
      <c r="J16" s="12">
        <v>5.0000000000000001E-3</v>
      </c>
      <c r="K16" s="12">
        <v>3.8999999999999998E-3</v>
      </c>
    </row>
    <row r="17" spans="2:11" ht="28.7" x14ac:dyDescent="0.5">
      <c r="B17" s="3" t="s">
        <v>87</v>
      </c>
      <c r="C17" s="3" t="s">
        <v>87</v>
      </c>
      <c r="D17" s="1" t="s">
        <v>82</v>
      </c>
      <c r="E17" s="12">
        <v>3.8E-3</v>
      </c>
      <c r="F17" s="12">
        <v>9.7000000000000003E-3</v>
      </c>
      <c r="G17" s="12">
        <v>3.5999999999999999E-3</v>
      </c>
      <c r="H17" s="12">
        <v>5.0000000000000001E-3</v>
      </c>
      <c r="I17" s="12">
        <v>3.8999999999999998E-3</v>
      </c>
      <c r="J17" s="12">
        <v>8.9999999999999998E-4</v>
      </c>
      <c r="K17" s="12">
        <v>8.0000000000000004E-4</v>
      </c>
    </row>
    <row r="18" spans="2:11" ht="28.7" x14ac:dyDescent="0.5">
      <c r="B18" s="3" t="s">
        <v>4087</v>
      </c>
      <c r="C18" s="3" t="s">
        <v>3864</v>
      </c>
      <c r="D18" s="1" t="s">
        <v>3857</v>
      </c>
      <c r="E18" s="12">
        <v>6.7999999999999996E-3</v>
      </c>
      <c r="F18" s="12">
        <v>7.1000000000000004E-3</v>
      </c>
      <c r="G18" s="12">
        <v>6.7999999999999996E-3</v>
      </c>
      <c r="H18" s="12">
        <v>3.7000000000000002E-3</v>
      </c>
      <c r="I18" s="12">
        <v>1.8E-3</v>
      </c>
      <c r="J18" s="12">
        <v>6.7999999999999996E-3</v>
      </c>
      <c r="K18" s="12">
        <v>6.1999999999999998E-3</v>
      </c>
    </row>
    <row r="19" spans="2:11" ht="28.7" x14ac:dyDescent="0.5">
      <c r="B19" s="3" t="s">
        <v>9</v>
      </c>
      <c r="C19" s="3" t="s">
        <v>3866</v>
      </c>
      <c r="D19" s="1" t="s">
        <v>3858</v>
      </c>
      <c r="E19" s="12">
        <v>4.8999999999999998E-3</v>
      </c>
      <c r="F19" s="12">
        <v>7.4999999999999997E-3</v>
      </c>
      <c r="G19" s="12">
        <v>3.2000000000000002E-3</v>
      </c>
      <c r="H19" s="12">
        <v>3.2000000000000002E-3</v>
      </c>
      <c r="I19" s="12">
        <v>1.8E-3</v>
      </c>
      <c r="J19" s="12">
        <v>4.7000000000000002E-3</v>
      </c>
      <c r="K19" s="12">
        <v>5.3E-3</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B96B-35FF-4712-ADCF-55FECF16B258}">
  <sheetPr codeName="Sheet22"/>
  <dimension ref="B2:P18"/>
  <sheetViews>
    <sheetView topLeftCell="M1" workbookViewId="0">
      <selection activeCell="B2" sqref="B2:P8"/>
    </sheetView>
  </sheetViews>
  <sheetFormatPr defaultRowHeight="14.35" x14ac:dyDescent="0.5"/>
  <cols>
    <col min="2" max="2" width="29.17578125" style="10" bestFit="1" customWidth="1"/>
    <col min="3" max="3" width="29.64453125" style="10" bestFit="1" customWidth="1"/>
    <col min="4" max="4" width="6.87890625" bestFit="1" customWidth="1"/>
    <col min="5" max="5" width="13" bestFit="1" customWidth="1"/>
    <col min="6" max="6" width="13.52734375" bestFit="1" customWidth="1"/>
    <col min="7" max="7" width="12.64453125" bestFit="1" customWidth="1"/>
    <col min="8" max="8" width="12.87890625" bestFit="1" customWidth="1"/>
    <col min="9" max="9" width="13.8203125" bestFit="1" customWidth="1"/>
    <col min="10" max="10" width="28.3515625" style="10" customWidth="1"/>
    <col min="11" max="11" width="9.76171875" bestFit="1" customWidth="1"/>
    <col min="12" max="12" width="11.64453125" bestFit="1" customWidth="1"/>
    <col min="13" max="13" width="42.9375" style="10" bestFit="1" customWidth="1"/>
    <col min="14" max="14" width="21.41015625" style="10" customWidth="1"/>
    <col min="15" max="15" width="30.234375" style="10" bestFit="1" customWidth="1"/>
  </cols>
  <sheetData>
    <row r="2" spans="2:16" x14ac:dyDescent="0.5">
      <c r="B2" s="3" t="s">
        <v>4097</v>
      </c>
      <c r="C2" s="3" t="s">
        <v>9</v>
      </c>
      <c r="D2" s="1" t="s">
        <v>50</v>
      </c>
      <c r="E2" s="1" t="s">
        <v>4127</v>
      </c>
      <c r="F2" s="1" t="s">
        <v>4128</v>
      </c>
      <c r="G2" s="1" t="s">
        <v>4129</v>
      </c>
      <c r="H2" s="1" t="s">
        <v>4130</v>
      </c>
      <c r="I2" s="1" t="s">
        <v>4131</v>
      </c>
      <c r="J2" s="3" t="s">
        <v>4120</v>
      </c>
      <c r="L2" s="1" t="s">
        <v>4106</v>
      </c>
      <c r="M2" s="3" t="s">
        <v>4107</v>
      </c>
      <c r="N2" s="3" t="s">
        <v>4108</v>
      </c>
      <c r="O2" s="3" t="s">
        <v>4109</v>
      </c>
      <c r="P2" s="1" t="s">
        <v>4126</v>
      </c>
    </row>
    <row r="3" spans="2:16" ht="28.7" x14ac:dyDescent="0.5">
      <c r="B3" s="3" t="s">
        <v>1223</v>
      </c>
      <c r="C3" s="3" t="s">
        <v>1223</v>
      </c>
      <c r="D3" s="1" t="s">
        <v>81</v>
      </c>
      <c r="E3" s="33">
        <v>0.74950000000000006</v>
      </c>
      <c r="F3" s="33">
        <v>6.8600000000000008E-2</v>
      </c>
      <c r="G3" s="33">
        <v>8.7599999999999997E-2</v>
      </c>
      <c r="H3" s="32">
        <v>4.5700000000000005E-2</v>
      </c>
      <c r="I3" s="32">
        <v>4.8600000000000004E-2</v>
      </c>
      <c r="J3" s="3" t="s">
        <v>4132</v>
      </c>
      <c r="L3" s="1" t="s">
        <v>4121</v>
      </c>
      <c r="M3" s="69" t="s">
        <v>4152</v>
      </c>
      <c r="N3" s="3" t="s">
        <v>4110</v>
      </c>
      <c r="O3" s="3" t="s">
        <v>4111</v>
      </c>
      <c r="P3" s="1" t="s">
        <v>4127</v>
      </c>
    </row>
    <row r="4" spans="2:16" ht="28.7" x14ac:dyDescent="0.5">
      <c r="B4" s="3" t="s">
        <v>87</v>
      </c>
      <c r="C4" s="3" t="s">
        <v>87</v>
      </c>
      <c r="D4" s="1" t="s">
        <v>82</v>
      </c>
      <c r="E4" s="33">
        <v>6.7599999999999993E-2</v>
      </c>
      <c r="F4" s="33">
        <v>0.1</v>
      </c>
      <c r="G4" s="33">
        <v>0.1057</v>
      </c>
      <c r="H4" s="32">
        <v>0.36380000000000001</v>
      </c>
      <c r="I4" s="32">
        <v>0.3629</v>
      </c>
      <c r="J4" s="3" t="s">
        <v>4134</v>
      </c>
      <c r="L4" s="1" t="s">
        <v>4122</v>
      </c>
      <c r="M4" s="3" t="s">
        <v>4153</v>
      </c>
      <c r="N4" s="3" t="s">
        <v>4112</v>
      </c>
      <c r="O4" s="3" t="s">
        <v>4113</v>
      </c>
      <c r="P4" s="1" t="s">
        <v>4128</v>
      </c>
    </row>
    <row r="5" spans="2:16" ht="43" x14ac:dyDescent="0.5">
      <c r="B5" s="3" t="s">
        <v>4091</v>
      </c>
      <c r="C5" s="3" t="s">
        <v>51</v>
      </c>
      <c r="D5" s="1" t="s">
        <v>83</v>
      </c>
      <c r="E5" s="33">
        <v>0.3286</v>
      </c>
      <c r="F5" s="33">
        <v>0.11710000000000001</v>
      </c>
      <c r="G5" s="33">
        <v>0.19140000000000001</v>
      </c>
      <c r="H5" s="32">
        <v>0.28949999999999998</v>
      </c>
      <c r="I5" s="32">
        <v>7.3300000000000004E-2</v>
      </c>
      <c r="J5" s="3" t="s">
        <v>4135</v>
      </c>
      <c r="L5" s="1" t="s">
        <v>4123</v>
      </c>
      <c r="M5" s="69" t="s">
        <v>4154</v>
      </c>
      <c r="N5" s="3" t="s">
        <v>4114</v>
      </c>
      <c r="O5" s="3" t="s">
        <v>4115</v>
      </c>
      <c r="P5" s="1" t="s">
        <v>4129</v>
      </c>
    </row>
    <row r="6" spans="2:16" ht="28.7" x14ac:dyDescent="0.5">
      <c r="B6" s="3" t="s">
        <v>4093</v>
      </c>
      <c r="C6" s="3" t="s">
        <v>3865</v>
      </c>
      <c r="D6" s="1" t="s">
        <v>3856</v>
      </c>
      <c r="E6" s="33">
        <v>1.8100000000000002E-2</v>
      </c>
      <c r="F6" s="33">
        <v>0.23519999999999999</v>
      </c>
      <c r="G6" s="33">
        <v>8.48E-2</v>
      </c>
      <c r="H6" s="32">
        <v>0.23620000000000002</v>
      </c>
      <c r="I6" s="32">
        <v>0.42570000000000002</v>
      </c>
      <c r="J6" s="3" t="s">
        <v>4133</v>
      </c>
      <c r="L6" s="1" t="s">
        <v>4124</v>
      </c>
      <c r="M6" s="3" t="s">
        <v>4155</v>
      </c>
      <c r="N6" s="3" t="s">
        <v>4116</v>
      </c>
      <c r="O6" s="3" t="s">
        <v>4117</v>
      </c>
      <c r="P6" s="1" t="s">
        <v>4130</v>
      </c>
    </row>
    <row r="7" spans="2:16" ht="28.7" x14ac:dyDescent="0.5">
      <c r="B7" s="3" t="s">
        <v>4087</v>
      </c>
      <c r="C7" s="3" t="s">
        <v>3864</v>
      </c>
      <c r="D7" s="1" t="s">
        <v>3857</v>
      </c>
      <c r="E7" s="33">
        <v>3.9E-2</v>
      </c>
      <c r="F7" s="33">
        <v>0.32189999999999996</v>
      </c>
      <c r="G7" s="33">
        <v>0.24379999999999999</v>
      </c>
      <c r="H7" s="32">
        <v>0.37709999999999999</v>
      </c>
      <c r="I7" s="32">
        <v>1.8100000000000002E-2</v>
      </c>
      <c r="J7" s="3" t="s">
        <v>4136</v>
      </c>
      <c r="L7" s="1" t="s">
        <v>4125</v>
      </c>
      <c r="M7" s="70" t="s">
        <v>4156</v>
      </c>
      <c r="N7" s="3" t="s">
        <v>4118</v>
      </c>
      <c r="O7" s="3" t="s">
        <v>4119</v>
      </c>
      <c r="P7" s="1" t="s">
        <v>4131</v>
      </c>
    </row>
    <row r="8" spans="2:16" ht="28.7" x14ac:dyDescent="0.5">
      <c r="B8" s="3" t="s">
        <v>9</v>
      </c>
      <c r="C8" s="3" t="s">
        <v>3866</v>
      </c>
      <c r="D8" s="1" t="s">
        <v>3858</v>
      </c>
      <c r="E8" s="33">
        <v>2.9500000000000002E-2</v>
      </c>
      <c r="F8" s="33">
        <v>0.26950000000000002</v>
      </c>
      <c r="G8" s="33">
        <v>0.42859999999999998</v>
      </c>
      <c r="H8" s="32">
        <v>0.1857</v>
      </c>
      <c r="I8" s="32">
        <v>8.6699999999999999E-2</v>
      </c>
      <c r="J8" s="3" t="s">
        <v>4137</v>
      </c>
    </row>
    <row r="11" spans="2:16" x14ac:dyDescent="0.5">
      <c r="E11" s="1" t="s">
        <v>4121</v>
      </c>
      <c r="F11" s="1" t="s">
        <v>4122</v>
      </c>
      <c r="G11" s="1" t="s">
        <v>4123</v>
      </c>
      <c r="H11" s="1" t="s">
        <v>4124</v>
      </c>
      <c r="I11" s="1" t="s">
        <v>4125</v>
      </c>
    </row>
    <row r="12" spans="2:16" x14ac:dyDescent="0.5">
      <c r="E12" s="1" t="s">
        <v>4127</v>
      </c>
      <c r="F12" s="1" t="s">
        <v>4128</v>
      </c>
      <c r="G12" s="1" t="s">
        <v>4129</v>
      </c>
      <c r="H12" s="1" t="s">
        <v>4130</v>
      </c>
      <c r="I12" s="1" t="s">
        <v>4131</v>
      </c>
    </row>
    <row r="13" spans="2:16" x14ac:dyDescent="0.5">
      <c r="D13" t="s">
        <v>81</v>
      </c>
      <c r="E13" s="1">
        <v>74.95</v>
      </c>
      <c r="F13" s="1">
        <v>6.86</v>
      </c>
      <c r="G13" s="1">
        <v>8.76</v>
      </c>
      <c r="H13" s="1">
        <v>4.57</v>
      </c>
      <c r="I13" s="1">
        <v>4.8600000000000003</v>
      </c>
    </row>
    <row r="14" spans="2:16" x14ac:dyDescent="0.5">
      <c r="D14" t="s">
        <v>83</v>
      </c>
      <c r="E14" s="1">
        <v>32.86</v>
      </c>
      <c r="F14" s="1">
        <v>11.71</v>
      </c>
      <c r="G14" s="1">
        <v>19.14</v>
      </c>
      <c r="H14" s="1">
        <v>28.95</v>
      </c>
      <c r="I14" s="1">
        <v>7.33</v>
      </c>
    </row>
    <row r="15" spans="2:16" x14ac:dyDescent="0.5">
      <c r="D15" t="s">
        <v>3856</v>
      </c>
      <c r="E15" s="1">
        <v>1.81</v>
      </c>
      <c r="F15" s="1">
        <v>23.52</v>
      </c>
      <c r="G15" s="1">
        <v>8.48</v>
      </c>
      <c r="H15" s="1">
        <v>23.62</v>
      </c>
      <c r="I15" s="1">
        <v>42.57</v>
      </c>
    </row>
    <row r="16" spans="2:16" x14ac:dyDescent="0.5">
      <c r="D16" t="s">
        <v>82</v>
      </c>
      <c r="E16" s="1">
        <v>6.76</v>
      </c>
      <c r="F16" s="1">
        <v>10</v>
      </c>
      <c r="G16" s="1">
        <v>10.57</v>
      </c>
      <c r="H16" s="1">
        <v>36.380000000000003</v>
      </c>
      <c r="I16" s="1">
        <v>36.29</v>
      </c>
    </row>
    <row r="17" spans="4:9" x14ac:dyDescent="0.5">
      <c r="D17" t="s">
        <v>3857</v>
      </c>
      <c r="E17" s="1">
        <v>3.9</v>
      </c>
      <c r="F17" s="1">
        <v>32.19</v>
      </c>
      <c r="G17" s="1">
        <v>24.38</v>
      </c>
      <c r="H17" s="1">
        <v>37.71</v>
      </c>
      <c r="I17" s="1">
        <v>1.81</v>
      </c>
    </row>
    <row r="18" spans="4:9" x14ac:dyDescent="0.5">
      <c r="D18" t="s">
        <v>3858</v>
      </c>
      <c r="E18" s="1">
        <v>2.95</v>
      </c>
      <c r="F18" s="1">
        <v>26.95</v>
      </c>
      <c r="G18" s="1">
        <v>42.86</v>
      </c>
      <c r="H18" s="1">
        <v>18.57</v>
      </c>
      <c r="I18" s="1">
        <v>8.67</v>
      </c>
    </row>
  </sheetData>
  <phoneticPr fontId="4" type="noConversion"/>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320A-7F88-4510-8066-6AF670F10622}">
  <dimension ref="B3:E9"/>
  <sheetViews>
    <sheetView topLeftCell="E1" workbookViewId="0">
      <selection activeCell="B3" sqref="B3:E9"/>
    </sheetView>
  </sheetViews>
  <sheetFormatPr defaultRowHeight="14.35" x14ac:dyDescent="0.5"/>
  <cols>
    <col min="2" max="2" width="6.87890625" bestFit="1" customWidth="1"/>
    <col min="3" max="3" width="29.9375" style="3" bestFit="1" customWidth="1"/>
    <col min="4" max="4" width="14" style="3" bestFit="1" customWidth="1"/>
    <col min="5" max="5" width="99.703125" style="10" customWidth="1"/>
  </cols>
  <sheetData>
    <row r="3" spans="2:5" ht="28.7" x14ac:dyDescent="0.5">
      <c r="B3" s="1" t="s">
        <v>50</v>
      </c>
      <c r="C3" s="3" t="s">
        <v>9</v>
      </c>
      <c r="D3" s="3" t="s">
        <v>4138</v>
      </c>
      <c r="E3" s="3" t="s">
        <v>4139</v>
      </c>
    </row>
    <row r="4" spans="2:5" ht="43" x14ac:dyDescent="0.5">
      <c r="B4" s="1" t="s">
        <v>81</v>
      </c>
      <c r="C4" s="3" t="s">
        <v>1223</v>
      </c>
      <c r="D4" s="3" t="s">
        <v>4140</v>
      </c>
      <c r="E4" s="30" t="s">
        <v>4149</v>
      </c>
    </row>
    <row r="5" spans="2:5" ht="28.7" x14ac:dyDescent="0.5">
      <c r="B5" s="1" t="s">
        <v>82</v>
      </c>
      <c r="C5" s="3" t="s">
        <v>87</v>
      </c>
      <c r="D5" s="3" t="s">
        <v>4141</v>
      </c>
      <c r="E5" s="30" t="s">
        <v>4144</v>
      </c>
    </row>
    <row r="6" spans="2:5" ht="43" x14ac:dyDescent="0.5">
      <c r="B6" s="1" t="s">
        <v>83</v>
      </c>
      <c r="C6" s="3" t="s">
        <v>51</v>
      </c>
      <c r="D6" s="3" t="s">
        <v>4142</v>
      </c>
      <c r="E6" s="30" t="s">
        <v>4145</v>
      </c>
    </row>
    <row r="7" spans="2:5" ht="43" x14ac:dyDescent="0.5">
      <c r="B7" s="1" t="s">
        <v>3856</v>
      </c>
      <c r="C7" s="3" t="s">
        <v>3865</v>
      </c>
      <c r="D7" s="3" t="s">
        <v>4143</v>
      </c>
      <c r="E7" s="30" t="s">
        <v>4146</v>
      </c>
    </row>
    <row r="8" spans="2:5" ht="43" x14ac:dyDescent="0.5">
      <c r="B8" s="1" t="s">
        <v>3857</v>
      </c>
      <c r="C8" s="3" t="s">
        <v>3864</v>
      </c>
      <c r="D8" s="3" t="s">
        <v>4143</v>
      </c>
      <c r="E8" s="30" t="s">
        <v>4147</v>
      </c>
    </row>
    <row r="9" spans="2:5" ht="43" x14ac:dyDescent="0.5">
      <c r="B9" s="1" t="s">
        <v>3858</v>
      </c>
      <c r="C9" s="3" t="s">
        <v>3866</v>
      </c>
      <c r="D9" s="3" t="s">
        <v>4140</v>
      </c>
      <c r="E9" s="30" t="s">
        <v>4148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CF08-ACFC-4E23-B976-B75528A4461B}">
  <dimension ref="B3:O20"/>
  <sheetViews>
    <sheetView workbookViewId="0">
      <selection activeCell="R33" sqref="R33"/>
    </sheetView>
  </sheetViews>
  <sheetFormatPr defaultRowHeight="14.35" x14ac:dyDescent="0.5"/>
  <cols>
    <col min="2" max="2" width="6.87890625" style="1" bestFit="1" customWidth="1"/>
    <col min="3" max="3" width="13.5859375" style="1" bestFit="1" customWidth="1"/>
    <col min="4" max="4" width="14.52734375" style="1" bestFit="1" customWidth="1"/>
    <col min="5" max="5" width="17.64453125" style="1" bestFit="1" customWidth="1"/>
    <col min="6" max="6" width="8.9375" style="1"/>
    <col min="8" max="8" width="17.5859375" bestFit="1" customWidth="1"/>
    <col min="9" max="9" width="14.64453125" bestFit="1" customWidth="1"/>
    <col min="10" max="14" width="5.3515625" bestFit="1" customWidth="1"/>
    <col min="15" max="15" width="10.234375" bestFit="1" customWidth="1"/>
  </cols>
  <sheetData>
    <row r="3" spans="2:15" x14ac:dyDescent="0.5">
      <c r="B3" s="1" t="s">
        <v>50</v>
      </c>
      <c r="C3" s="1" t="s">
        <v>4157</v>
      </c>
      <c r="D3" s="1" t="s">
        <v>4150</v>
      </c>
      <c r="E3" s="1" t="s">
        <v>4151</v>
      </c>
      <c r="H3" s="13" t="s">
        <v>4158</v>
      </c>
      <c r="I3" s="13" t="s">
        <v>114</v>
      </c>
    </row>
    <row r="4" spans="2:15" x14ac:dyDescent="0.5">
      <c r="B4" s="1">
        <v>1</v>
      </c>
      <c r="C4" s="1" t="s">
        <v>81</v>
      </c>
      <c r="D4" s="1" t="s">
        <v>110</v>
      </c>
      <c r="E4" s="1" t="s">
        <v>102</v>
      </c>
      <c r="H4" s="13" t="s">
        <v>116</v>
      </c>
      <c r="I4" t="s">
        <v>81</v>
      </c>
      <c r="J4" t="s">
        <v>82</v>
      </c>
      <c r="K4" t="s">
        <v>83</v>
      </c>
      <c r="L4" t="s">
        <v>3856</v>
      </c>
      <c r="M4" t="s">
        <v>3857</v>
      </c>
      <c r="N4" t="s">
        <v>3858</v>
      </c>
      <c r="O4" t="s">
        <v>115</v>
      </c>
    </row>
    <row r="5" spans="2:15" x14ac:dyDescent="0.5">
      <c r="B5" s="1">
        <v>2</v>
      </c>
      <c r="C5" s="1" t="s">
        <v>81</v>
      </c>
      <c r="D5" s="1" t="s">
        <v>111</v>
      </c>
      <c r="E5" s="1" t="s">
        <v>104</v>
      </c>
      <c r="H5" s="14" t="s">
        <v>104</v>
      </c>
      <c r="I5">
        <v>1</v>
      </c>
      <c r="K5">
        <v>1</v>
      </c>
      <c r="L5">
        <v>1</v>
      </c>
      <c r="M5">
        <v>1</v>
      </c>
      <c r="N5">
        <v>1</v>
      </c>
      <c r="O5">
        <v>5</v>
      </c>
    </row>
    <row r="6" spans="2:15" x14ac:dyDescent="0.5">
      <c r="B6" s="1">
        <v>3</v>
      </c>
      <c r="C6" s="1" t="s">
        <v>81</v>
      </c>
      <c r="D6" s="1" t="s">
        <v>112</v>
      </c>
      <c r="E6" s="1" t="s">
        <v>106</v>
      </c>
      <c r="H6" s="14" t="s">
        <v>108</v>
      </c>
      <c r="J6">
        <v>1</v>
      </c>
      <c r="K6">
        <v>1</v>
      </c>
      <c r="L6">
        <v>1</v>
      </c>
      <c r="M6">
        <v>1</v>
      </c>
      <c r="O6">
        <v>4</v>
      </c>
    </row>
    <row r="7" spans="2:15" x14ac:dyDescent="0.5">
      <c r="B7" s="1">
        <v>4</v>
      </c>
      <c r="C7" s="1" t="s">
        <v>82</v>
      </c>
      <c r="D7" s="1" t="s">
        <v>110</v>
      </c>
      <c r="E7" s="1" t="s">
        <v>102</v>
      </c>
      <c r="H7" s="14" t="s">
        <v>106</v>
      </c>
      <c r="I7">
        <v>1</v>
      </c>
      <c r="L7">
        <v>1</v>
      </c>
      <c r="M7">
        <v>1</v>
      </c>
      <c r="N7">
        <v>1</v>
      </c>
      <c r="O7">
        <v>4</v>
      </c>
    </row>
    <row r="8" spans="2:15" x14ac:dyDescent="0.5">
      <c r="B8" s="1">
        <v>5</v>
      </c>
      <c r="C8" s="1" t="s">
        <v>82</v>
      </c>
      <c r="D8" s="1" t="s">
        <v>113</v>
      </c>
      <c r="E8" s="1" t="s">
        <v>108</v>
      </c>
      <c r="H8" s="14" t="s">
        <v>102</v>
      </c>
      <c r="I8">
        <v>1</v>
      </c>
      <c r="J8">
        <v>1</v>
      </c>
      <c r="K8">
        <v>1</v>
      </c>
      <c r="N8">
        <v>1</v>
      </c>
      <c r="O8">
        <v>4</v>
      </c>
    </row>
    <row r="9" spans="2:15" x14ac:dyDescent="0.5">
      <c r="B9" s="1">
        <v>6</v>
      </c>
      <c r="C9" s="1" t="s">
        <v>83</v>
      </c>
      <c r="D9" s="1" t="s">
        <v>110</v>
      </c>
      <c r="E9" s="1" t="s">
        <v>102</v>
      </c>
      <c r="H9" s="14" t="s">
        <v>115</v>
      </c>
      <c r="I9">
        <v>3</v>
      </c>
      <c r="J9">
        <v>2</v>
      </c>
      <c r="K9">
        <v>3</v>
      </c>
      <c r="L9">
        <v>3</v>
      </c>
      <c r="M9">
        <v>3</v>
      </c>
      <c r="N9">
        <v>3</v>
      </c>
      <c r="O9">
        <v>17</v>
      </c>
    </row>
    <row r="10" spans="2:15" x14ac:dyDescent="0.5">
      <c r="B10" s="1">
        <v>7</v>
      </c>
      <c r="C10" s="1" t="s">
        <v>83</v>
      </c>
      <c r="D10" s="1" t="s">
        <v>111</v>
      </c>
      <c r="E10" s="1" t="s">
        <v>104</v>
      </c>
    </row>
    <row r="11" spans="2:15" x14ac:dyDescent="0.5">
      <c r="B11" s="1">
        <v>8</v>
      </c>
      <c r="C11" s="1" t="s">
        <v>83</v>
      </c>
      <c r="D11" s="1" t="s">
        <v>113</v>
      </c>
      <c r="E11" s="1" t="s">
        <v>108</v>
      </c>
    </row>
    <row r="12" spans="2:15" x14ac:dyDescent="0.5">
      <c r="B12" s="1">
        <v>9</v>
      </c>
      <c r="C12" s="1" t="s">
        <v>3856</v>
      </c>
      <c r="D12" s="1" t="s">
        <v>111</v>
      </c>
      <c r="E12" s="1" t="s">
        <v>104</v>
      </c>
    </row>
    <row r="13" spans="2:15" x14ac:dyDescent="0.5">
      <c r="B13" s="1">
        <v>10</v>
      </c>
      <c r="C13" s="1" t="s">
        <v>3856</v>
      </c>
      <c r="D13" s="1" t="s">
        <v>112</v>
      </c>
      <c r="E13" s="1" t="s">
        <v>106</v>
      </c>
    </row>
    <row r="14" spans="2:15" x14ac:dyDescent="0.5">
      <c r="B14" s="1">
        <v>11</v>
      </c>
      <c r="C14" s="1" t="s">
        <v>3856</v>
      </c>
      <c r="D14" s="1" t="s">
        <v>113</v>
      </c>
      <c r="E14" s="1" t="s">
        <v>108</v>
      </c>
    </row>
    <row r="15" spans="2:15" x14ac:dyDescent="0.5">
      <c r="B15" s="1">
        <v>12</v>
      </c>
      <c r="C15" s="1" t="s">
        <v>3857</v>
      </c>
      <c r="D15" s="1" t="s">
        <v>111</v>
      </c>
      <c r="E15" s="1" t="s">
        <v>104</v>
      </c>
    </row>
    <row r="16" spans="2:15" x14ac:dyDescent="0.5">
      <c r="B16" s="1">
        <v>13</v>
      </c>
      <c r="C16" s="1" t="s">
        <v>3857</v>
      </c>
      <c r="D16" s="1" t="s">
        <v>112</v>
      </c>
      <c r="E16" s="1" t="s">
        <v>106</v>
      </c>
    </row>
    <row r="17" spans="2:5" x14ac:dyDescent="0.5">
      <c r="B17" s="1">
        <v>14</v>
      </c>
      <c r="C17" s="1" t="s">
        <v>3857</v>
      </c>
      <c r="D17" s="1" t="s">
        <v>113</v>
      </c>
      <c r="E17" s="1" t="s">
        <v>108</v>
      </c>
    </row>
    <row r="18" spans="2:5" x14ac:dyDescent="0.5">
      <c r="B18" s="1">
        <v>15</v>
      </c>
      <c r="C18" s="1" t="s">
        <v>3858</v>
      </c>
      <c r="D18" s="1" t="s">
        <v>110</v>
      </c>
      <c r="E18" s="1" t="s">
        <v>102</v>
      </c>
    </row>
    <row r="19" spans="2:5" x14ac:dyDescent="0.5">
      <c r="B19" s="1">
        <v>16</v>
      </c>
      <c r="C19" s="1" t="s">
        <v>3858</v>
      </c>
      <c r="D19" s="1" t="s">
        <v>111</v>
      </c>
      <c r="E19" s="1" t="s">
        <v>104</v>
      </c>
    </row>
    <row r="20" spans="2:5" x14ac:dyDescent="0.5">
      <c r="B20" s="1">
        <v>17</v>
      </c>
      <c r="C20" s="1" t="s">
        <v>3858</v>
      </c>
      <c r="D20" s="1" t="s">
        <v>112</v>
      </c>
      <c r="E20" s="1" t="s">
        <v>106</v>
      </c>
    </row>
  </sheetData>
  <phoneticPr fontId="4" type="noConversion"/>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66856E6-5151-4365-B17C-242B2EC9C710}">
          <x14:formula1>
            <xm:f>'01C - Mapping Cats'!$B$3:$B$6</xm:f>
          </x14:formula1>
          <xm:sqref>D4:D20</xm:sqref>
        </x14:dataValidation>
        <x14:dataValidation type="list" allowBlank="1" showInputMessage="1" showErrorMessage="1" xr:uid="{A159E86D-6BFB-447F-AC43-654F56F3C928}">
          <x14:formula1>
            <xm:f>'01C - Mapping Cats'!$C$3:$C$6</xm:f>
          </x14:formula1>
          <xm:sqref>E4:E20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3FB1-3959-4290-A0B3-0C844DDC83CF}">
  <sheetPr codeName="Sheet21"/>
  <dimension ref="B3:B8"/>
  <sheetViews>
    <sheetView workbookViewId="0">
      <selection activeCell="K36" sqref="K36"/>
    </sheetView>
  </sheetViews>
  <sheetFormatPr defaultRowHeight="14.35" x14ac:dyDescent="0.5"/>
  <cols>
    <col min="2" max="2" width="19.29296875" style="1" bestFit="1" customWidth="1"/>
  </cols>
  <sheetData>
    <row r="3" spans="2:2" x14ac:dyDescent="0.5">
      <c r="B3" s="1" t="s">
        <v>834</v>
      </c>
    </row>
    <row r="4" spans="2:2" x14ac:dyDescent="0.5">
      <c r="B4" s="1" t="s">
        <v>2</v>
      </c>
    </row>
    <row r="5" spans="2:2" x14ac:dyDescent="0.5">
      <c r="B5" s="1" t="s">
        <v>80</v>
      </c>
    </row>
    <row r="6" spans="2:2" x14ac:dyDescent="0.5">
      <c r="B6" s="1" t="s">
        <v>0</v>
      </c>
    </row>
    <row r="7" spans="2:2" x14ac:dyDescent="0.5">
      <c r="B7" s="1" t="s">
        <v>3</v>
      </c>
    </row>
    <row r="8" spans="2:2" x14ac:dyDescent="0.5">
      <c r="B8" s="1" t="s">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TaxCatchAll xmlns="ecfdc7df-9346-405e-960c-4b78bd63ed6b" xsi:nil="true"/>
    <lcf76f155ced4ddcb4097134ff3c332f xmlns="09d879e6-de75-4325-999a-1fd751732b11">
      <Terms xmlns="http://schemas.microsoft.com/office/infopath/2007/PartnerControls"/>
    </lcf76f155ced4ddcb4097134ff3c332f>
  </documentManagement>
</p:properties>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02249857855DC40918F4D319801ED67" ma:contentTypeVersion="17" ma:contentTypeDescription="Create a new document." ma:contentTypeScope="" ma:versionID="49b05f1c22837f5c3bad82b600d48591">
  <xsd:schema xmlns:xsd="http://www.w3.org/2001/XMLSchema" xmlns:xs="http://www.w3.org/2001/XMLSchema" xmlns:p="http://schemas.microsoft.com/office/2006/metadata/properties" xmlns:ns2="09d879e6-de75-4325-999a-1fd751732b11" xmlns:ns3="ecfdc7df-9346-405e-960c-4b78bd63ed6b" targetNamespace="http://schemas.microsoft.com/office/2006/metadata/properties" ma:root="true" ma:fieldsID="50331a1de613fabb81c24a131bf3938e" ns2:_="" ns3:_="">
    <xsd:import namespace="09d879e6-de75-4325-999a-1fd751732b11"/>
    <xsd:import namespace="ecfdc7df-9346-405e-960c-4b78bd63ed6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879e6-de75-4325-999a-1fd751732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fdc7df-9346-405e-960c-4b78bd63ed6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d62456e-da93-437f-b6a8-470c8d6f1870}" ma:internalName="TaxCatchAll" ma:showField="CatchAllData" ma:web="ecfdc7df-9346-405e-960c-4b78bd63ed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475DE20-86C8-46CF-9FBC-791447BE1F47}">
  <ds:schemaRefs/>
</ds:datastoreItem>
</file>

<file path=customXml/itemProps2.xml><?xml version="1.0" encoding="utf-8"?>
<ds:datastoreItem xmlns:ds="http://schemas.openxmlformats.org/officeDocument/2006/customXml" ds:itemID="{12AC48DC-BBE0-4327-BA92-66161405B969}">
  <ds:schemaRefs/>
</ds:datastoreItem>
</file>

<file path=customXml/itemProps3.xml><?xml version="1.0" encoding="utf-8"?>
<ds:datastoreItem xmlns:ds="http://schemas.openxmlformats.org/officeDocument/2006/customXml" ds:itemID="{F34B9E8D-2C95-4583-8F32-5A912A84DFD9}">
  <ds:schemaRefs/>
</ds:datastoreItem>
</file>

<file path=customXml/itemProps4.xml><?xml version="1.0" encoding="utf-8"?>
<ds:datastoreItem xmlns:ds="http://schemas.openxmlformats.org/officeDocument/2006/customXml" ds:itemID="{EEA5E612-EE92-4A74-B6DA-7183A4514846}">
  <ds:schemaRefs/>
</ds:datastoreItem>
</file>

<file path=customXml/itemProps5.xml><?xml version="1.0" encoding="utf-8"?>
<ds:datastoreItem xmlns:ds="http://schemas.openxmlformats.org/officeDocument/2006/customXml" ds:itemID="{F409C65D-8029-4527-B308-69A7A7D7F9A7}">
  <ds:schemaRefs/>
</ds:datastoreItem>
</file>

<file path=customXml/itemProps6.xml><?xml version="1.0" encoding="utf-8"?>
<ds:datastoreItem xmlns:ds="http://schemas.openxmlformats.org/officeDocument/2006/customXml" ds:itemID="{B7FA4BB7-2459-4AFF-B775-FD02F739917B}">
  <ds:schemaRefs/>
</ds:datastoreItem>
</file>

<file path=customXml/itemProps7.xml><?xml version="1.0" encoding="utf-8"?>
<ds:datastoreItem xmlns:ds="http://schemas.openxmlformats.org/officeDocument/2006/customXml" ds:itemID="{AE9FF021-41B6-4B86-BA43-CD030EE1162B}">
  <ds:schemaRefs/>
</ds:datastoreItem>
</file>

<file path=customXml/itemProps8.xml><?xml version="1.0" encoding="utf-8"?>
<ds:datastoreItem xmlns:ds="http://schemas.openxmlformats.org/officeDocument/2006/customXml" ds:itemID="{A5D7B423-5B25-4DB0-B3FF-4C63B6EFAC0C}">
  <ds:schemaRefs/>
</ds:datastoreItem>
</file>

<file path=customXml/itemProps9.xml><?xml version="1.0" encoding="utf-8"?>
<ds:datastoreItem xmlns:ds="http://schemas.openxmlformats.org/officeDocument/2006/customXml" ds:itemID="{D0D9DB84-8ED6-4769-9EF1-47CFAF1BF10C}">
  <ds:schemaRefs>
    <ds:schemaRef ds:uri="http://www.w3.org/XML/1998/namespace"/>
    <ds:schemaRef ds:uri="http://purl.org/dc/elements/1.1/"/>
    <ds:schemaRef ds:uri="09d879e6-de75-4325-999a-1fd751732b11"/>
    <ds:schemaRef ds:uri="http://purl.org/dc/terms/"/>
    <ds:schemaRef ds:uri="ecfdc7df-9346-405e-960c-4b78bd63ed6b"/>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dcmitype/"/>
  </ds:schemaRefs>
</ds:datastoreItem>
</file>

<file path=customXml/itemProps10.xml><?xml version="1.0" encoding="utf-8"?>
<ds:datastoreItem xmlns:ds="http://schemas.openxmlformats.org/officeDocument/2006/customXml" ds:itemID="{BC80BBF1-84F5-4AEE-B8F4-370AFA1047AA}">
  <ds:schemaRefs/>
</ds:datastoreItem>
</file>

<file path=customXml/itemProps11.xml><?xml version="1.0" encoding="utf-8"?>
<ds:datastoreItem xmlns:ds="http://schemas.openxmlformats.org/officeDocument/2006/customXml" ds:itemID="{B05F2BB5-43B5-41DB-885D-0636506C1BED}">
  <ds:schemaRefs/>
</ds:datastoreItem>
</file>

<file path=customXml/itemProps12.xml><?xml version="1.0" encoding="utf-8"?>
<ds:datastoreItem xmlns:ds="http://schemas.openxmlformats.org/officeDocument/2006/customXml" ds:itemID="{93FB12DC-0D18-4008-BBF0-C56A2CEDCBCC}">
  <ds:schemaRefs>
    <ds:schemaRef ds:uri="http://schemas.microsoft.com/sharepoint/v3/contenttype/forms"/>
  </ds:schemaRefs>
</ds:datastoreItem>
</file>

<file path=customXml/itemProps13.xml><?xml version="1.0" encoding="utf-8"?>
<ds:datastoreItem xmlns:ds="http://schemas.openxmlformats.org/officeDocument/2006/customXml" ds:itemID="{FE97D129-F61D-43EB-A3AF-C3F35259F4F9}">
  <ds:schemaRefs/>
</ds:datastoreItem>
</file>

<file path=customXml/itemProps14.xml><?xml version="1.0" encoding="utf-8"?>
<ds:datastoreItem xmlns:ds="http://schemas.openxmlformats.org/officeDocument/2006/customXml" ds:itemID="{05846216-5765-4063-ADE0-82CF87250811}">
  <ds:schemaRefs/>
</ds:datastoreItem>
</file>

<file path=customXml/itemProps15.xml><?xml version="1.0" encoding="utf-8"?>
<ds:datastoreItem xmlns:ds="http://schemas.openxmlformats.org/officeDocument/2006/customXml" ds:itemID="{DA97F46A-7965-4FA1-8165-4B746B3359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d879e6-de75-4325-999a-1fd751732b11"/>
    <ds:schemaRef ds:uri="ecfdc7df-9346-405e-960c-4b78bd63e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0E20E440-0B0D-48C5-B66D-2BCD30D9A95C}">
  <ds:schemaRefs/>
</ds:datastoreItem>
</file>

<file path=customXml/itemProps17.xml><?xml version="1.0" encoding="utf-8"?>
<ds:datastoreItem xmlns:ds="http://schemas.openxmlformats.org/officeDocument/2006/customXml" ds:itemID="{BE5EF76F-7462-4809-B61B-412197CDC1B7}">
  <ds:schemaRefs/>
</ds:datastoreItem>
</file>

<file path=customXml/itemProps18.xml><?xml version="1.0" encoding="utf-8"?>
<ds:datastoreItem xmlns:ds="http://schemas.openxmlformats.org/officeDocument/2006/customXml" ds:itemID="{1099482B-E077-4236-B839-218180AFE24F}">
  <ds:schemaRefs/>
</ds:datastoreItem>
</file>

<file path=customXml/itemProps19.xml><?xml version="1.0" encoding="utf-8"?>
<ds:datastoreItem xmlns:ds="http://schemas.openxmlformats.org/officeDocument/2006/customXml" ds:itemID="{722A23E8-FDF1-4D7C-9E84-2D30E3A792D0}">
  <ds:schemaRefs>
    <ds:schemaRef ds:uri="http://www.w3.org/2001/XMLSchema"/>
    <ds:schemaRef ds:uri="http://microsoft.data.visualization.Client.Excel/1.0"/>
  </ds:schemaRefs>
</ds:datastoreItem>
</file>

<file path=customXml/itemProps20.xml><?xml version="1.0" encoding="utf-8"?>
<ds:datastoreItem xmlns:ds="http://schemas.openxmlformats.org/officeDocument/2006/customXml" ds:itemID="{B8604A4B-E27C-4A7C-9226-78C9B33D60AF}">
  <ds:schemaRefs/>
</ds:datastoreItem>
</file>

<file path=customXml/itemProps21.xml><?xml version="1.0" encoding="utf-8"?>
<ds:datastoreItem xmlns:ds="http://schemas.openxmlformats.org/officeDocument/2006/customXml" ds:itemID="{FEF9ADA0-A799-4D3D-91E3-AC3AA571B36D}">
  <ds:schemaRefs/>
</ds:datastoreItem>
</file>

<file path=customXml/itemProps22.xml><?xml version="1.0" encoding="utf-8"?>
<ds:datastoreItem xmlns:ds="http://schemas.openxmlformats.org/officeDocument/2006/customXml" ds:itemID="{9BACC965-D588-41D8-A483-7204E0BDEFFD}">
  <ds:schemaRefs>
    <ds:schemaRef ds:uri="http://schemas.microsoft.com/DataMashup"/>
  </ds:schemaRefs>
</ds:datastoreItem>
</file>

<file path=customXml/itemProps23.xml><?xml version="1.0" encoding="utf-8"?>
<ds:datastoreItem xmlns:ds="http://schemas.openxmlformats.org/officeDocument/2006/customXml" ds:itemID="{13271776-99B3-4A63-8677-2C31CD46E02B}">
  <ds:schemaRefs/>
</ds:datastoreItem>
</file>

<file path=customXml/itemProps24.xml><?xml version="1.0" encoding="utf-8"?>
<ds:datastoreItem xmlns:ds="http://schemas.openxmlformats.org/officeDocument/2006/customXml" ds:itemID="{1032FD27-C7E1-46D9-8BB4-FE1905FDEF44}">
  <ds:schemaRefs/>
</ds:datastoreItem>
</file>

<file path=customXml/itemProps25.xml><?xml version="1.0" encoding="utf-8"?>
<ds:datastoreItem xmlns:ds="http://schemas.openxmlformats.org/officeDocument/2006/customXml" ds:itemID="{A2354F29-9950-4963-AD25-3B26384A5B83}">
  <ds:schemaRefs/>
</ds:datastoreItem>
</file>

<file path=customXml/itemProps26.xml><?xml version="1.0" encoding="utf-8"?>
<ds:datastoreItem xmlns:ds="http://schemas.openxmlformats.org/officeDocument/2006/customXml" ds:itemID="{CF9B8E66-3B8A-4FD9-84C1-D02D2F21EA26}">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Charts</vt:lpstr>
      </vt:variant>
      <vt:variant>
        <vt:i4>5</vt:i4>
      </vt:variant>
    </vt:vector>
  </HeadingPairs>
  <TitlesOfParts>
    <vt:vector size="27" baseType="lpstr">
      <vt:lpstr>00 - README</vt:lpstr>
      <vt:lpstr>01A - Data Profiles</vt:lpstr>
      <vt:lpstr>01B - QryStr</vt:lpstr>
      <vt:lpstr>01C - Mapping Cats</vt:lpstr>
      <vt:lpstr>02A - ACM Dlib Data</vt:lpstr>
      <vt:lpstr>02B - ASME Dlib Data</vt:lpstr>
      <vt:lpstr>02C - IEEE Xplore Data</vt:lpstr>
      <vt:lpstr>02D - Science Direct Data</vt:lpstr>
      <vt:lpstr>02E - Springer Nature|Link Data</vt:lpstr>
      <vt:lpstr>03A - Qry Basics</vt:lpstr>
      <vt:lpstr>03B - Qry Stats</vt:lpstr>
      <vt:lpstr>03C - Selection Pro</vt:lpstr>
      <vt:lpstr>03D - PS QF Score</vt:lpstr>
      <vt:lpstr>03E - SLR Filter Count</vt:lpstr>
      <vt:lpstr>04A - PS Summary</vt:lpstr>
      <vt:lpstr>04B - PS Inferences</vt:lpstr>
      <vt:lpstr>05A - PS Analitics</vt:lpstr>
      <vt:lpstr>05B - Token Trends </vt:lpstr>
      <vt:lpstr>05C - PS Topics</vt:lpstr>
      <vt:lpstr>05D - PS Categories</vt:lpstr>
      <vt:lpstr>05E - PS Cats Map</vt:lpstr>
      <vt:lpstr>99 - Extras</vt:lpstr>
      <vt:lpstr>05A - PS Analitics Chart</vt:lpstr>
      <vt:lpstr>5B - Token Trends TOP5 Chart</vt:lpstr>
      <vt:lpstr>05B - Token Trends SPEC7 Chart</vt:lpstr>
      <vt:lpstr>05C - PS Topic Chart</vt:lpstr>
      <vt:lpstr>05E - PS Cats Map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Santiago Felipe Arteaga Martin</cp:lastModifiedBy>
  <cp:revision/>
  <dcterms:created xsi:type="dcterms:W3CDTF">2015-06-05T18:17:20Z</dcterms:created>
  <dcterms:modified xsi:type="dcterms:W3CDTF">2025-07-20T03:13:36Z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0x010100302249857855DC40918F4D319801ED67</vt:lpwstr>
  </property>
  <property fmtid="{D5CDD505-2E9C-101B-9397-08002B2CF9AE}" pid="3" name="MediaServiceImageTags">
    <vt:lpwstr/>
  </property>
</Properties>
</file>