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uni\_Master3\DBDA\graph-mining\"/>
    </mc:Choice>
  </mc:AlternateContent>
  <bookViews>
    <workbookView xWindow="0" yWindow="0" windowWidth="20160" windowHeight="904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E61" i="1"/>
  <c r="D61" i="1"/>
  <c r="F62" i="1"/>
  <c r="F59" i="1"/>
  <c r="B54" i="1"/>
  <c r="G60" i="1" s="1"/>
  <c r="D54" i="1"/>
  <c r="E62" i="1" s="1"/>
  <c r="E54" i="1"/>
  <c r="D59" i="1" s="1"/>
  <c r="F54" i="1"/>
  <c r="C62" i="1" s="1"/>
  <c r="G54" i="1"/>
  <c r="B60" i="1" s="1"/>
  <c r="C54" i="1"/>
  <c r="F61" i="1" s="1"/>
  <c r="F32" i="1"/>
  <c r="F31" i="1"/>
  <c r="F30" i="1"/>
  <c r="F29" i="1"/>
  <c r="F28" i="1"/>
  <c r="E32" i="1"/>
  <c r="E31" i="1"/>
  <c r="E30" i="1"/>
  <c r="E29" i="1"/>
  <c r="E28" i="1"/>
  <c r="C31" i="1"/>
  <c r="D32" i="1"/>
  <c r="D31" i="1"/>
  <c r="D30" i="1"/>
  <c r="D29" i="1"/>
  <c r="D28" i="1"/>
  <c r="B32" i="1"/>
  <c r="C32" i="1"/>
  <c r="C30" i="1"/>
  <c r="C29" i="1"/>
  <c r="C28" i="1"/>
  <c r="C33" i="1" s="1"/>
  <c r="B31" i="1"/>
  <c r="B30" i="1"/>
  <c r="B29" i="1"/>
  <c r="B28" i="1"/>
  <c r="W10" i="1"/>
  <c r="B61" i="1" l="1"/>
  <c r="E60" i="1"/>
  <c r="E59" i="1"/>
  <c r="G33" i="1"/>
  <c r="B38" i="1" s="1"/>
  <c r="F39" i="1"/>
  <c r="D38" i="1"/>
  <c r="F38" i="1"/>
  <c r="F40" i="1"/>
  <c r="F42" i="1"/>
  <c r="F41" i="1"/>
  <c r="D40" i="1"/>
  <c r="F33" i="1"/>
  <c r="F37" i="1"/>
  <c r="F60" i="1"/>
  <c r="B59" i="1"/>
  <c r="AF61" i="1"/>
  <c r="AF62" i="1"/>
  <c r="D60" i="1"/>
  <c r="D62" i="1"/>
  <c r="G62" i="1"/>
  <c r="G59" i="1"/>
  <c r="G61" i="1"/>
  <c r="C59" i="1"/>
  <c r="C61" i="1"/>
  <c r="C60" i="1"/>
  <c r="B62" i="1"/>
  <c r="B41" i="1"/>
  <c r="B37" i="1"/>
  <c r="B40" i="1"/>
  <c r="B39" i="1"/>
  <c r="B42" i="1"/>
  <c r="E33" i="1"/>
  <c r="D33" i="1"/>
  <c r="E40" i="1" s="1"/>
  <c r="B33" i="1"/>
  <c r="G41" i="1" s="1"/>
  <c r="W11" i="1"/>
  <c r="AF63" i="1" s="1"/>
  <c r="W9" i="1"/>
  <c r="W8" i="1"/>
  <c r="AF60" i="1" s="1"/>
  <c r="W7" i="1"/>
  <c r="AF59" i="1" s="1"/>
  <c r="W6" i="1"/>
  <c r="AF58" i="1" s="1"/>
  <c r="W5" i="1"/>
  <c r="P9" i="1"/>
  <c r="P7" i="1"/>
  <c r="P13" i="1"/>
  <c r="P8" i="1"/>
  <c r="P6" i="1"/>
  <c r="P10" i="1"/>
  <c r="P11" i="1"/>
  <c r="P5" i="1"/>
  <c r="G37" i="1" l="1"/>
  <c r="E38" i="1"/>
  <c r="AE59" i="1"/>
  <c r="AE60" i="1"/>
  <c r="AE63" i="1"/>
  <c r="AE57" i="1"/>
  <c r="AE58" i="1"/>
  <c r="AE61" i="1"/>
  <c r="AE62" i="1"/>
  <c r="C41" i="1"/>
  <c r="C42" i="1"/>
  <c r="C40" i="1"/>
  <c r="G42" i="1"/>
  <c r="G39" i="1"/>
  <c r="G38" i="1"/>
  <c r="G40" i="1"/>
  <c r="C38" i="1"/>
  <c r="E42" i="1"/>
  <c r="E37" i="1"/>
  <c r="E39" i="1"/>
  <c r="C39" i="1"/>
  <c r="C37" i="1"/>
  <c r="W31" i="1"/>
  <c r="W23" i="1"/>
  <c r="W32" i="1"/>
  <c r="W24" i="1"/>
  <c r="W30" i="1"/>
  <c r="W33" i="1"/>
  <c r="W18" i="1"/>
  <c r="W35" i="1"/>
  <c r="W29" i="1"/>
  <c r="W22" i="1"/>
  <c r="W34" i="1"/>
  <c r="W19" i="1"/>
  <c r="W20" i="1"/>
  <c r="W21" i="1"/>
  <c r="X30" i="1"/>
  <c r="X21" i="1"/>
  <c r="X31" i="1"/>
  <c r="X22" i="1"/>
  <c r="X32" i="1"/>
  <c r="X23" i="1"/>
  <c r="X19" i="1"/>
  <c r="X33" i="1"/>
  <c r="X24" i="1"/>
  <c r="X18" i="1"/>
  <c r="X34" i="1"/>
  <c r="X35" i="1"/>
  <c r="X29" i="1"/>
  <c r="X20" i="1"/>
  <c r="D39" i="1"/>
  <c r="D42" i="1"/>
  <c r="D37" i="1"/>
  <c r="D41" i="1"/>
  <c r="AF57" i="1"/>
  <c r="E41" i="1"/>
</calcChain>
</file>

<file path=xl/sharedStrings.xml><?xml version="1.0" encoding="utf-8"?>
<sst xmlns="http://schemas.openxmlformats.org/spreadsheetml/2006/main" count="142" uniqueCount="47">
  <si>
    <t>Flink</t>
  </si>
  <si>
    <t>Cores</t>
  </si>
  <si>
    <t>Cores \ k</t>
  </si>
  <si>
    <t>Truss, bidirectionalWiki</t>
  </si>
  <si>
    <t>Truss,Wiki10Mio</t>
  </si>
  <si>
    <t>Local Spark Run</t>
  </si>
  <si>
    <t>k = 20</t>
  </si>
  <si>
    <t>addDegrees</t>
  </si>
  <si>
    <t>getTriangles</t>
  </si>
  <si>
    <t>Time in ms</t>
  </si>
  <si>
    <t>filterTriangles</t>
  </si>
  <si>
    <t>connectTrusses</t>
  </si>
  <si>
    <t>Truss,Wiki5Mio</t>
  </si>
  <si>
    <t>bidirectionalWiki</t>
  </si>
  <si>
    <t>k=20, multiple runs</t>
  </si>
  <si>
    <t>Avg</t>
  </si>
  <si>
    <t>Run 1</t>
  </si>
  <si>
    <t>Run 2</t>
  </si>
  <si>
    <t>Run 3</t>
  </si>
  <si>
    <t>Run 4</t>
  </si>
  <si>
    <t>Run 5</t>
  </si>
  <si>
    <t>Spark</t>
  </si>
  <si>
    <t>MaxTruss, bidirectionalWiki</t>
  </si>
  <si>
    <t>connectTruss</t>
  </si>
  <si>
    <t>10 cores</t>
  </si>
  <si>
    <t>Total</t>
  </si>
  <si>
    <t>8 cores</t>
  </si>
  <si>
    <t>6 cores</t>
  </si>
  <si>
    <t>4 cores</t>
  </si>
  <si>
    <t>2 cores</t>
  </si>
  <si>
    <t>1 core</t>
  </si>
  <si>
    <t>FinalMap</t>
  </si>
  <si>
    <t>Add degrees</t>
  </si>
  <si>
    <t>Get triangles</t>
  </si>
  <si>
    <t>Filter triangles</t>
  </si>
  <si>
    <t>Connect truss</t>
  </si>
  <si>
    <t>Final map</t>
  </si>
  <si>
    <t>T1/TN - Relative Speedup</t>
  </si>
  <si>
    <t>(T1-TN)/T1 - Percentage Imporvement</t>
  </si>
  <si>
    <t>Spark 10:</t>
  </si>
  <si>
    <t>adsssf</t>
  </si>
  <si>
    <t>StartK</t>
  </si>
  <si>
    <t>Linear</t>
  </si>
  <si>
    <t>Truss by k, 10 Cores</t>
  </si>
  <si>
    <t>Get + filter triangles</t>
  </si>
  <si>
    <t>sasdfsdfsdf</t>
  </si>
  <si>
    <t>Flink no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</si>
</sst>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05F00"/>
      <color rgb="FFF6A800"/>
      <color rgb="FFB106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Spark vs Flink - relative speedup compared to 1 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Tabelle1!$W$17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Tabelle1!$W$18:$W$24</c:f>
              <c:numCache>
                <c:formatCode>General</c:formatCode>
                <c:ptCount val="7"/>
                <c:pt idx="0">
                  <c:v>1</c:v>
                </c:pt>
                <c:pt idx="1">
                  <c:v>1.496</c:v>
                </c:pt>
                <c:pt idx="2">
                  <c:v>2.4768211920529799</c:v>
                </c:pt>
                <c:pt idx="3">
                  <c:v>3.0909090909090908</c:v>
                </c:pt>
                <c:pt idx="4">
                  <c:v>3.8163265306122445</c:v>
                </c:pt>
                <c:pt idx="5">
                  <c:v>4.5060240963855414</c:v>
                </c:pt>
                <c:pt idx="6">
                  <c:v>3.7029702970297032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Tabelle1!$X$17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Tabelle1!$X$18:$X$24</c:f>
              <c:numCache>
                <c:formatCode>General</c:formatCode>
                <c:ptCount val="7"/>
                <c:pt idx="0">
                  <c:v>1</c:v>
                </c:pt>
                <c:pt idx="1">
                  <c:v>2.3691318327974273</c:v>
                </c:pt>
                <c:pt idx="2">
                  <c:v>5.1814345991561179</c:v>
                </c:pt>
                <c:pt idx="3">
                  <c:v>7.0439770554493304</c:v>
                </c:pt>
                <c:pt idx="4">
                  <c:v>8.5080831408775985</c:v>
                </c:pt>
                <c:pt idx="5">
                  <c:v>9.669291338582676</c:v>
                </c:pt>
                <c:pt idx="6">
                  <c:v>9.5193798449612395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Tabelle1!$Y$17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Tabelle1!$Y$18:$Y$24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4192"/>
        <c:axId val="206742168"/>
      </c:scatterChart>
      <c:valAx>
        <c:axId val="2060441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6742168"/>
        <c:crosses val="autoZero"/>
        <c:crossBetween val="midCat"/>
      </c:valAx>
      <c:valAx>
        <c:axId val="20674216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relative speedup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604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Spark - scaling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Spark Average</c:v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Tabelle1!$W$5:$W$11</c:f>
              <c:numCache>
                <c:formatCode>General</c:formatCode>
                <c:ptCount val="7"/>
                <c:pt idx="0">
                  <c:v>736.8</c:v>
                </c:pt>
                <c:pt idx="1">
                  <c:v>311</c:v>
                </c:pt>
                <c:pt idx="2">
                  <c:v>142.19999999999999</c:v>
                </c:pt>
                <c:pt idx="3">
                  <c:v>104.6</c:v>
                </c:pt>
                <c:pt idx="4">
                  <c:v>86.6</c:v>
                </c:pt>
                <c:pt idx="5">
                  <c:v>76.2</c:v>
                </c:pt>
                <c:pt idx="6">
                  <c:v>77.400000000000006</c:v>
                </c:pt>
              </c:numCache>
            </c:numRef>
          </c:yVal>
          <c:smooth val="0"/>
        </c:ser>
        <c:ser>
          <c:idx val="7"/>
          <c:order val="1"/>
          <c:tx>
            <c:v>Spark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Tabelle1!$X$5:$X$11</c:f>
              <c:numCache>
                <c:formatCode>General</c:formatCode>
                <c:ptCount val="7"/>
                <c:pt idx="0">
                  <c:v>742</c:v>
                </c:pt>
                <c:pt idx="1">
                  <c:v>305</c:v>
                </c:pt>
                <c:pt idx="2">
                  <c:v>141</c:v>
                </c:pt>
                <c:pt idx="3">
                  <c:v>102</c:v>
                </c:pt>
                <c:pt idx="4">
                  <c:v>88</c:v>
                </c:pt>
                <c:pt idx="5">
                  <c:v>80</c:v>
                </c:pt>
                <c:pt idx="6">
                  <c:v>82</c:v>
                </c:pt>
              </c:numCache>
            </c:numRef>
          </c:yVal>
          <c:smooth val="0"/>
        </c:ser>
        <c:ser>
          <c:idx val="8"/>
          <c:order val="2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Tabelle1!$Y$5:$Y$11</c:f>
              <c:numCache>
                <c:formatCode>General</c:formatCode>
                <c:ptCount val="7"/>
                <c:pt idx="0">
                  <c:v>736</c:v>
                </c:pt>
                <c:pt idx="1">
                  <c:v>331</c:v>
                </c:pt>
                <c:pt idx="2">
                  <c:v>143</c:v>
                </c:pt>
                <c:pt idx="3">
                  <c:v>105</c:v>
                </c:pt>
                <c:pt idx="4">
                  <c:v>85</c:v>
                </c:pt>
                <c:pt idx="5">
                  <c:v>77</c:v>
                </c:pt>
                <c:pt idx="6">
                  <c:v>78</c:v>
                </c:pt>
              </c:numCache>
            </c:numRef>
          </c:yVal>
          <c:smooth val="0"/>
        </c:ser>
        <c:ser>
          <c:idx val="9"/>
          <c:order val="3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Tabelle1!$Z$5:$Z$11</c:f>
              <c:numCache>
                <c:formatCode>General</c:formatCode>
                <c:ptCount val="7"/>
                <c:pt idx="0">
                  <c:v>735</c:v>
                </c:pt>
                <c:pt idx="1">
                  <c:v>308</c:v>
                </c:pt>
                <c:pt idx="2">
                  <c:v>144</c:v>
                </c:pt>
                <c:pt idx="3">
                  <c:v>106</c:v>
                </c:pt>
                <c:pt idx="4">
                  <c:v>86</c:v>
                </c:pt>
                <c:pt idx="5">
                  <c:v>75</c:v>
                </c:pt>
                <c:pt idx="6">
                  <c:v>73</c:v>
                </c:pt>
              </c:numCache>
            </c:numRef>
          </c:yVal>
          <c:smooth val="0"/>
        </c:ser>
        <c:ser>
          <c:idx val="10"/>
          <c:order val="4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solidFill>
                  <a:srgbClr val="F6A800"/>
                </a:solidFill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Tabelle1!$AA$5:$AA$11</c:f>
              <c:numCache>
                <c:formatCode>General</c:formatCode>
                <c:ptCount val="7"/>
                <c:pt idx="0">
                  <c:v>738</c:v>
                </c:pt>
                <c:pt idx="1">
                  <c:v>307</c:v>
                </c:pt>
                <c:pt idx="2">
                  <c:v>141</c:v>
                </c:pt>
                <c:pt idx="3">
                  <c:v>107</c:v>
                </c:pt>
                <c:pt idx="4">
                  <c:v>89</c:v>
                </c:pt>
                <c:pt idx="5">
                  <c:v>72</c:v>
                </c:pt>
                <c:pt idx="6">
                  <c:v>75</c:v>
                </c:pt>
              </c:numCache>
            </c:numRef>
          </c:yVal>
          <c:smooth val="0"/>
        </c:ser>
        <c:ser>
          <c:idx val="11"/>
          <c:order val="5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Tabelle1!$AB$5:$AB$11</c:f>
              <c:numCache>
                <c:formatCode>General</c:formatCode>
                <c:ptCount val="7"/>
                <c:pt idx="0">
                  <c:v>733</c:v>
                </c:pt>
                <c:pt idx="1">
                  <c:v>304</c:v>
                </c:pt>
                <c:pt idx="2">
                  <c:v>142</c:v>
                </c:pt>
                <c:pt idx="3">
                  <c:v>103</c:v>
                </c:pt>
                <c:pt idx="4">
                  <c:v>85</c:v>
                </c:pt>
                <c:pt idx="5">
                  <c:v>77</c:v>
                </c:pt>
                <c:pt idx="6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1952"/>
        <c:axId val="207630384"/>
      </c:scatterChart>
      <c:valAx>
        <c:axId val="2076319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630384"/>
        <c:crosses val="autoZero"/>
        <c:crossBetween val="midCat"/>
      </c:valAx>
      <c:valAx>
        <c:axId val="2076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Runtime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63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Flink vs Spark - scaling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Flink Average</c:v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Tabelle1!$P$5:$P$11</c:f>
              <c:numCache>
                <c:formatCode>General</c:formatCode>
                <c:ptCount val="7"/>
                <c:pt idx="0">
                  <c:v>74.8</c:v>
                </c:pt>
                <c:pt idx="1">
                  <c:v>50</c:v>
                </c:pt>
                <c:pt idx="2">
                  <c:v>30.2</c:v>
                </c:pt>
                <c:pt idx="3">
                  <c:v>24.2</c:v>
                </c:pt>
                <c:pt idx="4">
                  <c:v>19.600000000000001</c:v>
                </c:pt>
                <c:pt idx="5">
                  <c:v>16.600000000000001</c:v>
                </c:pt>
                <c:pt idx="6">
                  <c:v>20.2</c:v>
                </c:pt>
              </c:numCache>
            </c:numRef>
          </c:yVal>
          <c:smooth val="0"/>
        </c:ser>
        <c:ser>
          <c:idx val="1"/>
          <c:order val="1"/>
          <c:tx>
            <c:v>Flink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Tabelle1!$Q$5:$Q$11</c:f>
              <c:numCache>
                <c:formatCode>General</c:formatCode>
                <c:ptCount val="7"/>
                <c:pt idx="0">
                  <c:v>71</c:v>
                </c:pt>
                <c:pt idx="1">
                  <c:v>49</c:v>
                </c:pt>
                <c:pt idx="2">
                  <c:v>28</c:v>
                </c:pt>
                <c:pt idx="3">
                  <c:v>26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Tabelle1!$R$5:$R$11</c:f>
              <c:numCache>
                <c:formatCode>General</c:formatCode>
                <c:ptCount val="7"/>
                <c:pt idx="0">
                  <c:v>73</c:v>
                </c:pt>
                <c:pt idx="1">
                  <c:v>52</c:v>
                </c:pt>
                <c:pt idx="2">
                  <c:v>29</c:v>
                </c:pt>
                <c:pt idx="3">
                  <c:v>28</c:v>
                </c:pt>
                <c:pt idx="4">
                  <c:v>22</c:v>
                </c:pt>
                <c:pt idx="5">
                  <c:v>17</c:v>
                </c:pt>
                <c:pt idx="6">
                  <c:v>20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Tabelle1!$S$5:$S$11</c:f>
              <c:numCache>
                <c:formatCode>General</c:formatCode>
                <c:ptCount val="7"/>
                <c:pt idx="0">
                  <c:v>80</c:v>
                </c:pt>
                <c:pt idx="1">
                  <c:v>53</c:v>
                </c:pt>
                <c:pt idx="2">
                  <c:v>29</c:v>
                </c:pt>
                <c:pt idx="3">
                  <c:v>22</c:v>
                </c:pt>
                <c:pt idx="4">
                  <c:v>19</c:v>
                </c:pt>
                <c:pt idx="5">
                  <c:v>15</c:v>
                </c:pt>
                <c:pt idx="6">
                  <c:v>22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Tabelle1!$T$5:$T$11</c:f>
              <c:numCache>
                <c:formatCode>General</c:formatCode>
                <c:ptCount val="7"/>
                <c:pt idx="0">
                  <c:v>74</c:v>
                </c:pt>
                <c:pt idx="1">
                  <c:v>50</c:v>
                </c:pt>
                <c:pt idx="2">
                  <c:v>31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21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Tabelle1!$U$5:$U$11</c:f>
              <c:numCache>
                <c:formatCode>General</c:formatCode>
                <c:ptCount val="7"/>
                <c:pt idx="0">
                  <c:v>76</c:v>
                </c:pt>
                <c:pt idx="1">
                  <c:v>46</c:v>
                </c:pt>
                <c:pt idx="2">
                  <c:v>34</c:v>
                </c:pt>
                <c:pt idx="3">
                  <c:v>23</c:v>
                </c:pt>
                <c:pt idx="4">
                  <c:v>19</c:v>
                </c:pt>
                <c:pt idx="5">
                  <c:v>16</c:v>
                </c:pt>
                <c:pt idx="6">
                  <c:v>20</c:v>
                </c:pt>
              </c:numCache>
            </c:numRef>
          </c:yVal>
          <c:smooth val="0"/>
        </c:ser>
        <c:ser>
          <c:idx val="6"/>
          <c:order val="6"/>
          <c:tx>
            <c:v>Spark Average</c:v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Tabelle1!$W$5:$W$11</c:f>
              <c:numCache>
                <c:formatCode>General</c:formatCode>
                <c:ptCount val="7"/>
                <c:pt idx="0">
                  <c:v>736.8</c:v>
                </c:pt>
                <c:pt idx="1">
                  <c:v>311</c:v>
                </c:pt>
                <c:pt idx="2">
                  <c:v>142.19999999999999</c:v>
                </c:pt>
                <c:pt idx="3">
                  <c:v>104.6</c:v>
                </c:pt>
                <c:pt idx="4">
                  <c:v>86.6</c:v>
                </c:pt>
                <c:pt idx="5">
                  <c:v>76.2</c:v>
                </c:pt>
                <c:pt idx="6">
                  <c:v>77.400000000000006</c:v>
                </c:pt>
              </c:numCache>
            </c:numRef>
          </c:yVal>
          <c:smooth val="0"/>
        </c:ser>
        <c:ser>
          <c:idx val="7"/>
          <c:order val="7"/>
          <c:tx>
            <c:v>Spark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Tabelle1!$X$5:$X$11</c:f>
              <c:numCache>
                <c:formatCode>General</c:formatCode>
                <c:ptCount val="7"/>
                <c:pt idx="0">
                  <c:v>742</c:v>
                </c:pt>
                <c:pt idx="1">
                  <c:v>305</c:v>
                </c:pt>
                <c:pt idx="2">
                  <c:v>141</c:v>
                </c:pt>
                <c:pt idx="3">
                  <c:v>102</c:v>
                </c:pt>
                <c:pt idx="4">
                  <c:v>88</c:v>
                </c:pt>
                <c:pt idx="5">
                  <c:v>80</c:v>
                </c:pt>
                <c:pt idx="6">
                  <c:v>82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Tabelle1!$Y$5:$Y$11</c:f>
              <c:numCache>
                <c:formatCode>General</c:formatCode>
                <c:ptCount val="7"/>
                <c:pt idx="0">
                  <c:v>736</c:v>
                </c:pt>
                <c:pt idx="1">
                  <c:v>331</c:v>
                </c:pt>
                <c:pt idx="2">
                  <c:v>143</c:v>
                </c:pt>
                <c:pt idx="3">
                  <c:v>105</c:v>
                </c:pt>
                <c:pt idx="4">
                  <c:v>85</c:v>
                </c:pt>
                <c:pt idx="5">
                  <c:v>77</c:v>
                </c:pt>
                <c:pt idx="6">
                  <c:v>78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Tabelle1!$Z$5:$Z$11</c:f>
              <c:numCache>
                <c:formatCode>General</c:formatCode>
                <c:ptCount val="7"/>
                <c:pt idx="0">
                  <c:v>735</c:v>
                </c:pt>
                <c:pt idx="1">
                  <c:v>308</c:v>
                </c:pt>
                <c:pt idx="2">
                  <c:v>144</c:v>
                </c:pt>
                <c:pt idx="3">
                  <c:v>106</c:v>
                </c:pt>
                <c:pt idx="4">
                  <c:v>86</c:v>
                </c:pt>
                <c:pt idx="5">
                  <c:v>75</c:v>
                </c:pt>
                <c:pt idx="6">
                  <c:v>73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solidFill>
                  <a:srgbClr val="F6A800"/>
                </a:solidFill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Tabelle1!$AA$5:$AA$11</c:f>
              <c:numCache>
                <c:formatCode>General</c:formatCode>
                <c:ptCount val="7"/>
                <c:pt idx="0">
                  <c:v>738</c:v>
                </c:pt>
                <c:pt idx="1">
                  <c:v>307</c:v>
                </c:pt>
                <c:pt idx="2">
                  <c:v>141</c:v>
                </c:pt>
                <c:pt idx="3">
                  <c:v>107</c:v>
                </c:pt>
                <c:pt idx="4">
                  <c:v>89</c:v>
                </c:pt>
                <c:pt idx="5">
                  <c:v>72</c:v>
                </c:pt>
                <c:pt idx="6">
                  <c:v>75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Tabelle1!$AB$5:$AB$11</c:f>
              <c:numCache>
                <c:formatCode>General</c:formatCode>
                <c:ptCount val="7"/>
                <c:pt idx="0">
                  <c:v>733</c:v>
                </c:pt>
                <c:pt idx="1">
                  <c:v>304</c:v>
                </c:pt>
                <c:pt idx="2">
                  <c:v>142</c:v>
                </c:pt>
                <c:pt idx="3">
                  <c:v>103</c:v>
                </c:pt>
                <c:pt idx="4">
                  <c:v>85</c:v>
                </c:pt>
                <c:pt idx="5">
                  <c:v>77</c:v>
                </c:pt>
                <c:pt idx="6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0248"/>
        <c:axId val="205167696"/>
      </c:scatterChart>
      <c:valAx>
        <c:axId val="1544402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5167696"/>
        <c:crosses val="autoZero"/>
        <c:crossBetween val="midCat"/>
      </c:valAx>
      <c:valAx>
        <c:axId val="2051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Runtime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444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Spark - runtime percentage per program part and #cores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Tabelle1!$A$37</c:f>
              <c:strCache>
                <c:ptCount val="1"/>
                <c:pt idx="0">
                  <c:v>Add degrees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Tabelle1!$B$37:$G$37</c:f>
              <c:numCache>
                <c:formatCode>General</c:formatCode>
                <c:ptCount val="6"/>
                <c:pt idx="0">
                  <c:v>2.1030356449858977E-3</c:v>
                </c:pt>
                <c:pt idx="1">
                  <c:v>5.1715774570467807E-3</c:v>
                </c:pt>
                <c:pt idx="2">
                  <c:v>1.1156915485077685E-2</c:v>
                </c:pt>
                <c:pt idx="3">
                  <c:v>1.548289302728454E-2</c:v>
                </c:pt>
                <c:pt idx="4">
                  <c:v>1.8255240396156138E-2</c:v>
                </c:pt>
                <c:pt idx="5">
                  <c:v>2.0931700767377135E-2</c:v>
                </c:pt>
              </c:numCache>
            </c:numRef>
          </c:val>
        </c:ser>
        <c:ser>
          <c:idx val="1"/>
          <c:order val="1"/>
          <c:tx>
            <c:strRef>
              <c:f>Tabelle1!$A$38</c:f>
              <c:strCache>
                <c:ptCount val="1"/>
                <c:pt idx="0">
                  <c:v>Get triangles</c:v>
                </c:pt>
              </c:strCache>
            </c:strRef>
          </c:tx>
          <c:spPr>
            <a:solidFill>
              <a:srgbClr val="F6A800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Tabelle1!$B$38:$G$38</c:f>
              <c:numCache>
                <c:formatCode>General</c:formatCode>
                <c:ptCount val="6"/>
                <c:pt idx="0">
                  <c:v>0.17572884529112021</c:v>
                </c:pt>
                <c:pt idx="1">
                  <c:v>0.17893679900926462</c:v>
                </c:pt>
                <c:pt idx="2">
                  <c:v>0.24130633762427461</c:v>
                </c:pt>
                <c:pt idx="3">
                  <c:v>0.25840700073879708</c:v>
                </c:pt>
                <c:pt idx="4">
                  <c:v>0.26347558095415086</c:v>
                </c:pt>
                <c:pt idx="5">
                  <c:v>0.28693502636469531</c:v>
                </c:pt>
              </c:numCache>
            </c:numRef>
          </c:val>
        </c:ser>
        <c:ser>
          <c:idx val="2"/>
          <c:order val="2"/>
          <c:tx>
            <c:strRef>
              <c:f>Tabelle1!$A$39</c:f>
              <c:strCache>
                <c:ptCount val="1"/>
                <c:pt idx="0">
                  <c:v>Filter triangles</c:v>
                </c:pt>
              </c:strCache>
            </c:strRef>
          </c:tx>
          <c:spPr>
            <a:solidFill>
              <a:srgbClr val="B1063A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Tabelle1!$B$39:$G$39</c:f>
              <c:numCache>
                <c:formatCode>General</c:formatCode>
                <c:ptCount val="6"/>
                <c:pt idx="0">
                  <c:v>0.81801129178795073</c:v>
                </c:pt>
                <c:pt idx="1">
                  <c:v>0.80509733800085637</c:v>
                </c:pt>
                <c:pt idx="2">
                  <c:v>0.72955131221338132</c:v>
                </c:pt>
                <c:pt idx="3">
                  <c:v>0.70197819274959883</c:v>
                </c:pt>
                <c:pt idx="4">
                  <c:v>0.68844518781796626</c:v>
                </c:pt>
                <c:pt idx="5">
                  <c:v>0.65610300459714921</c:v>
                </c:pt>
              </c:numCache>
            </c:numRef>
          </c:val>
        </c:ser>
        <c:ser>
          <c:idx val="3"/>
          <c:order val="3"/>
          <c:tx>
            <c:strRef>
              <c:f>Tabelle1!$A$40</c:f>
              <c:strCache>
                <c:ptCount val="1"/>
                <c:pt idx="0">
                  <c:v>Connect truss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Tabelle1!$B$40:$G$40</c:f>
              <c:numCache>
                <c:formatCode>General</c:formatCode>
                <c:ptCount val="6"/>
                <c:pt idx="0">
                  <c:v>4.1179742006544487E-3</c:v>
                </c:pt>
                <c:pt idx="1">
                  <c:v>1.0701212468286722E-2</c:v>
                </c:pt>
                <c:pt idx="2">
                  <c:v>1.7798159553723381E-2</c:v>
                </c:pt>
                <c:pt idx="3">
                  <c:v>2.3886709296104761E-2</c:v>
                </c:pt>
                <c:pt idx="4">
                  <c:v>2.9491021441680018E-2</c:v>
                </c:pt>
                <c:pt idx="5">
                  <c:v>3.5674589413218806E-2</c:v>
                </c:pt>
              </c:numCache>
            </c:numRef>
          </c:val>
        </c:ser>
        <c:ser>
          <c:idx val="4"/>
          <c:order val="4"/>
          <c:tx>
            <c:strRef>
              <c:f>Tabelle1!$A$41</c:f>
              <c:strCache>
                <c:ptCount val="1"/>
                <c:pt idx="0">
                  <c:v>Final map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Tabelle1!$B$41:$G$41</c:f>
              <c:numCache>
                <c:formatCode>General</c:formatCode>
                <c:ptCount val="6"/>
                <c:pt idx="0">
                  <c:v>3.8853075288676093E-5</c:v>
                </c:pt>
                <c:pt idx="1">
                  <c:v>9.3073064545622775E-5</c:v>
                </c:pt>
                <c:pt idx="2">
                  <c:v>1.8727512354305807E-4</c:v>
                </c:pt>
                <c:pt idx="3">
                  <c:v>2.4520418821491355E-4</c:v>
                </c:pt>
                <c:pt idx="4">
                  <c:v>3.3296939004653822E-4</c:v>
                </c:pt>
                <c:pt idx="5">
                  <c:v>3.5567885755950952E-4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85968"/>
        <c:axId val="206083664"/>
      </c:barChart>
      <c:catAx>
        <c:axId val="2061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6083664"/>
        <c:crosses val="autoZero"/>
        <c:auto val="1"/>
        <c:lblAlgn val="ctr"/>
        <c:lblOffset val="100"/>
        <c:noMultiLvlLbl val="0"/>
      </c:catAx>
      <c:valAx>
        <c:axId val="206083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61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Spark vs Flink - percantage improvement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Tabelle1!$W$28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Tabelle1!$V$29:$V$35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Tabelle1!$W$29:$W$35</c:f>
              <c:numCache>
                <c:formatCode>General</c:formatCode>
                <c:ptCount val="7"/>
                <c:pt idx="0">
                  <c:v>0</c:v>
                </c:pt>
                <c:pt idx="1">
                  <c:v>0.33155080213903743</c:v>
                </c:pt>
                <c:pt idx="2">
                  <c:v>0.59625668449197855</c:v>
                </c:pt>
                <c:pt idx="3">
                  <c:v>0.67647058823529405</c:v>
                </c:pt>
                <c:pt idx="4">
                  <c:v>0.73796791443850263</c:v>
                </c:pt>
                <c:pt idx="5">
                  <c:v>0.77807486631016043</c:v>
                </c:pt>
                <c:pt idx="6">
                  <c:v>0.72994652406417104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Tabelle1!$X$28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Tabelle1!$V$29:$V$35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Tabelle1!$X$29:$X$35</c:f>
              <c:numCache>
                <c:formatCode>General</c:formatCode>
                <c:ptCount val="7"/>
                <c:pt idx="0">
                  <c:v>0</c:v>
                </c:pt>
                <c:pt idx="1">
                  <c:v>0.57790445168295324</c:v>
                </c:pt>
                <c:pt idx="2">
                  <c:v>0.80700325732899014</c:v>
                </c:pt>
                <c:pt idx="3">
                  <c:v>0.85803474484256237</c:v>
                </c:pt>
                <c:pt idx="4">
                  <c:v>0.88246471226927248</c:v>
                </c:pt>
                <c:pt idx="5">
                  <c:v>0.89657980456026054</c:v>
                </c:pt>
                <c:pt idx="6">
                  <c:v>0.89495114006514664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7456"/>
        <c:axId val="206747840"/>
      </c:scatterChart>
      <c:valAx>
        <c:axId val="20674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6747840"/>
        <c:crosses val="autoZero"/>
        <c:crossBetween val="midCat"/>
      </c:valAx>
      <c:valAx>
        <c:axId val="206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674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Spark vs Flink - Max Truss runtimes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Tabelle1!$E$20</c:f>
              <c:strCache>
                <c:ptCount val="1"/>
                <c:pt idx="0">
                  <c:v>Flink</c:v>
                </c:pt>
              </c:strCache>
            </c:strRef>
          </c:tx>
          <c:spPr>
            <a:solidFill>
              <a:srgbClr val="B1063A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gradFill>
                <a:gsLst>
                  <a:gs pos="73000">
                    <a:srgbClr val="B61647"/>
                  </a:gs>
                  <a:gs pos="63000">
                    <a:srgbClr val="B41042"/>
                  </a:gs>
                  <a:gs pos="68000">
                    <a:srgbClr val="B1063A">
                      <a:alpha val="0"/>
                    </a:srgbClr>
                  </a:gs>
                  <a:gs pos="100000">
                    <a:srgbClr val="B1063A"/>
                  </a:gs>
                </a:gsLst>
                <a:lin ang="5400000" scaled="1"/>
              </a:gradFill>
              <a:ln>
                <a:noFill/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3333333333323146E-4"/>
                  <c:y val="0.10158136482939632"/>
                </c:manualLayout>
              </c:layout>
              <c:tx>
                <c:rich>
                  <a:bodyPr/>
                  <a:lstStyle/>
                  <a:p>
                    <a:fld id="{A3924049-62F7-4BA7-883F-B18201BED092}" type="VALUE">
                      <a:rPr lang="en-US"/>
                      <a:pPr/>
                      <a:t>[WERT]</a:t>
                    </a:fld>
                    <a:r>
                      <a:rPr lang="en-US"/>
                      <a:t>+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Tabelle1!$F$18:$I$18</c:f>
              <c:numCache>
                <c:formatCode>General</c:formatCode>
                <c:ptCount val="4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</c:numCache>
            </c:numRef>
          </c:cat>
          <c:val>
            <c:numRef>
              <c:f>Tabelle1!$F$20:$I$20</c:f>
              <c:numCache>
                <c:formatCode>General</c:formatCode>
                <c:ptCount val="4"/>
                <c:pt idx="0">
                  <c:v>49</c:v>
                </c:pt>
                <c:pt idx="1">
                  <c:v>46</c:v>
                </c:pt>
                <c:pt idx="2">
                  <c:v>104</c:v>
                </c:pt>
                <c:pt idx="3">
                  <c:v>3200</c:v>
                </c:pt>
              </c:numCache>
            </c:numRef>
          </c:val>
        </c:ser>
        <c:ser>
          <c:idx val="0"/>
          <c:order val="1"/>
          <c:tx>
            <c:strRef>
              <c:f>Tabelle1!$E$19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rgbClr val="F6A800"/>
            </a:solidFill>
            <a:ln>
              <a:noFill/>
            </a:ln>
            <a:effectLst/>
          </c:spPr>
          <c:invertIfNegative val="0"/>
          <c:cat>
            <c:numRef>
              <c:f>Tabelle1!$F$18:$I$18</c:f>
              <c:numCache>
                <c:formatCode>General</c:formatCode>
                <c:ptCount val="4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</c:numCache>
            </c:numRef>
          </c:cat>
          <c:val>
            <c:numRef>
              <c:f>Tabelle1!$F$19:$I$19</c:f>
              <c:numCache>
                <c:formatCode>General</c:formatCode>
                <c:ptCount val="4"/>
                <c:pt idx="0">
                  <c:v>92</c:v>
                </c:pt>
                <c:pt idx="1">
                  <c:v>85</c:v>
                </c:pt>
                <c:pt idx="2">
                  <c:v>205</c:v>
                </c:pt>
                <c:pt idx="3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82152"/>
        <c:axId val="207202424"/>
      </c:barChart>
      <c:catAx>
        <c:axId val="20708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Initial k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202424"/>
        <c:crosses val="autoZero"/>
        <c:auto val="1"/>
        <c:lblAlgn val="ctr"/>
        <c:lblOffset val="100"/>
        <c:noMultiLvlLbl val="0"/>
      </c:catAx>
      <c:valAx>
        <c:axId val="20720242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Runtime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08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Spark vs Flink - Truss runtimes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Tabelle1!$O$28</c:f>
              <c:strCache>
                <c:ptCount val="1"/>
                <c:pt idx="0">
                  <c:v>Flink</c:v>
                </c:pt>
              </c:strCache>
            </c:strRef>
          </c:tx>
          <c:spPr>
            <a:solidFill>
              <a:srgbClr val="B1063A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gradFill>
                <a:gsLst>
                  <a:gs pos="73000">
                    <a:srgbClr val="B61647"/>
                  </a:gs>
                  <a:gs pos="63000">
                    <a:srgbClr val="B41042"/>
                  </a:gs>
                  <a:gs pos="68000">
                    <a:srgbClr val="B1063A">
                      <a:alpha val="0"/>
                    </a:srgbClr>
                  </a:gs>
                  <a:gs pos="100000">
                    <a:srgbClr val="B1063A"/>
                  </a:gs>
                </a:gsLst>
                <a:lin ang="5400000" scaled="1"/>
              </a:gradFill>
              <a:ln>
                <a:noFill/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3.3333333333312965E-4"/>
                  <c:y val="0.10621099445902596"/>
                </c:manualLayout>
              </c:layout>
              <c:tx>
                <c:rich>
                  <a:bodyPr/>
                  <a:lstStyle/>
                  <a:p>
                    <a:fld id="{A22E4892-79E8-46AE-8AEB-D9D01FBAC63F}" type="VALUE">
                      <a:rPr lang="en-US"/>
                      <a:pPr/>
                      <a:t>[WERT]</a:t>
                    </a:fld>
                    <a:r>
                      <a:rPr lang="en-US"/>
                      <a:t>+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Tabelle1!$P$27:$T$27</c:f>
              <c:numCache>
                <c:formatCode>General</c:formatCod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</c:numCache>
            </c:numRef>
          </c:cat>
          <c:val>
            <c:numRef>
              <c:f>Tabelle1!$P$28:$T$28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22</c:v>
                </c:pt>
                <c:pt idx="3">
                  <c:v>30</c:v>
                </c:pt>
                <c:pt idx="4">
                  <c:v>3200</c:v>
                </c:pt>
              </c:numCache>
            </c:numRef>
          </c:val>
        </c:ser>
        <c:ser>
          <c:idx val="1"/>
          <c:order val="1"/>
          <c:tx>
            <c:strRef>
              <c:f>Tabelle1!$O$29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rgbClr val="F6A800"/>
            </a:solidFill>
            <a:ln>
              <a:noFill/>
            </a:ln>
            <a:effectLst/>
          </c:spPr>
          <c:invertIfNegative val="0"/>
          <c:cat>
            <c:numRef>
              <c:f>Tabelle1!$P$27:$T$27</c:f>
              <c:numCache>
                <c:formatCode>General</c:formatCode>
                <c:ptCount val="5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</c:numCache>
            </c:numRef>
          </c:cat>
          <c:val>
            <c:numRef>
              <c:f>Tabelle1!$P$29:$T$29</c:f>
              <c:numCache>
                <c:formatCode>General</c:formatCode>
                <c:ptCount val="5"/>
                <c:pt idx="0">
                  <c:v>67</c:v>
                </c:pt>
                <c:pt idx="1">
                  <c:v>76</c:v>
                </c:pt>
                <c:pt idx="2">
                  <c:v>125</c:v>
                </c:pt>
                <c:pt idx="3">
                  <c:v>146</c:v>
                </c:pt>
                <c:pt idx="4">
                  <c:v>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03208"/>
        <c:axId val="207203600"/>
      </c:barChart>
      <c:catAx>
        <c:axId val="20720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203600"/>
        <c:crosses val="autoZero"/>
        <c:auto val="1"/>
        <c:lblAlgn val="ctr"/>
        <c:lblOffset val="100"/>
        <c:noMultiLvlLbl val="0"/>
      </c:catAx>
      <c:valAx>
        <c:axId val="207203600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Runtime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20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Spark vs Flink - relative speedup compared to 10 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Tabelle1!$AE$56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rgbClr val="B1063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Tabelle1!$AD$57:$AD$63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Tabelle1!$AE$57:$AE$63</c:f>
              <c:numCache>
                <c:formatCode>General</c:formatCode>
                <c:ptCount val="7"/>
                <c:pt idx="0">
                  <c:v>0.2219251336898396</c:v>
                </c:pt>
                <c:pt idx="1">
                  <c:v>0.33200000000000002</c:v>
                </c:pt>
                <c:pt idx="2">
                  <c:v>0.54966887417218546</c:v>
                </c:pt>
                <c:pt idx="3">
                  <c:v>0.68595041322314054</c:v>
                </c:pt>
                <c:pt idx="4">
                  <c:v>0.84693877551020413</c:v>
                </c:pt>
                <c:pt idx="5">
                  <c:v>1</c:v>
                </c:pt>
                <c:pt idx="6">
                  <c:v>0.82178217821782185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Tabelle1!$AF$56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Tabelle1!$AD$57:$AD$63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Tabelle1!$AF$57:$AF$63</c:f>
              <c:numCache>
                <c:formatCode>General</c:formatCode>
                <c:ptCount val="7"/>
                <c:pt idx="0">
                  <c:v>0.10342019543973942</c:v>
                </c:pt>
                <c:pt idx="1">
                  <c:v>0.24501607717041801</c:v>
                </c:pt>
                <c:pt idx="2">
                  <c:v>0.5358649789029537</c:v>
                </c:pt>
                <c:pt idx="3">
                  <c:v>0.72848948374761002</c:v>
                </c:pt>
                <c:pt idx="4">
                  <c:v>0.8799076212471133</c:v>
                </c:pt>
                <c:pt idx="5">
                  <c:v>1</c:v>
                </c:pt>
                <c:pt idx="6">
                  <c:v>0.98449612403100772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Tabelle1!$AG$56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</c:dPt>
          <c:xVal>
            <c:numRef>
              <c:f>Tabelle1!$AD$57:$AD$63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Tabelle1!$AG$57:$AG$63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2032"/>
        <c:axId val="207201640"/>
      </c:scatterChart>
      <c:valAx>
        <c:axId val="2072020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201640"/>
        <c:crosses val="autoZero"/>
        <c:crossBetween val="midCat"/>
      </c:valAx>
      <c:valAx>
        <c:axId val="20720164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relative speedup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20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Flink - runtime percentage per program part and #cores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Tabelle1!$A$59</c:f>
              <c:strCache>
                <c:ptCount val="1"/>
                <c:pt idx="0">
                  <c:v>Add degrees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Tabelle1!$B$58:$G$58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Tabelle1!$B$59:$G$59</c:f>
              <c:numCache>
                <c:formatCode>General</c:formatCode>
                <c:ptCount val="6"/>
                <c:pt idx="0">
                  <c:v>0.55614406779661019</c:v>
                </c:pt>
                <c:pt idx="1">
                  <c:v>0.47688921496698455</c:v>
                </c:pt>
                <c:pt idx="2">
                  <c:v>0.47509829619921362</c:v>
                </c:pt>
                <c:pt idx="3">
                  <c:v>0.48342541436464093</c:v>
                </c:pt>
                <c:pt idx="4">
                  <c:v>0.45896328293736505</c:v>
                </c:pt>
                <c:pt idx="5">
                  <c:v>0.49954586739327883</c:v>
                </c:pt>
              </c:numCache>
            </c:numRef>
          </c:val>
        </c:ser>
        <c:ser>
          <c:idx val="1"/>
          <c:order val="1"/>
          <c:tx>
            <c:strRef>
              <c:f>Tabelle1!$A$60</c:f>
              <c:strCache>
                <c:ptCount val="1"/>
                <c:pt idx="0">
                  <c:v>Get + filter triangles</c:v>
                </c:pt>
              </c:strCache>
            </c:strRef>
          </c:tx>
          <c:spPr>
            <a:solidFill>
              <a:srgbClr val="E05F00"/>
            </a:solidFill>
            <a:ln>
              <a:noFill/>
            </a:ln>
            <a:effectLst/>
          </c:spPr>
          <c:invertIfNegative val="0"/>
          <c:cat>
            <c:strRef>
              <c:f>Tabelle1!$B$58:$G$58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Tabelle1!$B$60:$G$60</c:f>
              <c:numCache>
                <c:formatCode>General</c:formatCode>
                <c:ptCount val="6"/>
                <c:pt idx="0">
                  <c:v>0.42372881355932207</c:v>
                </c:pt>
                <c:pt idx="1">
                  <c:v>0.49523110785033014</c:v>
                </c:pt>
                <c:pt idx="2">
                  <c:v>0.47509829619921362</c:v>
                </c:pt>
                <c:pt idx="3">
                  <c:v>0.46040515653775327</c:v>
                </c:pt>
                <c:pt idx="4">
                  <c:v>0.48596112311015122</c:v>
                </c:pt>
                <c:pt idx="5">
                  <c:v>0.45413260672116257</c:v>
                </c:pt>
              </c:numCache>
            </c:numRef>
          </c:val>
        </c:ser>
        <c:ser>
          <c:idx val="2"/>
          <c:order val="2"/>
          <c:tx>
            <c:strRef>
              <c:f>Tabelle1!$A$61</c:f>
              <c:strCache>
                <c:ptCount val="1"/>
                <c:pt idx="0">
                  <c:v>Connect truss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Tabelle1!$B$58:$G$58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Tabelle1!$B$61:$G$61</c:f>
              <c:numCache>
                <c:formatCode>General</c:formatCode>
                <c:ptCount val="6"/>
                <c:pt idx="0">
                  <c:v>1.9862288135593223E-2</c:v>
                </c:pt>
                <c:pt idx="1">
                  <c:v>2.7512839325018339E-2</c:v>
                </c:pt>
                <c:pt idx="2">
                  <c:v>4.9148099606815203E-2</c:v>
                </c:pt>
                <c:pt idx="3">
                  <c:v>5.5248618784530384E-2</c:v>
                </c:pt>
                <c:pt idx="4">
                  <c:v>5.3995680345572353E-2</c:v>
                </c:pt>
                <c:pt idx="5">
                  <c:v>4.5413260672116255E-2</c:v>
                </c:pt>
              </c:numCache>
            </c:numRef>
          </c:val>
        </c:ser>
        <c:ser>
          <c:idx val="3"/>
          <c:order val="3"/>
          <c:tx>
            <c:strRef>
              <c:f>Tabelle1!$A$62</c:f>
              <c:strCache>
                <c:ptCount val="1"/>
                <c:pt idx="0">
                  <c:v>Final map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Tabelle1!$B$58:$G$58</c:f>
              <c:strCache>
                <c:ptCount val="6"/>
                <c:pt idx="0">
                  <c:v>1 core</c:v>
                </c:pt>
                <c:pt idx="1">
                  <c:v>2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</c:strCache>
            </c:strRef>
          </c:cat>
          <c:val>
            <c:numRef>
              <c:f>Tabelle1!$B$62:$G$62</c:f>
              <c:numCache>
                <c:formatCode>General</c:formatCode>
                <c:ptCount val="6"/>
                <c:pt idx="0">
                  <c:v>2.6483050847457627E-4</c:v>
                </c:pt>
                <c:pt idx="1">
                  <c:v>3.6683785766691119E-4</c:v>
                </c:pt>
                <c:pt idx="2">
                  <c:v>6.5530799475753605E-4</c:v>
                </c:pt>
                <c:pt idx="3">
                  <c:v>9.2081031307550648E-4</c:v>
                </c:pt>
                <c:pt idx="4">
                  <c:v>1.0799136069114472E-3</c:v>
                </c:pt>
                <c:pt idx="5">
                  <c:v>9.0826521344232523E-4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15152"/>
        <c:axId val="213214760"/>
      </c:barChart>
      <c:catAx>
        <c:axId val="2132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13214760"/>
        <c:crosses val="autoZero"/>
        <c:auto val="1"/>
        <c:lblAlgn val="ctr"/>
        <c:lblOffset val="100"/>
        <c:noMultiLvlLbl val="0"/>
      </c:catAx>
      <c:valAx>
        <c:axId val="213214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132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r>
              <a:rPr lang="en-US"/>
              <a:t>Flink - scaling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Flink Average</c:v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Tabelle1!$P$5:$P$11</c:f>
              <c:numCache>
                <c:formatCode>General</c:formatCode>
                <c:ptCount val="7"/>
                <c:pt idx="0">
                  <c:v>74.8</c:v>
                </c:pt>
                <c:pt idx="1">
                  <c:v>50</c:v>
                </c:pt>
                <c:pt idx="2">
                  <c:v>30.2</c:v>
                </c:pt>
                <c:pt idx="3">
                  <c:v>24.2</c:v>
                </c:pt>
                <c:pt idx="4">
                  <c:v>19.600000000000001</c:v>
                </c:pt>
                <c:pt idx="5">
                  <c:v>16.600000000000001</c:v>
                </c:pt>
                <c:pt idx="6">
                  <c:v>20.2</c:v>
                </c:pt>
              </c:numCache>
            </c:numRef>
          </c:yVal>
          <c:smooth val="0"/>
        </c:ser>
        <c:ser>
          <c:idx val="1"/>
          <c:order val="1"/>
          <c:tx>
            <c:v>Flink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Tabelle1!$Q$5:$Q$11</c:f>
              <c:numCache>
                <c:formatCode>General</c:formatCode>
                <c:ptCount val="7"/>
                <c:pt idx="0">
                  <c:v>71</c:v>
                </c:pt>
                <c:pt idx="1">
                  <c:v>49</c:v>
                </c:pt>
                <c:pt idx="2">
                  <c:v>28</c:v>
                </c:pt>
                <c:pt idx="3">
                  <c:v>26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Tabelle1!$R$5:$R$11</c:f>
              <c:numCache>
                <c:formatCode>General</c:formatCode>
                <c:ptCount val="7"/>
                <c:pt idx="0">
                  <c:v>73</c:v>
                </c:pt>
                <c:pt idx="1">
                  <c:v>52</c:v>
                </c:pt>
                <c:pt idx="2">
                  <c:v>29</c:v>
                </c:pt>
                <c:pt idx="3">
                  <c:v>28</c:v>
                </c:pt>
                <c:pt idx="4">
                  <c:v>22</c:v>
                </c:pt>
                <c:pt idx="5">
                  <c:v>17</c:v>
                </c:pt>
                <c:pt idx="6">
                  <c:v>20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Tabelle1!$S$5:$S$11</c:f>
              <c:numCache>
                <c:formatCode>General</c:formatCode>
                <c:ptCount val="7"/>
                <c:pt idx="0">
                  <c:v>80</c:v>
                </c:pt>
                <c:pt idx="1">
                  <c:v>53</c:v>
                </c:pt>
                <c:pt idx="2">
                  <c:v>29</c:v>
                </c:pt>
                <c:pt idx="3">
                  <c:v>22</c:v>
                </c:pt>
                <c:pt idx="4">
                  <c:v>19</c:v>
                </c:pt>
                <c:pt idx="5">
                  <c:v>15</c:v>
                </c:pt>
                <c:pt idx="6">
                  <c:v>22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Tabelle1!$T$5:$T$11</c:f>
              <c:numCache>
                <c:formatCode>General</c:formatCode>
                <c:ptCount val="7"/>
                <c:pt idx="0">
                  <c:v>74</c:v>
                </c:pt>
                <c:pt idx="1">
                  <c:v>50</c:v>
                </c:pt>
                <c:pt idx="2">
                  <c:v>31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21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Tabelle1!$U$5:$U$11</c:f>
              <c:numCache>
                <c:formatCode>General</c:formatCode>
                <c:ptCount val="7"/>
                <c:pt idx="0">
                  <c:v>76</c:v>
                </c:pt>
                <c:pt idx="1">
                  <c:v>46</c:v>
                </c:pt>
                <c:pt idx="2">
                  <c:v>34</c:v>
                </c:pt>
                <c:pt idx="3">
                  <c:v>23</c:v>
                </c:pt>
                <c:pt idx="4">
                  <c:v>19</c:v>
                </c:pt>
                <c:pt idx="5">
                  <c:v>16</c:v>
                </c:pt>
                <c:pt idx="6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32736"/>
        <c:axId val="156737720"/>
      </c:scatterChart>
      <c:valAx>
        <c:axId val="2076327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6737720"/>
        <c:crosses val="autoZero"/>
        <c:crossBetween val="midCat"/>
      </c:valAx>
      <c:valAx>
        <c:axId val="15673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Runtime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763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Segoe UI Light" panose="020B0502040204020203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83820</xdr:colOff>
      <xdr:row>28</xdr:row>
      <xdr:rowOff>156210</xdr:rowOff>
    </xdr:from>
    <xdr:to>
      <xdr:col>38</xdr:col>
      <xdr:colOff>419100</xdr:colOff>
      <xdr:row>50</xdr:row>
      <xdr:rowOff>38100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102894</xdr:colOff>
      <xdr:row>1</xdr:row>
      <xdr:rowOff>60960</xdr:rowOff>
    </xdr:from>
    <xdr:to>
      <xdr:col>38</xdr:col>
      <xdr:colOff>426719</xdr:colOff>
      <xdr:row>28</xdr:row>
      <xdr:rowOff>97536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312420</xdr:colOff>
      <xdr:row>31</xdr:row>
      <xdr:rowOff>160020</xdr:rowOff>
    </xdr:from>
    <xdr:to>
      <xdr:col>14</xdr:col>
      <xdr:colOff>243840</xdr:colOff>
      <xdr:row>47</xdr:row>
      <xdr:rowOff>139446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278130</xdr:colOff>
      <xdr:row>37</xdr:row>
      <xdr:rowOff>19050</xdr:rowOff>
    </xdr:from>
    <xdr:to>
      <xdr:col>28</xdr:col>
      <xdr:colOff>15240</xdr:colOff>
      <xdr:row>52</xdr:row>
      <xdr:rowOff>19050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</xdr:colOff>
      <xdr:row>9</xdr:row>
      <xdr:rowOff>26670</xdr:rowOff>
    </xdr:from>
    <xdr:to>
      <xdr:col>14</xdr:col>
      <xdr:colOff>624840</xdr:colOff>
      <xdr:row>24</xdr:row>
      <xdr:rowOff>26670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697230</xdr:colOff>
      <xdr:row>29</xdr:row>
      <xdr:rowOff>95250</xdr:rowOff>
    </xdr:from>
    <xdr:to>
      <xdr:col>20</xdr:col>
      <xdr:colOff>514350</xdr:colOff>
      <xdr:row>44</xdr:row>
      <xdr:rowOff>95250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60960</xdr:colOff>
      <xdr:row>53</xdr:row>
      <xdr:rowOff>76200</xdr:rowOff>
    </xdr:from>
    <xdr:to>
      <xdr:col>42</xdr:col>
      <xdr:colOff>396240</xdr:colOff>
      <xdr:row>74</xdr:row>
      <xdr:rowOff>140970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327660</xdr:colOff>
      <xdr:row>48</xdr:row>
      <xdr:rowOff>15240</xdr:rowOff>
    </xdr:from>
    <xdr:to>
      <xdr:col>14</xdr:col>
      <xdr:colOff>259080</xdr:colOff>
      <xdr:row>63</xdr:row>
      <xdr:rowOff>177546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777240</xdr:colOff>
      <xdr:row>1</xdr:row>
      <xdr:rowOff>106680</xdr:rowOff>
    </xdr:from>
    <xdr:to>
      <xdr:col>48</xdr:col>
      <xdr:colOff>308585</xdr:colOff>
      <xdr:row>28</xdr:row>
      <xdr:rowOff>143256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779319</xdr:colOff>
      <xdr:row>29</xdr:row>
      <xdr:rowOff>153093</xdr:rowOff>
    </xdr:from>
    <xdr:to>
      <xdr:col>48</xdr:col>
      <xdr:colOff>313435</xdr:colOff>
      <xdr:row>57</xdr:row>
      <xdr:rowOff>9560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3"/>
  <sheetViews>
    <sheetView tabSelected="1" topLeftCell="A7" zoomScale="70" zoomScaleNormal="70" workbookViewId="0">
      <selection activeCell="AB59" sqref="AB59"/>
    </sheetView>
  </sheetViews>
  <sheetFormatPr baseColWidth="10" defaultRowHeight="14.4" x14ac:dyDescent="0.3"/>
  <cols>
    <col min="1" max="1" width="11.5546875" style="2"/>
  </cols>
  <sheetData>
    <row r="1" spans="1:52" x14ac:dyDescent="0.3">
      <c r="A1" s="2" t="s">
        <v>0</v>
      </c>
      <c r="AN1" t="s">
        <v>40</v>
      </c>
    </row>
    <row r="2" spans="1:52" x14ac:dyDescent="0.3"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Z2" t="s">
        <v>45</v>
      </c>
    </row>
    <row r="3" spans="1:52" x14ac:dyDescent="0.3">
      <c r="A3" s="2" t="s">
        <v>3</v>
      </c>
      <c r="H3" s="2" t="s">
        <v>4</v>
      </c>
      <c r="K3" s="2" t="s">
        <v>12</v>
      </c>
      <c r="O3" s="2" t="s">
        <v>13</v>
      </c>
      <c r="Q3" s="2" t="s">
        <v>14</v>
      </c>
      <c r="X3" s="2" t="s">
        <v>14</v>
      </c>
    </row>
    <row r="4" spans="1:52" s="2" customFormat="1" x14ac:dyDescent="0.3">
      <c r="A4" s="2" t="s">
        <v>2</v>
      </c>
      <c r="B4" s="2">
        <v>5</v>
      </c>
      <c r="C4" s="2">
        <v>8</v>
      </c>
      <c r="D4" s="2">
        <v>10</v>
      </c>
      <c r="E4" s="2">
        <v>20</v>
      </c>
      <c r="F4" s="2">
        <v>40</v>
      </c>
      <c r="H4" s="2" t="s">
        <v>2</v>
      </c>
      <c r="I4" s="2">
        <v>40</v>
      </c>
      <c r="K4" s="2" t="s">
        <v>2</v>
      </c>
      <c r="L4" s="2">
        <v>40</v>
      </c>
      <c r="O4" s="2" t="s">
        <v>1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W4" s="2" t="s">
        <v>15</v>
      </c>
      <c r="X4" s="2" t="s">
        <v>16</v>
      </c>
      <c r="Y4" s="2" t="s">
        <v>17</v>
      </c>
      <c r="Z4" s="2" t="s">
        <v>18</v>
      </c>
      <c r="AA4" s="2" t="s">
        <v>19</v>
      </c>
      <c r="AB4" s="2" t="s">
        <v>20</v>
      </c>
    </row>
    <row r="5" spans="1:52" x14ac:dyDescent="0.3">
      <c r="A5" s="2">
        <v>1</v>
      </c>
      <c r="E5">
        <v>77</v>
      </c>
      <c r="H5" s="2">
        <v>1</v>
      </c>
      <c r="K5" s="2">
        <v>1</v>
      </c>
      <c r="L5" s="1">
        <v>3200</v>
      </c>
      <c r="O5" s="2">
        <v>1</v>
      </c>
      <c r="P5">
        <f>AVERAGE(Q5:U5)</f>
        <v>74.8</v>
      </c>
      <c r="Q5" s="3">
        <v>71</v>
      </c>
      <c r="R5" s="3">
        <v>73</v>
      </c>
      <c r="S5" s="3">
        <v>80</v>
      </c>
      <c r="T5" s="3">
        <v>74</v>
      </c>
      <c r="U5" s="3">
        <v>76</v>
      </c>
      <c r="V5" s="2"/>
      <c r="W5">
        <f>AVERAGE(X5:AB5)</f>
        <v>736.8</v>
      </c>
      <c r="X5">
        <v>742</v>
      </c>
      <c r="Y5">
        <v>736</v>
      </c>
      <c r="Z5">
        <v>735</v>
      </c>
      <c r="AA5">
        <v>738</v>
      </c>
      <c r="AB5">
        <v>733</v>
      </c>
    </row>
    <row r="6" spans="1:52" x14ac:dyDescent="0.3">
      <c r="A6" s="2">
        <v>2</v>
      </c>
      <c r="E6">
        <v>51</v>
      </c>
      <c r="H6" s="2">
        <v>2</v>
      </c>
      <c r="K6" s="2">
        <v>2</v>
      </c>
      <c r="L6" s="1">
        <v>3200</v>
      </c>
      <c r="O6" s="2">
        <v>2</v>
      </c>
      <c r="P6">
        <f t="shared" ref="P6:P7" si="0">AVERAGE(Q6:U6)</f>
        <v>50</v>
      </c>
      <c r="Q6">
        <v>49</v>
      </c>
      <c r="R6">
        <v>52</v>
      </c>
      <c r="S6">
        <v>53</v>
      </c>
      <c r="T6">
        <v>50</v>
      </c>
      <c r="U6">
        <v>46</v>
      </c>
      <c r="V6" s="2"/>
      <c r="W6">
        <f t="shared" ref="W6" si="1">AVERAGE(X6:AB6)</f>
        <v>311</v>
      </c>
      <c r="X6">
        <v>305</v>
      </c>
      <c r="Y6">
        <v>331</v>
      </c>
      <c r="Z6">
        <v>308</v>
      </c>
      <c r="AA6">
        <v>307</v>
      </c>
      <c r="AB6">
        <v>304</v>
      </c>
    </row>
    <row r="7" spans="1:52" x14ac:dyDescent="0.3">
      <c r="A7" s="2">
        <v>5</v>
      </c>
      <c r="E7">
        <v>22</v>
      </c>
      <c r="H7" s="2">
        <v>5</v>
      </c>
      <c r="K7" s="2">
        <v>5</v>
      </c>
      <c r="L7">
        <v>121</v>
      </c>
      <c r="O7" s="2">
        <v>4</v>
      </c>
      <c r="P7">
        <f t="shared" si="0"/>
        <v>30.2</v>
      </c>
      <c r="Q7">
        <v>28</v>
      </c>
      <c r="R7">
        <v>29</v>
      </c>
      <c r="S7">
        <v>29</v>
      </c>
      <c r="T7">
        <v>31</v>
      </c>
      <c r="U7">
        <v>34</v>
      </c>
      <c r="V7" s="2"/>
      <c r="W7">
        <f>AVERAGE(X7:AB7)</f>
        <v>142.19999999999999</v>
      </c>
      <c r="X7">
        <v>141</v>
      </c>
      <c r="Y7">
        <v>143</v>
      </c>
      <c r="Z7">
        <v>144</v>
      </c>
      <c r="AA7">
        <v>141</v>
      </c>
      <c r="AB7">
        <v>142</v>
      </c>
    </row>
    <row r="8" spans="1:52" x14ac:dyDescent="0.3">
      <c r="A8" s="2">
        <v>10</v>
      </c>
      <c r="B8" s="1">
        <v>3200</v>
      </c>
      <c r="C8">
        <v>30</v>
      </c>
      <c r="D8">
        <v>22</v>
      </c>
      <c r="E8">
        <v>16</v>
      </c>
      <c r="F8">
        <v>19</v>
      </c>
      <c r="H8" s="2">
        <v>10</v>
      </c>
      <c r="I8" s="1">
        <v>900</v>
      </c>
      <c r="K8" s="2">
        <v>10</v>
      </c>
      <c r="L8" s="4">
        <v>99</v>
      </c>
      <c r="O8" s="2">
        <v>6</v>
      </c>
      <c r="P8">
        <f>AVERAGE(Q8:U8)</f>
        <v>24.2</v>
      </c>
      <c r="Q8">
        <v>26</v>
      </c>
      <c r="R8">
        <v>28</v>
      </c>
      <c r="S8">
        <v>22</v>
      </c>
      <c r="T8">
        <v>22</v>
      </c>
      <c r="U8">
        <v>23</v>
      </c>
      <c r="V8" s="2"/>
      <c r="W8">
        <f>AVERAGE(X8:AB8)</f>
        <v>104.6</v>
      </c>
      <c r="X8" s="5">
        <v>102</v>
      </c>
      <c r="Y8" s="5">
        <v>105</v>
      </c>
      <c r="Z8" s="5">
        <v>106</v>
      </c>
      <c r="AA8" s="5">
        <v>107</v>
      </c>
      <c r="AB8" s="5">
        <v>103</v>
      </c>
    </row>
    <row r="9" spans="1:52" x14ac:dyDescent="0.3">
      <c r="A9" s="2">
        <v>20</v>
      </c>
      <c r="E9">
        <v>19</v>
      </c>
      <c r="F9">
        <v>30</v>
      </c>
      <c r="H9" s="2">
        <v>20</v>
      </c>
      <c r="I9">
        <v>382</v>
      </c>
      <c r="K9" s="2">
        <v>20</v>
      </c>
      <c r="L9">
        <v>71</v>
      </c>
      <c r="O9" s="2">
        <v>8</v>
      </c>
      <c r="P9">
        <f>AVERAGE(Q9:U9)</f>
        <v>19.600000000000001</v>
      </c>
      <c r="Q9">
        <v>20</v>
      </c>
      <c r="R9">
        <v>22</v>
      </c>
      <c r="S9">
        <v>19</v>
      </c>
      <c r="T9">
        <v>18</v>
      </c>
      <c r="U9">
        <v>19</v>
      </c>
      <c r="V9" s="2"/>
      <c r="W9">
        <f>AVERAGE(X9:AB9)</f>
        <v>86.6</v>
      </c>
      <c r="X9" s="5">
        <v>88</v>
      </c>
      <c r="Y9" s="5">
        <v>85</v>
      </c>
      <c r="Z9" s="5">
        <v>86</v>
      </c>
      <c r="AA9" s="5">
        <v>89</v>
      </c>
      <c r="AB9" s="5">
        <v>85</v>
      </c>
    </row>
    <row r="10" spans="1:52" x14ac:dyDescent="0.3">
      <c r="A10" s="2" t="s">
        <v>39</v>
      </c>
      <c r="B10">
        <v>784</v>
      </c>
      <c r="C10">
        <v>146</v>
      </c>
      <c r="D10">
        <v>125</v>
      </c>
      <c r="E10">
        <v>76</v>
      </c>
      <c r="F10">
        <v>67</v>
      </c>
      <c r="O10" s="2">
        <v>10</v>
      </c>
      <c r="P10">
        <f>AVERAGE(Q10:U10)</f>
        <v>16.600000000000001</v>
      </c>
      <c r="Q10">
        <v>19</v>
      </c>
      <c r="R10">
        <v>17</v>
      </c>
      <c r="S10">
        <v>15</v>
      </c>
      <c r="T10">
        <v>16</v>
      </c>
      <c r="U10">
        <v>16</v>
      </c>
      <c r="V10" s="2"/>
      <c r="W10">
        <f>AVERAGE(X10:AB10)</f>
        <v>76.2</v>
      </c>
      <c r="X10">
        <v>80</v>
      </c>
      <c r="Y10">
        <v>77</v>
      </c>
      <c r="Z10">
        <v>75</v>
      </c>
      <c r="AA10">
        <v>72</v>
      </c>
      <c r="AB10">
        <v>77</v>
      </c>
    </row>
    <row r="11" spans="1:52" x14ac:dyDescent="0.3">
      <c r="O11" s="2">
        <v>20</v>
      </c>
      <c r="P11">
        <f>AVERAGE(Q11:U11)</f>
        <v>20.2</v>
      </c>
      <c r="Q11">
        <v>18</v>
      </c>
      <c r="R11">
        <v>20</v>
      </c>
      <c r="S11">
        <v>22</v>
      </c>
      <c r="T11">
        <v>21</v>
      </c>
      <c r="U11">
        <v>20</v>
      </c>
      <c r="V11" s="2"/>
      <c r="W11">
        <f>AVERAGE(X11:AB11)</f>
        <v>77.400000000000006</v>
      </c>
      <c r="X11">
        <v>82</v>
      </c>
      <c r="Y11">
        <v>78</v>
      </c>
      <c r="Z11">
        <v>73</v>
      </c>
      <c r="AA11">
        <v>75</v>
      </c>
      <c r="AB11">
        <v>79</v>
      </c>
    </row>
    <row r="13" spans="1:52" x14ac:dyDescent="0.3">
      <c r="O13" s="2">
        <v>5</v>
      </c>
      <c r="P13">
        <f>AVERAGE(Q13:U13)</f>
        <v>27.4</v>
      </c>
      <c r="Q13">
        <v>27</v>
      </c>
      <c r="R13">
        <v>24</v>
      </c>
      <c r="S13">
        <v>28</v>
      </c>
      <c r="T13">
        <v>28</v>
      </c>
      <c r="U13">
        <v>30</v>
      </c>
    </row>
    <row r="16" spans="1:52" x14ac:dyDescent="0.3">
      <c r="W16" t="s">
        <v>37</v>
      </c>
      <c r="X16" s="2"/>
    </row>
    <row r="17" spans="1:28" x14ac:dyDescent="0.3">
      <c r="A17" s="2" t="s">
        <v>5</v>
      </c>
      <c r="E17" s="6" t="s">
        <v>22</v>
      </c>
      <c r="F17" s="6"/>
      <c r="G17" t="s">
        <v>24</v>
      </c>
      <c r="V17" s="2" t="s">
        <v>1</v>
      </c>
      <c r="W17" s="2" t="s">
        <v>0</v>
      </c>
      <c r="X17" s="2" t="s">
        <v>21</v>
      </c>
      <c r="Y17" s="2" t="s">
        <v>42</v>
      </c>
      <c r="Z17" s="2"/>
      <c r="AB17" s="2"/>
    </row>
    <row r="18" spans="1:28" x14ac:dyDescent="0.3">
      <c r="A18" s="2" t="s">
        <v>3</v>
      </c>
      <c r="E18" s="2" t="s">
        <v>41</v>
      </c>
      <c r="F18" s="2">
        <v>40</v>
      </c>
      <c r="G18" s="2">
        <v>20</v>
      </c>
      <c r="H18" s="2">
        <v>10</v>
      </c>
      <c r="I18" s="2">
        <v>5</v>
      </c>
      <c r="V18" s="2">
        <v>1</v>
      </c>
      <c r="W18">
        <f>$P$5/$P5</f>
        <v>1</v>
      </c>
      <c r="X18">
        <f>$W$5/$W5</f>
        <v>1</v>
      </c>
      <c r="Y18">
        <v>1</v>
      </c>
    </row>
    <row r="19" spans="1:28" x14ac:dyDescent="0.3">
      <c r="A19" s="2" t="s">
        <v>6</v>
      </c>
      <c r="B19" t="s">
        <v>9</v>
      </c>
      <c r="E19" s="2" t="s">
        <v>21</v>
      </c>
      <c r="F19">
        <v>92</v>
      </c>
      <c r="G19">
        <v>85</v>
      </c>
      <c r="H19">
        <v>205</v>
      </c>
      <c r="I19">
        <v>900</v>
      </c>
      <c r="V19" s="2">
        <v>2</v>
      </c>
      <c r="W19">
        <f t="shared" ref="W19:W24" si="2">$P$5/$P6</f>
        <v>1.496</v>
      </c>
      <c r="X19">
        <f t="shared" ref="X19:X24" si="3">$W$5/$W6</f>
        <v>2.3691318327974273</v>
      </c>
      <c r="Y19">
        <v>2</v>
      </c>
    </row>
    <row r="20" spans="1:28" x14ac:dyDescent="0.3">
      <c r="A20" s="2" t="s">
        <v>7</v>
      </c>
      <c r="B20">
        <v>1088</v>
      </c>
      <c r="E20" s="2" t="s">
        <v>0</v>
      </c>
      <c r="F20">
        <v>49</v>
      </c>
      <c r="G20">
        <v>46</v>
      </c>
      <c r="H20">
        <v>104</v>
      </c>
      <c r="I20" s="1">
        <v>3200</v>
      </c>
      <c r="V20" s="2">
        <v>4</v>
      </c>
      <c r="W20">
        <f t="shared" si="2"/>
        <v>2.4768211920529799</v>
      </c>
      <c r="X20">
        <f t="shared" si="3"/>
        <v>5.1814345991561179</v>
      </c>
      <c r="Y20">
        <v>4</v>
      </c>
    </row>
    <row r="21" spans="1:28" x14ac:dyDescent="0.3">
      <c r="A21" s="2" t="s">
        <v>8</v>
      </c>
      <c r="B21">
        <v>78262</v>
      </c>
      <c r="E21" s="2" t="s">
        <v>46</v>
      </c>
      <c r="G21">
        <v>171</v>
      </c>
      <c r="V21" s="2">
        <v>6</v>
      </c>
      <c r="W21">
        <f t="shared" si="2"/>
        <v>3.0909090909090908</v>
      </c>
      <c r="X21">
        <f t="shared" si="3"/>
        <v>7.0439770554493304</v>
      </c>
      <c r="Y21" s="5">
        <v>6</v>
      </c>
      <c r="Z21" s="5"/>
      <c r="AB21" s="5"/>
    </row>
    <row r="22" spans="1:28" x14ac:dyDescent="0.3">
      <c r="A22" s="2" t="s">
        <v>10</v>
      </c>
      <c r="B22">
        <v>357027</v>
      </c>
      <c r="E22" s="2"/>
      <c r="V22" s="2">
        <v>8</v>
      </c>
      <c r="W22">
        <f t="shared" si="2"/>
        <v>3.8163265306122445</v>
      </c>
      <c r="X22">
        <f t="shared" si="3"/>
        <v>8.5080831408775985</v>
      </c>
      <c r="Y22" s="5">
        <v>8</v>
      </c>
      <c r="Z22" s="5"/>
      <c r="AB22" s="5"/>
    </row>
    <row r="23" spans="1:28" x14ac:dyDescent="0.3">
      <c r="A23" s="2" t="s">
        <v>11</v>
      </c>
      <c r="B23">
        <v>6842</v>
      </c>
      <c r="E23" s="2"/>
      <c r="V23" s="2">
        <v>10</v>
      </c>
      <c r="W23">
        <f t="shared" si="2"/>
        <v>4.5060240963855414</v>
      </c>
      <c r="X23">
        <f t="shared" si="3"/>
        <v>9.669291338582676</v>
      </c>
      <c r="Y23" s="5">
        <v>10</v>
      </c>
    </row>
    <row r="24" spans="1:28" x14ac:dyDescent="0.3">
      <c r="V24" s="2">
        <v>20</v>
      </c>
      <c r="W24">
        <f t="shared" si="2"/>
        <v>3.7029702970297032</v>
      </c>
      <c r="X24">
        <f t="shared" si="3"/>
        <v>9.5193798449612395</v>
      </c>
      <c r="Y24" s="5">
        <v>20</v>
      </c>
    </row>
    <row r="26" spans="1:28" x14ac:dyDescent="0.3">
      <c r="A26" s="2" t="s">
        <v>21</v>
      </c>
      <c r="B26" s="2" t="s">
        <v>21</v>
      </c>
      <c r="C26" s="2" t="s">
        <v>21</v>
      </c>
      <c r="D26" s="2" t="s">
        <v>21</v>
      </c>
      <c r="E26" s="2" t="s">
        <v>21</v>
      </c>
      <c r="F26" s="2" t="s">
        <v>21</v>
      </c>
      <c r="G26" s="2" t="s">
        <v>21</v>
      </c>
    </row>
    <row r="27" spans="1:28" x14ac:dyDescent="0.3">
      <c r="B27" s="2" t="s">
        <v>24</v>
      </c>
      <c r="C27" s="2" t="s">
        <v>26</v>
      </c>
      <c r="D27" s="2" t="s">
        <v>27</v>
      </c>
      <c r="E27" s="2" t="s">
        <v>28</v>
      </c>
      <c r="F27" s="2" t="s">
        <v>29</v>
      </c>
      <c r="G27" s="2" t="s">
        <v>30</v>
      </c>
      <c r="O27" t="s">
        <v>43</v>
      </c>
      <c r="P27" s="2">
        <v>40</v>
      </c>
      <c r="Q27" s="2">
        <v>20</v>
      </c>
      <c r="R27" s="2">
        <v>10</v>
      </c>
      <c r="S27" s="2">
        <v>8</v>
      </c>
      <c r="T27" s="2">
        <v>5</v>
      </c>
      <c r="W27" t="s">
        <v>38</v>
      </c>
      <c r="X27" s="2"/>
    </row>
    <row r="28" spans="1:28" x14ac:dyDescent="0.3">
      <c r="A28" s="2" t="s">
        <v>32</v>
      </c>
      <c r="B28">
        <f>AVERAGE(1548,1580,1580)</f>
        <v>1569.3333333333333</v>
      </c>
      <c r="C28">
        <f>AVERAGE(1553,1596,1566)</f>
        <v>1571.6666666666667</v>
      </c>
      <c r="D28">
        <f>AVERAGE(1738,1551,1573)</f>
        <v>1620.6666666666667</v>
      </c>
      <c r="E28">
        <f>AVERAGE(1592,1587,1587)</f>
        <v>1588.6666666666667</v>
      </c>
      <c r="F28">
        <f>AVERAGE(1594,1549,1580)</f>
        <v>1574.3333333333333</v>
      </c>
      <c r="G28">
        <f>AVERAGE(1555,1549,1551)</f>
        <v>1551.6666666666667</v>
      </c>
      <c r="O28" t="s">
        <v>0</v>
      </c>
      <c r="P28">
        <v>19</v>
      </c>
      <c r="Q28">
        <v>16</v>
      </c>
      <c r="R28">
        <v>22</v>
      </c>
      <c r="S28">
        <v>30</v>
      </c>
      <c r="T28" s="1">
        <v>3200</v>
      </c>
      <c r="V28" s="2" t="s">
        <v>1</v>
      </c>
      <c r="W28" s="2" t="s">
        <v>0</v>
      </c>
      <c r="X28" s="2" t="s">
        <v>21</v>
      </c>
      <c r="Y28" s="2"/>
    </row>
    <row r="29" spans="1:28" x14ac:dyDescent="0.3">
      <c r="A29" s="2" t="s">
        <v>33</v>
      </c>
      <c r="B29">
        <f>AVERAGE(22803,21663,20072)</f>
        <v>21512.666666666668</v>
      </c>
      <c r="C29">
        <f>AVERAGE(23943,21895,22213)</f>
        <v>22683.666666666668</v>
      </c>
      <c r="D29">
        <f>AVERAGE(24726,27698,28722)</f>
        <v>27048.666666666668</v>
      </c>
      <c r="E29">
        <f>AVERAGE(32152,35391,35538)</f>
        <v>34360.333333333336</v>
      </c>
      <c r="F29">
        <f>AVERAGE(28013,73929,61474)</f>
        <v>54472</v>
      </c>
      <c r="G29">
        <f>AVERAGE(128387,130275,130308)</f>
        <v>129656.66666666667</v>
      </c>
      <c r="O29" t="s">
        <v>21</v>
      </c>
      <c r="P29">
        <v>67</v>
      </c>
      <c r="Q29">
        <v>76</v>
      </c>
      <c r="R29">
        <v>125</v>
      </c>
      <c r="S29">
        <v>146</v>
      </c>
      <c r="T29">
        <v>784</v>
      </c>
      <c r="V29" s="2">
        <v>1</v>
      </c>
      <c r="W29">
        <f>($P$5-$P5)/$P$5</f>
        <v>0</v>
      </c>
      <c r="X29">
        <f>($W$5-$W5)/$W$5</f>
        <v>0</v>
      </c>
    </row>
    <row r="30" spans="1:28" x14ac:dyDescent="0.3">
      <c r="A30" s="2" t="s">
        <v>34</v>
      </c>
      <c r="B30">
        <f>AVERAGE(50133,49282,48157)</f>
        <v>49190.666666666664</v>
      </c>
      <c r="C30">
        <f>AVERAGE(59691,58594,59528)</f>
        <v>59271</v>
      </c>
      <c r="D30">
        <f>AVERAGE(73494,73457,73487)</f>
        <v>73479.333333333328</v>
      </c>
      <c r="E30">
        <f>AVERAGE(104423,103016,104210)</f>
        <v>103883</v>
      </c>
      <c r="F30">
        <f>AVERAGE(241654,251633,241977)</f>
        <v>245088</v>
      </c>
      <c r="G30">
        <f>AVERAGE(608923,601261,600457)</f>
        <v>603547</v>
      </c>
      <c r="V30" s="2">
        <v>2</v>
      </c>
      <c r="W30">
        <f t="shared" ref="W30:W35" si="4">($P$5-$P6)/$P$5</f>
        <v>0.33155080213903743</v>
      </c>
      <c r="X30">
        <f t="shared" ref="X30:X35" si="5">($W$5-$W6)/$W$5</f>
        <v>0.57790445168295324</v>
      </c>
    </row>
    <row r="31" spans="1:28" x14ac:dyDescent="0.3">
      <c r="A31" s="2" t="s">
        <v>35</v>
      </c>
      <c r="B31">
        <f>AVERAGE(2806,2635,2583)</f>
        <v>2674.6666666666665</v>
      </c>
      <c r="C31">
        <f>AVERAGE(2474,2508,2635)</f>
        <v>2539</v>
      </c>
      <c r="D31">
        <f>AVERAGE(2474,2462,2565)</f>
        <v>2500.3333333333335</v>
      </c>
      <c r="E31">
        <f>AVERAGE(2540,2546,2517)</f>
        <v>2534.3333333333335</v>
      </c>
      <c r="F31">
        <f>AVERAGE(3444,3462,2867)</f>
        <v>3257.6666666666665</v>
      </c>
      <c r="G31">
        <f>AVERAGE(3104,3026,2985)</f>
        <v>3038.3333333333335</v>
      </c>
      <c r="V31" s="2">
        <v>4</v>
      </c>
      <c r="W31">
        <f t="shared" si="4"/>
        <v>0.59625668449197855</v>
      </c>
      <c r="X31">
        <f t="shared" si="5"/>
        <v>0.80700325732899014</v>
      </c>
    </row>
    <row r="32" spans="1:28" x14ac:dyDescent="0.3">
      <c r="A32" s="2" t="s">
        <v>36</v>
      </c>
      <c r="B32">
        <f>AVERAGE(26,27,27)</f>
        <v>26.666666666666668</v>
      </c>
      <c r="C32">
        <f>AVERAGE(34,26,26)</f>
        <v>28.666666666666668</v>
      </c>
      <c r="D32">
        <f>AVERAGE(25,26,26)</f>
        <v>25.666666666666668</v>
      </c>
      <c r="E32">
        <f>AVERAGE(26,26,28)</f>
        <v>26.666666666666668</v>
      </c>
      <c r="F32">
        <f>AVERAGE(24,28,33)</f>
        <v>28.333333333333332</v>
      </c>
      <c r="G32">
        <f>AVERAGE(26,34,26)</f>
        <v>28.666666666666668</v>
      </c>
      <c r="V32" s="2">
        <v>6</v>
      </c>
      <c r="W32">
        <f t="shared" si="4"/>
        <v>0.67647058823529405</v>
      </c>
      <c r="X32">
        <f t="shared" si="5"/>
        <v>0.85803474484256237</v>
      </c>
      <c r="Y32" s="5"/>
    </row>
    <row r="33" spans="1:25" x14ac:dyDescent="0.3">
      <c r="A33" s="2" t="s">
        <v>25</v>
      </c>
      <c r="B33">
        <f>SUM(B28:B32)</f>
        <v>74974</v>
      </c>
      <c r="C33">
        <f t="shared" ref="C33:G33" si="6">SUM(C28:C32)</f>
        <v>86094.000000000015</v>
      </c>
      <c r="D33">
        <f t="shared" si="6"/>
        <v>104674.66666666666</v>
      </c>
      <c r="E33">
        <f t="shared" si="6"/>
        <v>142393</v>
      </c>
      <c r="F33">
        <f t="shared" si="6"/>
        <v>304420.33333333331</v>
      </c>
      <c r="G33">
        <f t="shared" si="6"/>
        <v>737822.33333333337</v>
      </c>
      <c r="V33" s="2">
        <v>8</v>
      </c>
      <c r="W33">
        <f t="shared" si="4"/>
        <v>0.73796791443850263</v>
      </c>
      <c r="X33">
        <f t="shared" si="5"/>
        <v>0.88246471226927248</v>
      </c>
      <c r="Y33" s="5"/>
    </row>
    <row r="34" spans="1:25" x14ac:dyDescent="0.3">
      <c r="V34" s="2">
        <v>10</v>
      </c>
      <c r="W34">
        <f t="shared" si="4"/>
        <v>0.77807486631016043</v>
      </c>
      <c r="X34">
        <f t="shared" si="5"/>
        <v>0.89657980456026054</v>
      </c>
      <c r="Y34" s="5"/>
    </row>
    <row r="35" spans="1:25" x14ac:dyDescent="0.3">
      <c r="A35" s="2" t="s">
        <v>21</v>
      </c>
      <c r="B35" s="2" t="s">
        <v>21</v>
      </c>
      <c r="C35" s="2" t="s">
        <v>21</v>
      </c>
      <c r="D35" s="2" t="s">
        <v>21</v>
      </c>
      <c r="E35" s="2" t="s">
        <v>21</v>
      </c>
      <c r="F35" s="2" t="s">
        <v>21</v>
      </c>
      <c r="G35" s="2" t="s">
        <v>21</v>
      </c>
      <c r="V35" s="2">
        <v>20</v>
      </c>
      <c r="W35">
        <f t="shared" si="4"/>
        <v>0.72994652406417104</v>
      </c>
      <c r="X35">
        <f t="shared" si="5"/>
        <v>0.89495114006514664</v>
      </c>
      <c r="Y35" s="5"/>
    </row>
    <row r="36" spans="1:25" x14ac:dyDescent="0.3">
      <c r="B36" s="2" t="s">
        <v>30</v>
      </c>
      <c r="C36" s="2" t="s">
        <v>29</v>
      </c>
      <c r="D36" s="2" t="s">
        <v>28</v>
      </c>
      <c r="E36" s="2" t="s">
        <v>27</v>
      </c>
      <c r="F36" s="2" t="s">
        <v>26</v>
      </c>
      <c r="G36" s="2" t="s">
        <v>24</v>
      </c>
    </row>
    <row r="37" spans="1:25" x14ac:dyDescent="0.3">
      <c r="A37" s="2" t="s">
        <v>32</v>
      </c>
      <c r="B37">
        <f>G28/G$33</f>
        <v>2.1030356449858977E-3</v>
      </c>
      <c r="C37">
        <f>F28/F$33</f>
        <v>5.1715774570467807E-3</v>
      </c>
      <c r="D37">
        <f>E28/E$33</f>
        <v>1.1156915485077685E-2</v>
      </c>
      <c r="E37">
        <f>D28/D$33</f>
        <v>1.548289302728454E-2</v>
      </c>
      <c r="F37">
        <f>C28/C$33</f>
        <v>1.8255240396156138E-2</v>
      </c>
      <c r="G37">
        <f>B28/B$33</f>
        <v>2.0931700767377135E-2</v>
      </c>
    </row>
    <row r="38" spans="1:25" x14ac:dyDescent="0.3">
      <c r="A38" s="2" t="s">
        <v>33</v>
      </c>
      <c r="B38">
        <f>G29/G$33</f>
        <v>0.17572884529112021</v>
      </c>
      <c r="C38">
        <f>F29/F$33</f>
        <v>0.17893679900926462</v>
      </c>
      <c r="D38">
        <f>E29/E$33</f>
        <v>0.24130633762427461</v>
      </c>
      <c r="E38">
        <f>D29/D$33</f>
        <v>0.25840700073879708</v>
      </c>
      <c r="F38">
        <f>C29/C$33</f>
        <v>0.26347558095415086</v>
      </c>
      <c r="G38">
        <f>B29/B$33</f>
        <v>0.28693502636469531</v>
      </c>
    </row>
    <row r="39" spans="1:25" x14ac:dyDescent="0.3">
      <c r="A39" s="2" t="s">
        <v>34</v>
      </c>
      <c r="B39">
        <f>G30/G$33</f>
        <v>0.81801129178795073</v>
      </c>
      <c r="C39">
        <f>F30/F$33</f>
        <v>0.80509733800085637</v>
      </c>
      <c r="D39">
        <f>E30/E$33</f>
        <v>0.72955131221338132</v>
      </c>
      <c r="E39">
        <f>D30/D$33</f>
        <v>0.70197819274959883</v>
      </c>
      <c r="F39">
        <f>C30/C$33</f>
        <v>0.68844518781796626</v>
      </c>
      <c r="G39">
        <f>B30/B$33</f>
        <v>0.65610300459714921</v>
      </c>
    </row>
    <row r="40" spans="1:25" x14ac:dyDescent="0.3">
      <c r="A40" s="2" t="s">
        <v>35</v>
      </c>
      <c r="B40">
        <f>G31/G$33</f>
        <v>4.1179742006544487E-3</v>
      </c>
      <c r="C40">
        <f>F31/F$33</f>
        <v>1.0701212468286722E-2</v>
      </c>
      <c r="D40">
        <f>E31/E$33</f>
        <v>1.7798159553723381E-2</v>
      </c>
      <c r="E40">
        <f>D31/D$33</f>
        <v>2.3886709296104761E-2</v>
      </c>
      <c r="F40">
        <f>C31/C$33</f>
        <v>2.9491021441680018E-2</v>
      </c>
      <c r="G40">
        <f>B31/B$33</f>
        <v>3.5674589413218806E-2</v>
      </c>
    </row>
    <row r="41" spans="1:25" x14ac:dyDescent="0.3">
      <c r="A41" s="2" t="s">
        <v>36</v>
      </c>
      <c r="B41">
        <f>G32/G$33</f>
        <v>3.8853075288676093E-5</v>
      </c>
      <c r="C41">
        <f>F32/F$33</f>
        <v>9.3073064545622775E-5</v>
      </c>
      <c r="D41">
        <f>E32/E$33</f>
        <v>1.8727512354305807E-4</v>
      </c>
      <c r="E41">
        <f>D32/D$33</f>
        <v>2.4520418821491355E-4</v>
      </c>
      <c r="F41">
        <f>C32/C$33</f>
        <v>3.3296939004653822E-4</v>
      </c>
      <c r="G41">
        <f>B32/B$33</f>
        <v>3.5567885755950952E-4</v>
      </c>
    </row>
    <row r="42" spans="1:25" x14ac:dyDescent="0.3">
      <c r="A42" s="2" t="s">
        <v>25</v>
      </c>
      <c r="B42">
        <f>G33/G$33</f>
        <v>1</v>
      </c>
      <c r="C42">
        <f>F33/F$33</f>
        <v>1</v>
      </c>
      <c r="D42">
        <f>E33/E$33</f>
        <v>1</v>
      </c>
      <c r="E42">
        <f>D33/D$33</f>
        <v>1</v>
      </c>
      <c r="F42">
        <f>C33/C$33</f>
        <v>1</v>
      </c>
      <c r="G42">
        <f>B33/B$33</f>
        <v>1</v>
      </c>
    </row>
    <row r="48" spans="1:25" x14ac:dyDescent="0.3">
      <c r="A48" s="2" t="s">
        <v>0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</row>
    <row r="49" spans="1:33" x14ac:dyDescent="0.3">
      <c r="B49" s="2" t="s">
        <v>24</v>
      </c>
      <c r="C49" s="2" t="s">
        <v>26</v>
      </c>
      <c r="D49" s="2" t="s">
        <v>27</v>
      </c>
      <c r="E49" s="2" t="s">
        <v>28</v>
      </c>
      <c r="F49" s="2" t="s">
        <v>29</v>
      </c>
      <c r="G49" s="2" t="s">
        <v>30</v>
      </c>
    </row>
    <row r="50" spans="1:33" x14ac:dyDescent="0.3">
      <c r="A50" s="2" t="s">
        <v>7</v>
      </c>
      <c r="B50" s="5">
        <v>11</v>
      </c>
      <c r="C50">
        <v>8.5</v>
      </c>
      <c r="D50">
        <v>10.5</v>
      </c>
      <c r="E50">
        <v>14.5</v>
      </c>
      <c r="F50" s="5">
        <v>26</v>
      </c>
      <c r="G50" s="5">
        <v>42</v>
      </c>
    </row>
    <row r="51" spans="1:33" x14ac:dyDescent="0.3">
      <c r="A51" s="2" t="s">
        <v>8</v>
      </c>
      <c r="B51" s="5">
        <v>10</v>
      </c>
      <c r="C51">
        <v>9</v>
      </c>
      <c r="D51">
        <v>10</v>
      </c>
      <c r="E51">
        <v>14.5</v>
      </c>
      <c r="F51" s="5">
        <v>27</v>
      </c>
      <c r="G51" s="5">
        <v>32</v>
      </c>
    </row>
    <row r="52" spans="1:33" x14ac:dyDescent="0.3">
      <c r="A52" s="2" t="s">
        <v>23</v>
      </c>
      <c r="B52" s="5">
        <v>1</v>
      </c>
      <c r="C52">
        <v>1</v>
      </c>
      <c r="D52">
        <v>1.2</v>
      </c>
      <c r="E52">
        <v>1.5</v>
      </c>
      <c r="F52" s="5">
        <v>1.5</v>
      </c>
      <c r="G52" s="5">
        <v>1.5</v>
      </c>
    </row>
    <row r="53" spans="1:33" x14ac:dyDescent="0.3">
      <c r="A53" s="2" t="s">
        <v>31</v>
      </c>
      <c r="B53" s="5">
        <v>0.02</v>
      </c>
      <c r="C53">
        <v>0.02</v>
      </c>
      <c r="D53">
        <v>0.02</v>
      </c>
      <c r="E53">
        <v>0.02</v>
      </c>
      <c r="F53" s="5">
        <v>0.02</v>
      </c>
      <c r="G53" s="5">
        <v>0.02</v>
      </c>
    </row>
    <row r="54" spans="1:33" x14ac:dyDescent="0.3">
      <c r="A54" s="2" t="s">
        <v>25</v>
      </c>
      <c r="B54">
        <f>SUM(B50:B53)</f>
        <v>22.02</v>
      </c>
      <c r="C54">
        <f>SUM(C50:C53)</f>
        <v>18.52</v>
      </c>
      <c r="D54">
        <f t="shared" ref="D54:G54" si="7">SUM(D50:D53)</f>
        <v>21.72</v>
      </c>
      <c r="E54">
        <f t="shared" si="7"/>
        <v>30.52</v>
      </c>
      <c r="F54">
        <f t="shared" si="7"/>
        <v>54.52</v>
      </c>
      <c r="G54">
        <f t="shared" si="7"/>
        <v>75.52</v>
      </c>
    </row>
    <row r="55" spans="1:33" x14ac:dyDescent="0.3">
      <c r="AE55" t="s">
        <v>37</v>
      </c>
      <c r="AF55" s="2"/>
    </row>
    <row r="56" spans="1:33" x14ac:dyDescent="0.3">
      <c r="AD56" s="2" t="s">
        <v>1</v>
      </c>
      <c r="AE56" s="2" t="s">
        <v>0</v>
      </c>
      <c r="AF56" s="2" t="s">
        <v>21</v>
      </c>
      <c r="AG56" s="2" t="s">
        <v>42</v>
      </c>
    </row>
    <row r="57" spans="1:33" x14ac:dyDescent="0.3">
      <c r="A57" s="2" t="s">
        <v>0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AD57" s="2">
        <v>1</v>
      </c>
      <c r="AE57">
        <f>$P$10/$P5</f>
        <v>0.2219251336898396</v>
      </c>
      <c r="AF57">
        <f>$W$10/$W5</f>
        <v>0.10342019543973942</v>
      </c>
      <c r="AG57">
        <v>0.1</v>
      </c>
    </row>
    <row r="58" spans="1:33" x14ac:dyDescent="0.3">
      <c r="B58" s="2" t="s">
        <v>30</v>
      </c>
      <c r="C58" s="2" t="s">
        <v>29</v>
      </c>
      <c r="D58" s="2" t="s">
        <v>28</v>
      </c>
      <c r="E58" s="2" t="s">
        <v>27</v>
      </c>
      <c r="F58" s="2" t="s">
        <v>26</v>
      </c>
      <c r="G58" s="2" t="s">
        <v>24</v>
      </c>
      <c r="AD58" s="2">
        <v>2</v>
      </c>
      <c r="AE58">
        <f t="shared" ref="AE58:AE63" si="8">$P$10/$P6</f>
        <v>0.33200000000000002</v>
      </c>
      <c r="AF58">
        <f t="shared" ref="AF58:AF63" si="9">$W$10/$W6</f>
        <v>0.24501607717041801</v>
      </c>
      <c r="AG58">
        <v>0.2</v>
      </c>
    </row>
    <row r="59" spans="1:33" x14ac:dyDescent="0.3">
      <c r="A59" s="2" t="s">
        <v>32</v>
      </c>
      <c r="B59">
        <f>G50/G$54</f>
        <v>0.55614406779661019</v>
      </c>
      <c r="C59">
        <f>F50/F$54</f>
        <v>0.47688921496698455</v>
      </c>
      <c r="D59">
        <f>E50/E$54</f>
        <v>0.47509829619921362</v>
      </c>
      <c r="E59">
        <f>D50/D$54</f>
        <v>0.48342541436464093</v>
      </c>
      <c r="F59">
        <f>C50/C$54</f>
        <v>0.45896328293736505</v>
      </c>
      <c r="G59">
        <f>B50/B$54</f>
        <v>0.49954586739327883</v>
      </c>
      <c r="AD59" s="2">
        <v>4</v>
      </c>
      <c r="AE59">
        <f t="shared" si="8"/>
        <v>0.54966887417218546</v>
      </c>
      <c r="AF59">
        <f t="shared" si="9"/>
        <v>0.5358649789029537</v>
      </c>
      <c r="AG59">
        <v>0.4</v>
      </c>
    </row>
    <row r="60" spans="1:33" x14ac:dyDescent="0.3">
      <c r="A60" s="2" t="s">
        <v>44</v>
      </c>
      <c r="B60">
        <f>G51/G$54</f>
        <v>0.42372881355932207</v>
      </c>
      <c r="C60">
        <f>F51/F$54</f>
        <v>0.49523110785033014</v>
      </c>
      <c r="D60">
        <f>E51/E$54</f>
        <v>0.47509829619921362</v>
      </c>
      <c r="E60">
        <f>D51/D$54</f>
        <v>0.46040515653775327</v>
      </c>
      <c r="F60">
        <f>C51/C$54</f>
        <v>0.48596112311015122</v>
      </c>
      <c r="G60">
        <f>B51/B$54</f>
        <v>0.45413260672116257</v>
      </c>
      <c r="AD60" s="2">
        <v>6</v>
      </c>
      <c r="AE60">
        <f t="shared" si="8"/>
        <v>0.68595041322314054</v>
      </c>
      <c r="AF60">
        <f t="shared" si="9"/>
        <v>0.72848948374761002</v>
      </c>
      <c r="AG60" s="5">
        <v>0.6</v>
      </c>
    </row>
    <row r="61" spans="1:33" x14ac:dyDescent="0.3">
      <c r="A61" s="2" t="s">
        <v>35</v>
      </c>
      <c r="B61">
        <f>G52/G$54</f>
        <v>1.9862288135593223E-2</v>
      </c>
      <c r="C61">
        <f>F52/F$54</f>
        <v>2.7512839325018339E-2</v>
      </c>
      <c r="D61">
        <f>E52/E$54</f>
        <v>4.9148099606815203E-2</v>
      </c>
      <c r="E61">
        <f>D52/D$54</f>
        <v>5.5248618784530384E-2</v>
      </c>
      <c r="F61">
        <f>C52/C$54</f>
        <v>5.3995680345572353E-2</v>
      </c>
      <c r="G61">
        <f>B52/B$54</f>
        <v>4.5413260672116255E-2</v>
      </c>
      <c r="AD61" s="2">
        <v>8</v>
      </c>
      <c r="AE61">
        <f t="shared" si="8"/>
        <v>0.84693877551020413</v>
      </c>
      <c r="AF61">
        <f t="shared" si="9"/>
        <v>0.8799076212471133</v>
      </c>
      <c r="AG61" s="5">
        <v>0.8</v>
      </c>
    </row>
    <row r="62" spans="1:33" x14ac:dyDescent="0.3">
      <c r="A62" s="2" t="s">
        <v>36</v>
      </c>
      <c r="B62">
        <f>G53/G$54</f>
        <v>2.6483050847457627E-4</v>
      </c>
      <c r="C62">
        <f>F53/F$54</f>
        <v>3.6683785766691119E-4</v>
      </c>
      <c r="D62">
        <f>E53/E$54</f>
        <v>6.5530799475753605E-4</v>
      </c>
      <c r="E62">
        <f>D53/D$54</f>
        <v>9.2081031307550648E-4</v>
      </c>
      <c r="F62">
        <f>C53/C$54</f>
        <v>1.0799136069114472E-3</v>
      </c>
      <c r="G62">
        <f>B53/B$54</f>
        <v>9.0826521344232523E-4</v>
      </c>
      <c r="AD62" s="2">
        <v>10</v>
      </c>
      <c r="AE62">
        <f t="shared" si="8"/>
        <v>1</v>
      </c>
      <c r="AF62">
        <f t="shared" si="9"/>
        <v>1</v>
      </c>
      <c r="AG62" s="5">
        <v>1</v>
      </c>
    </row>
    <row r="63" spans="1:33" x14ac:dyDescent="0.3">
      <c r="AD63" s="2">
        <v>20</v>
      </c>
      <c r="AE63">
        <f t="shared" si="8"/>
        <v>0.82178217821782185</v>
      </c>
      <c r="AF63">
        <f t="shared" si="9"/>
        <v>0.98449612403100772</v>
      </c>
      <c r="AG63" s="5">
        <v>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2015-07-09T12:07:44Z</dcterms:created>
  <dcterms:modified xsi:type="dcterms:W3CDTF">2015-07-12T13:25:39Z</dcterms:modified>
</cp:coreProperties>
</file>