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derwijs\STA\Lessen2122\Tentamen Deel 1\"/>
    </mc:Choice>
  </mc:AlternateContent>
  <bookViews>
    <workbookView xWindow="0" yWindow="0" windowWidth="28800" windowHeight="12624"/>
  </bookViews>
  <sheets>
    <sheet name="Scores" sheetId="1" r:id="rId1"/>
    <sheet name="Resultaten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19" i="1"/>
  <c r="E11" i="2"/>
  <c r="E10" i="2"/>
  <c r="E8" i="2"/>
  <c r="E7" i="2"/>
  <c r="E6" i="2"/>
  <c r="E5" i="2"/>
  <c r="E4" i="2"/>
  <c r="AR14" i="1"/>
  <c r="AR23" i="2"/>
  <c r="AQ14" i="1"/>
  <c r="AP14" i="1"/>
  <c r="AP19" i="2"/>
  <c r="AO14" i="1"/>
  <c r="AO22" i="2"/>
  <c r="AN14" i="1"/>
  <c r="AN17" i="2"/>
  <c r="AM14" i="1"/>
  <c r="AM16" i="2"/>
  <c r="AL14" i="1"/>
  <c r="AK14" i="1"/>
  <c r="AK21" i="2"/>
  <c r="AJ14" i="1"/>
  <c r="AJ23" i="2"/>
  <c r="AI14" i="1"/>
  <c r="AI21" i="2"/>
  <c r="AH14" i="1"/>
  <c r="AG14" i="1"/>
  <c r="AG18" i="2"/>
  <c r="AF14" i="1"/>
  <c r="AF21" i="2"/>
  <c r="AE14" i="1"/>
  <c r="AE22" i="2"/>
  <c r="AD14" i="1"/>
  <c r="AD24" i="2"/>
  <c r="AC14" i="1"/>
  <c r="AC14" i="2"/>
  <c r="AB14" i="1"/>
  <c r="AB17" i="2"/>
  <c r="AA14" i="1"/>
  <c r="Z14" i="1"/>
  <c r="Y14" i="1"/>
  <c r="Y24" i="2"/>
  <c r="X14" i="1"/>
  <c r="X17" i="2"/>
  <c r="W14" i="1"/>
  <c r="W16" i="2"/>
  <c r="V14" i="1"/>
  <c r="V15" i="2"/>
  <c r="U14" i="1"/>
  <c r="T14" i="1"/>
  <c r="T24" i="2"/>
  <c r="S14" i="1"/>
  <c r="R14" i="1"/>
  <c r="Q14" i="1"/>
  <c r="Q18" i="2"/>
  <c r="P14" i="1"/>
  <c r="O14" i="1"/>
  <c r="N14" i="1"/>
  <c r="M14" i="1"/>
  <c r="M14" i="2"/>
  <c r="L14" i="1"/>
  <c r="L24" i="2"/>
  <c r="K14" i="1"/>
  <c r="J14" i="1"/>
  <c r="I14" i="1"/>
  <c r="I24" i="2"/>
  <c r="H14" i="1"/>
  <c r="H17" i="2"/>
  <c r="G14" i="1"/>
  <c r="G16" i="2"/>
  <c r="F14" i="1"/>
  <c r="F15" i="2"/>
  <c r="E14" i="1"/>
  <c r="E19" i="2"/>
  <c r="P21" i="2"/>
  <c r="M24" i="2"/>
  <c r="AO18" i="2"/>
  <c r="AC21" i="2"/>
  <c r="X21" i="2"/>
  <c r="AR24" i="2"/>
  <c r="AB24" i="2"/>
  <c r="X24" i="2"/>
  <c r="H24" i="2"/>
  <c r="Y18" i="2"/>
  <c r="U21" i="2"/>
  <c r="AN24" i="2"/>
  <c r="AC23" i="2"/>
  <c r="U24" i="2"/>
  <c r="AN21" i="2"/>
  <c r="C15" i="2"/>
  <c r="I18" i="2"/>
  <c r="AK14" i="2"/>
  <c r="AF24" i="2"/>
  <c r="C24" i="2"/>
  <c r="E15" i="2"/>
  <c r="AJ24" i="2"/>
  <c r="AK22" i="2"/>
  <c r="P24" i="2"/>
  <c r="U14" i="2"/>
  <c r="J14" i="2"/>
  <c r="J18" i="2"/>
  <c r="J17" i="2"/>
  <c r="J16" i="2"/>
  <c r="J21" i="2"/>
  <c r="N14" i="2"/>
  <c r="N18" i="2"/>
  <c r="N17" i="2"/>
  <c r="N16" i="2"/>
  <c r="N21" i="2"/>
  <c r="Z14" i="2"/>
  <c r="Z18" i="2"/>
  <c r="Z17" i="2"/>
  <c r="Z16" i="2"/>
  <c r="Z21" i="2"/>
  <c r="AL14" i="2"/>
  <c r="AL18" i="2"/>
  <c r="AL17" i="2"/>
  <c r="AL16" i="2"/>
  <c r="AL21" i="2"/>
  <c r="J23" i="2"/>
  <c r="R14" i="2"/>
  <c r="R18" i="2"/>
  <c r="R17" i="2"/>
  <c r="R16" i="2"/>
  <c r="R21" i="2"/>
  <c r="AH14" i="2"/>
  <c r="AH18" i="2"/>
  <c r="AH17" i="2"/>
  <c r="AH16" i="2"/>
  <c r="AH21" i="2"/>
  <c r="C17" i="2"/>
  <c r="AP23" i="2"/>
  <c r="Z23" i="2"/>
  <c r="R23" i="2"/>
  <c r="F24" i="2"/>
  <c r="S21" i="2"/>
  <c r="M21" i="2"/>
  <c r="H21" i="2"/>
  <c r="AH19" i="2"/>
  <c r="R19" i="2"/>
  <c r="AF17" i="2"/>
  <c r="P17" i="2"/>
  <c r="AD15" i="2"/>
  <c r="N15" i="2"/>
  <c r="G15" i="2"/>
  <c r="G19" i="2"/>
  <c r="G14" i="2"/>
  <c r="G18" i="2"/>
  <c r="G17" i="2"/>
  <c r="G23" i="2"/>
  <c r="K15" i="2"/>
  <c r="K19" i="2"/>
  <c r="K14" i="2"/>
  <c r="K18" i="2"/>
  <c r="K17" i="2"/>
  <c r="K23" i="2"/>
  <c r="O15" i="2"/>
  <c r="O19" i="2"/>
  <c r="O14" i="2"/>
  <c r="O18" i="2"/>
  <c r="O17" i="2"/>
  <c r="O23" i="2"/>
  <c r="S15" i="2"/>
  <c r="S19" i="2"/>
  <c r="S14" i="2"/>
  <c r="S18" i="2"/>
  <c r="S17" i="2"/>
  <c r="S23" i="2"/>
  <c r="W15" i="2"/>
  <c r="W19" i="2"/>
  <c r="W14" i="2"/>
  <c r="W18" i="2"/>
  <c r="W17" i="2"/>
  <c r="W23" i="2"/>
  <c r="AA15" i="2"/>
  <c r="AA19" i="2"/>
  <c r="AA14" i="2"/>
  <c r="AA18" i="2"/>
  <c r="AA17" i="2"/>
  <c r="AE15" i="2"/>
  <c r="AE19" i="2"/>
  <c r="AE14" i="2"/>
  <c r="AE18" i="2"/>
  <c r="AE17" i="2"/>
  <c r="AI15" i="2"/>
  <c r="AI19" i="2"/>
  <c r="AI14" i="2"/>
  <c r="AI18" i="2"/>
  <c r="AI17" i="2"/>
  <c r="AM15" i="2"/>
  <c r="AM19" i="2"/>
  <c r="AM14" i="2"/>
  <c r="AM18" i="2"/>
  <c r="AM17" i="2"/>
  <c r="AQ15" i="2"/>
  <c r="AQ19" i="2"/>
  <c r="AQ14" i="2"/>
  <c r="AQ18" i="2"/>
  <c r="AQ17" i="2"/>
  <c r="C18" i="2"/>
  <c r="E16" i="2"/>
  <c r="E21" i="2"/>
  <c r="AQ24" i="2"/>
  <c r="AM24" i="2"/>
  <c r="AI24" i="2"/>
  <c r="AE24" i="2"/>
  <c r="AA24" i="2"/>
  <c r="AO23" i="2"/>
  <c r="AK23" i="2"/>
  <c r="AG23" i="2"/>
  <c r="AB23" i="2"/>
  <c r="AI22" i="2"/>
  <c r="AD22" i="2"/>
  <c r="Z24" i="2"/>
  <c r="W24" i="2"/>
  <c r="T23" i="2"/>
  <c r="R24" i="2"/>
  <c r="O24" i="2"/>
  <c r="L23" i="2"/>
  <c r="J24" i="2"/>
  <c r="G24" i="2"/>
  <c r="AR21" i="2"/>
  <c r="AM21" i="2"/>
  <c r="AG21" i="2"/>
  <c r="AB21" i="2"/>
  <c r="W21" i="2"/>
  <c r="Q21" i="2"/>
  <c r="L21" i="2"/>
  <c r="G21" i="2"/>
  <c r="AD19" i="2"/>
  <c r="N19" i="2"/>
  <c r="AK18" i="2"/>
  <c r="U18" i="2"/>
  <c r="AR17" i="2"/>
  <c r="L17" i="2"/>
  <c r="AI16" i="2"/>
  <c r="S16" i="2"/>
  <c r="AP15" i="2"/>
  <c r="Z15" i="2"/>
  <c r="J15" i="2"/>
  <c r="AG14" i="2"/>
  <c r="Q14" i="2"/>
  <c r="C19" i="2"/>
  <c r="E17" i="2"/>
  <c r="E23" i="2"/>
  <c r="AP24" i="2"/>
  <c r="AL24" i="2"/>
  <c r="AH24" i="2"/>
  <c r="AN23" i="2"/>
  <c r="AF23" i="2"/>
  <c r="AA23" i="2"/>
  <c r="AM22" i="2"/>
  <c r="AH22" i="2"/>
  <c r="AC22" i="2"/>
  <c r="V23" i="2"/>
  <c r="Q24" i="2"/>
  <c r="N23" i="2"/>
  <c r="C23" i="2"/>
  <c r="AQ21" i="2"/>
  <c r="AA21" i="2"/>
  <c r="K21" i="2"/>
  <c r="Z19" i="2"/>
  <c r="J19" i="2"/>
  <c r="AE16" i="2"/>
  <c r="O16" i="2"/>
  <c r="AL15" i="2"/>
  <c r="F14" i="2"/>
  <c r="F18" i="2"/>
  <c r="F17" i="2"/>
  <c r="F16" i="2"/>
  <c r="F21" i="2"/>
  <c r="F23" i="2"/>
  <c r="V14" i="2"/>
  <c r="V18" i="2"/>
  <c r="V17" i="2"/>
  <c r="V16" i="2"/>
  <c r="V21" i="2"/>
  <c r="AD14" i="2"/>
  <c r="AD18" i="2"/>
  <c r="AD17" i="2"/>
  <c r="AD16" i="2"/>
  <c r="AD21" i="2"/>
  <c r="AD23" i="2"/>
  <c r="AP14" i="2"/>
  <c r="AP18" i="2"/>
  <c r="AP17" i="2"/>
  <c r="AP16" i="2"/>
  <c r="AP21" i="2"/>
  <c r="AL23" i="2"/>
  <c r="AH23" i="2"/>
  <c r="AP22" i="2"/>
  <c r="H16" i="2"/>
  <c r="H15" i="2"/>
  <c r="H19" i="2"/>
  <c r="H14" i="2"/>
  <c r="H18" i="2"/>
  <c r="L16" i="2"/>
  <c r="L15" i="2"/>
  <c r="L19" i="2"/>
  <c r="L14" i="2"/>
  <c r="L18" i="2"/>
  <c r="P16" i="2"/>
  <c r="P15" i="2"/>
  <c r="P19" i="2"/>
  <c r="P14" i="2"/>
  <c r="P18" i="2"/>
  <c r="T16" i="2"/>
  <c r="T15" i="2"/>
  <c r="T19" i="2"/>
  <c r="T14" i="2"/>
  <c r="T18" i="2"/>
  <c r="X16" i="2"/>
  <c r="X15" i="2"/>
  <c r="X19" i="2"/>
  <c r="X14" i="2"/>
  <c r="X18" i="2"/>
  <c r="AB16" i="2"/>
  <c r="AB15" i="2"/>
  <c r="AB19" i="2"/>
  <c r="AB14" i="2"/>
  <c r="AB18" i="2"/>
  <c r="AB22" i="2"/>
  <c r="AF16" i="2"/>
  <c r="AF15" i="2"/>
  <c r="AF19" i="2"/>
  <c r="AF14" i="2"/>
  <c r="AF18" i="2"/>
  <c r="AF22" i="2"/>
  <c r="AJ16" i="2"/>
  <c r="AJ15" i="2"/>
  <c r="AJ19" i="2"/>
  <c r="AJ14" i="2"/>
  <c r="AJ18" i="2"/>
  <c r="AJ22" i="2"/>
  <c r="AN16" i="2"/>
  <c r="AN15" i="2"/>
  <c r="AN19" i="2"/>
  <c r="AN14" i="2"/>
  <c r="AN18" i="2"/>
  <c r="AN22" i="2"/>
  <c r="AR16" i="2"/>
  <c r="AR15" i="2"/>
  <c r="AR19" i="2"/>
  <c r="AR14" i="2"/>
  <c r="AR18" i="2"/>
  <c r="AR22" i="2"/>
  <c r="I17" i="2"/>
  <c r="I16" i="2"/>
  <c r="I15" i="2"/>
  <c r="I19" i="2"/>
  <c r="I23" i="2"/>
  <c r="M17" i="2"/>
  <c r="M16" i="2"/>
  <c r="M15" i="2"/>
  <c r="M19" i="2"/>
  <c r="M23" i="2"/>
  <c r="Q17" i="2"/>
  <c r="Q16" i="2"/>
  <c r="Q15" i="2"/>
  <c r="Q19" i="2"/>
  <c r="Q23" i="2"/>
  <c r="U17" i="2"/>
  <c r="U16" i="2"/>
  <c r="U15" i="2"/>
  <c r="U19" i="2"/>
  <c r="U23" i="2"/>
  <c r="Y17" i="2"/>
  <c r="Y16" i="2"/>
  <c r="Y15" i="2"/>
  <c r="Y19" i="2"/>
  <c r="Y23" i="2"/>
  <c r="AC17" i="2"/>
  <c r="AC16" i="2"/>
  <c r="AC15" i="2"/>
  <c r="AC19" i="2"/>
  <c r="AG17" i="2"/>
  <c r="AG16" i="2"/>
  <c r="AG15" i="2"/>
  <c r="AG19" i="2"/>
  <c r="AK17" i="2"/>
  <c r="AK16" i="2"/>
  <c r="AK15" i="2"/>
  <c r="AK19" i="2"/>
  <c r="AO17" i="2"/>
  <c r="AO16" i="2"/>
  <c r="AO15" i="2"/>
  <c r="AO19" i="2"/>
  <c r="C16" i="2"/>
  <c r="E14" i="2"/>
  <c r="E18" i="2"/>
  <c r="E24" i="2"/>
  <c r="AO24" i="2"/>
  <c r="AK24" i="2"/>
  <c r="AG24" i="2"/>
  <c r="AC24" i="2"/>
  <c r="AQ23" i="2"/>
  <c r="AM23" i="2"/>
  <c r="AI23" i="2"/>
  <c r="AE23" i="2"/>
  <c r="AQ22" i="2"/>
  <c r="AL22" i="2"/>
  <c r="AG22" i="2"/>
  <c r="AA22" i="2"/>
  <c r="X23" i="2"/>
  <c r="V24" i="2"/>
  <c r="S24" i="2"/>
  <c r="P23" i="2"/>
  <c r="N24" i="2"/>
  <c r="K24" i="2"/>
  <c r="H23" i="2"/>
  <c r="AO21" i="2"/>
  <c r="AJ21" i="2"/>
  <c r="AE21" i="2"/>
  <c r="Y21" i="2"/>
  <c r="T21" i="2"/>
  <c r="O21" i="2"/>
  <c r="I21" i="2"/>
  <c r="AL19" i="2"/>
  <c r="V19" i="2"/>
  <c r="F19" i="2"/>
  <c r="AC18" i="2"/>
  <c r="M18" i="2"/>
  <c r="AJ17" i="2"/>
  <c r="T17" i="2"/>
  <c r="AQ16" i="2"/>
  <c r="AA16" i="2"/>
  <c r="K16" i="2"/>
  <c r="AH15" i="2"/>
  <c r="R15" i="2"/>
  <c r="AO14" i="2"/>
  <c r="Y14" i="2"/>
  <c r="I14" i="2"/>
  <c r="S22" i="2"/>
  <c r="Q22" i="2"/>
  <c r="O22" i="2"/>
  <c r="R22" i="2"/>
  <c r="H22" i="2"/>
  <c r="G22" i="2"/>
  <c r="J22" i="2"/>
  <c r="U22" i="2"/>
  <c r="N5" i="2"/>
  <c r="N6" i="2"/>
  <c r="Z22" i="2"/>
  <c r="E22" i="2"/>
  <c r="K22" i="2"/>
  <c r="V22" i="2"/>
  <c r="N22" i="2"/>
  <c r="M22" i="2"/>
  <c r="X22" i="2"/>
  <c r="T22" i="2"/>
  <c r="P22" i="2"/>
  <c r="Y22" i="2"/>
  <c r="I22" i="2"/>
  <c r="F22" i="2"/>
  <c r="L22" i="2"/>
  <c r="W22" i="2"/>
</calcChain>
</file>

<file path=xl/sharedStrings.xml><?xml version="1.0" encoding="utf-8"?>
<sst xmlns="http://schemas.openxmlformats.org/spreadsheetml/2006/main" count="65" uniqueCount="53">
  <si>
    <t>Nederlandse Defensie Academie</t>
  </si>
  <si>
    <t>Toetsanalyse van Scores</t>
  </si>
  <si>
    <t>Instituut:</t>
  </si>
  <si>
    <t>FMW</t>
  </si>
  <si>
    <t>Vakgroep:</t>
  </si>
  <si>
    <t>Cursus:</t>
  </si>
  <si>
    <t>Toets:</t>
  </si>
  <si>
    <t>Datum:</t>
  </si>
  <si>
    <t>Aantal deelnemers:</t>
  </si>
  <si>
    <t>Aantal vragen:</t>
  </si>
  <si>
    <t>Vraag</t>
  </si>
  <si>
    <t>Maximale Score</t>
  </si>
  <si>
    <t>Totaal</t>
  </si>
  <si>
    <t>Score/vr</t>
  </si>
  <si>
    <t>PSnr</t>
  </si>
  <si>
    <t>Naam</t>
  </si>
  <si>
    <t xml:space="preserve">Instituut: </t>
  </si>
  <si>
    <t>Cronbach's alpha</t>
  </si>
  <si>
    <t>Standaardmeetfout</t>
  </si>
  <si>
    <t>Maximum score</t>
  </si>
  <si>
    <t>Minimumscore</t>
  </si>
  <si>
    <t>Moeilijkheidsgraad</t>
  </si>
  <si>
    <t>Gemiddelde</t>
  </si>
  <si>
    <t>Mediaan</t>
  </si>
  <si>
    <t>Item-totaal correlatie</t>
  </si>
  <si>
    <t>Item-restcorrelatie</t>
  </si>
  <si>
    <t>Variantie</t>
  </si>
  <si>
    <t>Standaard deviatie</t>
  </si>
  <si>
    <t>N.B. maximaal 82</t>
  </si>
  <si>
    <t>N.B. maximaal 40</t>
  </si>
  <si>
    <t>KW&amp;MBW</t>
  </si>
  <si>
    <t>STA</t>
  </si>
  <si>
    <t>Deel 1; 1e kans</t>
  </si>
  <si>
    <t>Beest, mark van</t>
  </si>
  <si>
    <t>Besemer, Bas</t>
  </si>
  <si>
    <t>Brok, Jaap</t>
  </si>
  <si>
    <t>Ham, Pol van</t>
  </si>
  <si>
    <t>Hoof, Thomas van</t>
  </si>
  <si>
    <t>Kramer, Maud</t>
  </si>
  <si>
    <t>Laat, Mark de</t>
  </si>
  <si>
    <t>Lindeman, Sara</t>
  </si>
  <si>
    <t>Peters, Laurisa</t>
  </si>
  <si>
    <t>Puntman, Ruben</t>
  </si>
  <si>
    <t>Schoufs, Luc</t>
  </si>
  <si>
    <t>Schreurs, Isa</t>
  </si>
  <si>
    <t>Sinia, Maria</t>
  </si>
  <si>
    <t>Slots, Lisa</t>
  </si>
  <si>
    <t>Stam, Hilbert</t>
  </si>
  <si>
    <t>Velde, Sjors van de</t>
  </si>
  <si>
    <t>Voortman, Dominique</t>
  </si>
  <si>
    <t>Waal Zamora, Remco de</t>
  </si>
  <si>
    <t>Wester, Daan</t>
  </si>
  <si>
    <t>Schraa, Jochem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</si>
</sst>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64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/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64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theme="0" tint="-0.24997711111789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7" fillId="6" borderId="0" applyNumberFormat="0" applyBorder="0" applyAlignment="0" applyProtection="0"/>
  </cellStyleXfs>
  <cellXfs count="92">
    <xf numFmtId="0" fontId="0" fillId="0" borderId="0" xfId="0"/>
    <xf numFmtId="0" fontId="3" fillId="0" borderId="3" xfId="0" applyFont="1" applyBorder="1" applyProtection="1"/>
    <xf numFmtId="0" fontId="3" fillId="0" borderId="4" xfId="0" applyFont="1" applyBorder="1" applyProtection="1"/>
    <xf numFmtId="0" fontId="2" fillId="0" borderId="3" xfId="0" applyFont="1" applyBorder="1" applyAlignment="1" applyProtection="1">
      <alignment vertical="center"/>
    </xf>
    <xf numFmtId="0" fontId="4" fillId="0" borderId="8" xfId="0" applyFont="1" applyBorder="1" applyAlignment="1" applyProtection="1"/>
    <xf numFmtId="0" fontId="4" fillId="0" borderId="9" xfId="0" applyFont="1" applyBorder="1" applyAlignment="1" applyProtection="1"/>
    <xf numFmtId="0" fontId="4" fillId="0" borderId="10" xfId="0" applyFont="1" applyBorder="1" applyAlignment="1" applyProtection="1"/>
    <xf numFmtId="0" fontId="4" fillId="0" borderId="14" xfId="0" applyFont="1" applyBorder="1" applyProtection="1"/>
    <xf numFmtId="0" fontId="4" fillId="0" borderId="15" xfId="0" applyFont="1" applyBorder="1" applyProtection="1"/>
    <xf numFmtId="0" fontId="3" fillId="2" borderId="16" xfId="0" applyFont="1" applyFill="1" applyBorder="1" applyAlignment="1" applyProtection="1">
      <protection locked="0"/>
    </xf>
    <xf numFmtId="0" fontId="3" fillId="0" borderId="17" xfId="0" applyFont="1" applyBorder="1" applyProtection="1"/>
    <xf numFmtId="0" fontId="3" fillId="0" borderId="3" xfId="0" applyFont="1" applyFill="1" applyBorder="1" applyAlignment="1" applyProtection="1">
      <alignment vertical="center"/>
    </xf>
    <xf numFmtId="0" fontId="4" fillId="0" borderId="18" xfId="0" applyFont="1" applyBorder="1" applyAlignment="1" applyProtection="1">
      <alignment horizontal="right"/>
    </xf>
    <xf numFmtId="0" fontId="4" fillId="0" borderId="16" xfId="0" applyFont="1" applyFill="1" applyBorder="1" applyAlignment="1" applyProtection="1">
      <alignment horizontal="center"/>
    </xf>
    <xf numFmtId="1" fontId="3" fillId="2" borderId="19" xfId="2" applyNumberFormat="1" applyFont="1" applyFill="1" applyBorder="1" applyAlignment="1" applyProtection="1">
      <alignment horizontal="center"/>
      <protection locked="0"/>
    </xf>
    <xf numFmtId="1" fontId="3" fillId="2" borderId="19" xfId="0" applyNumberFormat="1" applyFont="1" applyFill="1" applyBorder="1" applyAlignment="1" applyProtection="1">
      <alignment horizontal="center"/>
      <protection locked="0"/>
    </xf>
    <xf numFmtId="0" fontId="4" fillId="0" borderId="20" xfId="0" applyFont="1" applyBorder="1" applyAlignment="1" applyProtection="1"/>
    <xf numFmtId="0" fontId="4" fillId="0" borderId="16" xfId="0" applyFont="1" applyBorder="1" applyAlignment="1" applyProtection="1"/>
    <xf numFmtId="0" fontId="3" fillId="0" borderId="22" xfId="0" applyFont="1" applyBorder="1" applyProtection="1"/>
    <xf numFmtId="0" fontId="3" fillId="0" borderId="24" xfId="0" applyFont="1" applyFill="1" applyBorder="1" applyAlignment="1" applyProtection="1">
      <alignment horizontal="center"/>
    </xf>
    <xf numFmtId="0" fontId="3" fillId="3" borderId="16" xfId="0" applyFont="1" applyFill="1" applyBorder="1" applyAlignment="1" applyProtection="1">
      <protection locked="0"/>
    </xf>
    <xf numFmtId="0" fontId="3" fillId="0" borderId="25" xfId="0" applyFont="1" applyBorder="1" applyProtection="1"/>
    <xf numFmtId="0" fontId="4" fillId="0" borderId="25" xfId="0" applyFont="1" applyBorder="1" applyProtection="1"/>
    <xf numFmtId="0" fontId="4" fillId="0" borderId="4" xfId="0" applyFont="1" applyBorder="1" applyProtection="1"/>
    <xf numFmtId="0" fontId="4" fillId="0" borderId="18" xfId="0" applyFont="1" applyBorder="1" applyAlignment="1" applyProtection="1">
      <alignment horizontal="center"/>
    </xf>
    <xf numFmtId="1" fontId="4" fillId="0" borderId="16" xfId="0" applyNumberFormat="1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16" xfId="0" applyNumberFormat="1" applyFont="1" applyFill="1" applyBorder="1" applyAlignment="1" applyProtection="1">
      <alignment horizontal="center"/>
    </xf>
    <xf numFmtId="2" fontId="4" fillId="0" borderId="16" xfId="0" applyNumberFormat="1" applyFont="1" applyFill="1" applyBorder="1" applyAlignment="1" applyProtection="1">
      <alignment horizontal="center"/>
    </xf>
    <xf numFmtId="2" fontId="3" fillId="0" borderId="4" xfId="0" applyNumberFormat="1" applyFont="1" applyBorder="1" applyProtection="1"/>
    <xf numFmtId="2" fontId="3" fillId="0" borderId="16" xfId="0" applyNumberFormat="1" applyFont="1" applyFill="1" applyBorder="1" applyAlignment="1" applyProtection="1">
      <alignment horizontal="center"/>
    </xf>
    <xf numFmtId="2" fontId="4" fillId="0" borderId="16" xfId="0" applyNumberFormat="1" applyFont="1" applyFill="1" applyBorder="1" applyAlignment="1" applyProtection="1">
      <alignment horizontal="center"/>
      <protection locked="0"/>
    </xf>
    <xf numFmtId="165" fontId="3" fillId="0" borderId="16" xfId="0" applyNumberFormat="1" applyFont="1" applyFill="1" applyBorder="1" applyAlignment="1" applyProtection="1">
      <alignment horizontal="center"/>
    </xf>
    <xf numFmtId="165" fontId="4" fillId="0" borderId="16" xfId="0" applyNumberFormat="1" applyFont="1" applyFill="1" applyBorder="1" applyAlignment="1" applyProtection="1">
      <alignment horizontal="center"/>
    </xf>
    <xf numFmtId="0" fontId="3" fillId="0" borderId="4" xfId="1" applyNumberFormat="1" applyFont="1" applyBorder="1" applyProtection="1"/>
    <xf numFmtId="165" fontId="3" fillId="0" borderId="16" xfId="1" applyNumberFormat="1" applyFont="1" applyFill="1" applyBorder="1" applyAlignment="1" applyProtection="1">
      <alignment horizontal="center"/>
    </xf>
    <xf numFmtId="0" fontId="4" fillId="0" borderId="16" xfId="0" applyFont="1" applyFill="1" applyBorder="1" applyAlignment="1" applyProtection="1">
      <alignment horizontal="left"/>
    </xf>
    <xf numFmtId="0" fontId="0" fillId="4" borderId="0" xfId="0" applyFill="1"/>
    <xf numFmtId="0" fontId="3" fillId="0" borderId="27" xfId="0" applyFont="1" applyBorder="1" applyProtection="1"/>
    <xf numFmtId="1" fontId="3" fillId="2" borderId="28" xfId="0" applyNumberFormat="1" applyFont="1" applyFill="1" applyBorder="1" applyAlignment="1" applyProtection="1">
      <alignment horizontal="center"/>
      <protection locked="0"/>
    </xf>
    <xf numFmtId="1" fontId="3" fillId="2" borderId="29" xfId="0" applyNumberFormat="1" applyFont="1" applyFill="1" applyBorder="1" applyAlignment="1" applyProtection="1">
      <alignment horizontal="center"/>
      <protection locked="0"/>
    </xf>
    <xf numFmtId="1" fontId="3" fillId="5" borderId="19" xfId="2" applyNumberFormat="1" applyFont="1" applyFill="1" applyBorder="1" applyAlignment="1" applyProtection="1">
      <alignment horizontal="center"/>
      <protection locked="0"/>
    </xf>
    <xf numFmtId="1" fontId="3" fillId="5" borderId="19" xfId="0" applyNumberFormat="1" applyFont="1" applyFill="1" applyBorder="1" applyAlignment="1" applyProtection="1">
      <alignment horizontal="center"/>
      <protection locked="0"/>
    </xf>
    <xf numFmtId="1" fontId="6" fillId="2" borderId="28" xfId="0" applyNumberFormat="1" applyFont="1" applyFill="1" applyBorder="1" applyAlignment="1" applyProtection="1">
      <alignment horizontal="center"/>
      <protection locked="0"/>
    </xf>
    <xf numFmtId="0" fontId="0" fillId="4" borderId="28" xfId="0" applyFill="1" applyBorder="1" applyAlignment="1">
      <alignment horizontal="center"/>
    </xf>
    <xf numFmtId="0" fontId="0" fillId="4" borderId="28" xfId="0" applyFont="1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0" xfId="0" applyFill="1" applyAlignment="1">
      <alignment horizontal="center"/>
    </xf>
    <xf numFmtId="1" fontId="3" fillId="4" borderId="19" xfId="2" applyNumberFormat="1" applyFont="1" applyFill="1" applyBorder="1" applyAlignment="1" applyProtection="1">
      <alignment horizontal="center"/>
      <protection locked="0"/>
    </xf>
    <xf numFmtId="1" fontId="3" fillId="4" borderId="19" xfId="0" applyNumberFormat="1" applyFont="1" applyFill="1" applyBorder="1" applyAlignment="1" applyProtection="1">
      <alignment horizontal="center"/>
      <protection locked="0"/>
    </xf>
    <xf numFmtId="0" fontId="1" fillId="0" borderId="0" xfId="0" applyFont="1"/>
    <xf numFmtId="2" fontId="6" fillId="3" borderId="21" xfId="0" applyNumberFormat="1" applyFont="1" applyFill="1" applyBorder="1" applyAlignment="1" applyProtection="1">
      <protection locked="0"/>
    </xf>
    <xf numFmtId="0" fontId="1" fillId="0" borderId="28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8" xfId="0" applyFont="1" applyFill="1" applyBorder="1"/>
    <xf numFmtId="0" fontId="8" fillId="0" borderId="28" xfId="0" applyFont="1" applyFill="1" applyBorder="1" applyAlignment="1">
      <alignment horizontal="center"/>
    </xf>
    <xf numFmtId="0" fontId="6" fillId="0" borderId="28" xfId="0" applyFont="1" applyFill="1" applyBorder="1" applyAlignment="1">
      <alignment vertical="center"/>
    </xf>
    <xf numFmtId="0" fontId="1" fillId="0" borderId="28" xfId="0" applyFont="1" applyFill="1" applyBorder="1" applyAlignment="1">
      <alignment horizontal="left" vertical="center"/>
    </xf>
    <xf numFmtId="164" fontId="7" fillId="0" borderId="20" xfId="3" applyNumberFormat="1" applyFont="1" applyFill="1" applyBorder="1" applyAlignment="1" applyProtection="1"/>
    <xf numFmtId="0" fontId="0" fillId="0" borderId="28" xfId="0" applyFont="1" applyFill="1" applyBorder="1"/>
    <xf numFmtId="164" fontId="9" fillId="0" borderId="20" xfId="3" applyNumberFormat="1" applyFont="1" applyFill="1" applyBorder="1" applyAlignment="1" applyProtection="1"/>
    <xf numFmtId="14" fontId="3" fillId="2" borderId="11" xfId="0" applyNumberFormat="1" applyFont="1" applyFill="1" applyBorder="1" applyAlignment="1" applyProtection="1">
      <alignment horizontal="left"/>
      <protection locked="0"/>
    </xf>
    <xf numFmtId="14" fontId="3" fillId="0" borderId="11" xfId="0" applyNumberFormat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3" fillId="2" borderId="11" xfId="0" applyFont="1" applyFill="1" applyBorder="1" applyAlignment="1" applyProtection="1">
      <protection locked="0"/>
    </xf>
    <xf numFmtId="0" fontId="3" fillId="2" borderId="12" xfId="0" applyFont="1" applyFill="1" applyBorder="1" applyAlignment="1" applyProtection="1">
      <alignment horizontal="left"/>
      <protection locked="0"/>
    </xf>
    <xf numFmtId="0" fontId="3" fillId="0" borderId="13" xfId="0" applyFont="1" applyBorder="1" applyAlignment="1" applyProtection="1">
      <alignment horizontal="left"/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</xf>
    <xf numFmtId="0" fontId="4" fillId="0" borderId="26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26" xfId="0" applyFont="1" applyFill="1" applyBorder="1" applyAlignment="1" applyProtection="1">
      <alignment horizontal="left" vertical="center"/>
    </xf>
    <xf numFmtId="0" fontId="3" fillId="3" borderId="9" xfId="0" applyFont="1" applyFill="1" applyBorder="1" applyAlignment="1" applyProtection="1">
      <protection locked="0"/>
    </xf>
    <xf numFmtId="0" fontId="3" fillId="3" borderId="11" xfId="0" applyFont="1" applyFill="1" applyBorder="1" applyAlignment="1" applyProtection="1">
      <protection locked="0"/>
    </xf>
    <xf numFmtId="14" fontId="4" fillId="3" borderId="9" xfId="0" applyNumberFormat="1" applyFont="1" applyFill="1" applyBorder="1" applyAlignment="1" applyProtection="1">
      <alignment horizontal="left"/>
      <protection locked="0"/>
    </xf>
    <xf numFmtId="14" fontId="4" fillId="3" borderId="11" xfId="0" applyNumberFormat="1" applyFont="1" applyFill="1" applyBorder="1" applyAlignment="1" applyProtection="1">
      <alignment horizontal="left"/>
      <protection locked="0"/>
    </xf>
    <xf numFmtId="14" fontId="4" fillId="3" borderId="23" xfId="0" applyNumberFormat="1" applyFont="1" applyFill="1" applyBorder="1" applyAlignment="1" applyProtection="1">
      <alignment horizontal="left"/>
      <protection locked="0"/>
    </xf>
    <xf numFmtId="0" fontId="3" fillId="3" borderId="12" xfId="0" applyFont="1" applyFill="1" applyBorder="1" applyAlignment="1" applyProtection="1">
      <alignment horizontal="left"/>
      <protection locked="0"/>
    </xf>
    <xf numFmtId="0" fontId="3" fillId="3" borderId="13" xfId="0" applyFont="1" applyFill="1" applyBorder="1" applyAlignment="1" applyProtection="1">
      <alignment horizontal="left"/>
      <protection locked="0"/>
    </xf>
    <xf numFmtId="0" fontId="3" fillId="3" borderId="9" xfId="0" applyFont="1" applyFill="1" applyBorder="1" applyAlignment="1" applyProtection="1">
      <alignment horizontal="left"/>
      <protection locked="0"/>
    </xf>
    <xf numFmtId="14" fontId="3" fillId="3" borderId="12" xfId="0" applyNumberFormat="1" applyFont="1" applyFill="1" applyBorder="1" applyAlignment="1" applyProtection="1">
      <alignment horizontal="left"/>
      <protection locked="0"/>
    </xf>
    <xf numFmtId="14" fontId="3" fillId="3" borderId="13" xfId="0" applyNumberFormat="1" applyFont="1" applyFill="1" applyBorder="1" applyAlignment="1" applyProtection="1">
      <alignment horizontal="left"/>
      <protection locked="0"/>
    </xf>
    <xf numFmtId="14" fontId="3" fillId="3" borderId="9" xfId="0" applyNumberFormat="1" applyFont="1" applyFill="1" applyBorder="1" applyAlignment="1" applyProtection="1">
      <alignment horizontal="left"/>
      <protection locked="0"/>
    </xf>
    <xf numFmtId="164" fontId="10" fillId="0" borderId="20" xfId="3" applyNumberFormat="1" applyFont="1" applyFill="1" applyBorder="1" applyAlignment="1" applyProtection="1"/>
  </cellXfs>
  <cellStyles count="4">
    <cellStyle name="Goed" xfId="3" builtinId="26"/>
    <cellStyle name="Komma" xfId="1" builtinId="3"/>
    <cellStyle name="Standaard" xfId="0" builtinId="0"/>
    <cellStyle name="Standaard 2" xfId="2"/>
  </cellStyles>
  <dxfs count="13">
    <dxf>
      <font>
        <b/>
        <i val="0"/>
        <color rgb="FF00B05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33CC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9"/>
  <sheetViews>
    <sheetView tabSelected="1" topLeftCell="A12" workbookViewId="0">
      <selection activeCell="I35" sqref="I35"/>
    </sheetView>
  </sheetViews>
  <sheetFormatPr defaultRowHeight="14.4" x14ac:dyDescent="0.3"/>
  <cols>
    <col min="4" max="4" width="24.44140625" customWidth="1"/>
  </cols>
  <sheetData>
    <row r="1" spans="1:44" x14ac:dyDescent="0.3">
      <c r="A1" s="64" t="s">
        <v>0</v>
      </c>
      <c r="B1" s="64"/>
      <c r="C1" s="64"/>
      <c r="D1" s="65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6" x14ac:dyDescent="0.3">
      <c r="A2" s="66"/>
      <c r="B2" s="66"/>
      <c r="C2" s="66"/>
      <c r="D2" s="67"/>
      <c r="E2" s="3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68"/>
      <c r="B3" s="68"/>
      <c r="C3" s="68"/>
      <c r="D3" s="69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4" t="s">
        <v>2</v>
      </c>
      <c r="B4" s="5"/>
      <c r="C4" s="5"/>
      <c r="D4" s="6"/>
      <c r="E4" s="70" t="s">
        <v>3</v>
      </c>
      <c r="F4" s="71"/>
      <c r="G4" s="71"/>
      <c r="H4" s="7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4" t="s">
        <v>4</v>
      </c>
      <c r="B5" s="5"/>
      <c r="C5" s="5"/>
      <c r="D5" s="6"/>
      <c r="E5" s="70" t="s">
        <v>30</v>
      </c>
      <c r="F5" s="71"/>
      <c r="G5" s="71"/>
      <c r="H5" s="7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4" t="s">
        <v>5</v>
      </c>
      <c r="B6" s="5"/>
      <c r="C6" s="5"/>
      <c r="D6" s="6"/>
      <c r="E6" s="72" t="s">
        <v>31</v>
      </c>
      <c r="F6" s="71"/>
      <c r="G6" s="71"/>
      <c r="H6" s="71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4" t="s">
        <v>6</v>
      </c>
      <c r="B7" s="5"/>
      <c r="C7" s="5"/>
      <c r="D7" s="6"/>
      <c r="E7" s="73" t="s">
        <v>32</v>
      </c>
      <c r="F7" s="74"/>
      <c r="G7" s="74"/>
      <c r="H7" s="75"/>
      <c r="I7" s="2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4" t="s">
        <v>7</v>
      </c>
      <c r="B8" s="5"/>
      <c r="C8" s="5"/>
      <c r="D8" s="6"/>
      <c r="E8" s="62">
        <v>44722</v>
      </c>
      <c r="F8" s="63"/>
      <c r="G8" s="63"/>
      <c r="H8" s="6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7"/>
      <c r="B9" s="7"/>
      <c r="C9" s="7"/>
      <c r="D9" s="8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4" t="s">
        <v>8</v>
      </c>
      <c r="B10" s="5"/>
      <c r="C10" s="5"/>
      <c r="D10" s="6"/>
      <c r="E10" s="9">
        <v>20</v>
      </c>
      <c r="F10" s="2"/>
      <c r="G10" s="2" t="s">
        <v>28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4" t="s">
        <v>9</v>
      </c>
      <c r="B11" s="5"/>
      <c r="C11" s="5"/>
      <c r="D11" s="6"/>
      <c r="E11" s="9">
        <v>19</v>
      </c>
      <c r="F11" s="2"/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1"/>
      <c r="B12" s="1"/>
      <c r="C12" s="2"/>
      <c r="D12" s="10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3">
      <c r="A13" s="1"/>
      <c r="B13" s="1"/>
      <c r="C13" s="2"/>
      <c r="D13" s="10"/>
      <c r="E13" s="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3">
      <c r="A14" s="1"/>
      <c r="B14" s="1"/>
      <c r="C14" s="2"/>
      <c r="D14" s="12" t="s">
        <v>10</v>
      </c>
      <c r="E14" s="13">
        <f>IF($E$11&gt;0,1,"")</f>
        <v>1</v>
      </c>
      <c r="F14" s="13">
        <f>IF($E$11&gt;1,2,"")</f>
        <v>2</v>
      </c>
      <c r="G14" s="13">
        <f>IF($E$11&gt;2,3,"")</f>
        <v>3</v>
      </c>
      <c r="H14" s="13">
        <f>IF($E$11&gt;3,4,"")</f>
        <v>4</v>
      </c>
      <c r="I14" s="13">
        <f>IF($E$11&gt;4,5,"")</f>
        <v>5</v>
      </c>
      <c r="J14" s="13">
        <f>IF($E$11&gt;5,6,"")</f>
        <v>6</v>
      </c>
      <c r="K14" s="13">
        <f>IF($E$11&gt;6,7,"")</f>
        <v>7</v>
      </c>
      <c r="L14" s="13">
        <f>IF($E$11&gt;7,8,"")</f>
        <v>8</v>
      </c>
      <c r="M14" s="13">
        <f>IF($E$11&gt;8,9,"")</f>
        <v>9</v>
      </c>
      <c r="N14" s="13">
        <f>IF($E$11&gt;9,10,"")</f>
        <v>10</v>
      </c>
      <c r="O14" s="13">
        <f>IF($E$11&gt;10,11,"")</f>
        <v>11</v>
      </c>
      <c r="P14" s="13">
        <f>IF($E$11&gt;11,12,"")</f>
        <v>12</v>
      </c>
      <c r="Q14" s="13">
        <f>IF($E$11&gt;12,13,"")</f>
        <v>13</v>
      </c>
      <c r="R14" s="13">
        <f>IF($E$11&gt;13,14,"")</f>
        <v>14</v>
      </c>
      <c r="S14" s="13">
        <f>IF($E$11&gt;14,15,"")</f>
        <v>15</v>
      </c>
      <c r="T14" s="13">
        <f>IF($E$11&gt;15,16,"")</f>
        <v>16</v>
      </c>
      <c r="U14" s="13">
        <f>IF($E$11&gt;16,17,"")</f>
        <v>17</v>
      </c>
      <c r="V14" s="13">
        <f>IF($E$11&gt;17,18,"")</f>
        <v>18</v>
      </c>
      <c r="W14" s="13">
        <f>IF($E$11&gt;18,19,"")</f>
        <v>19</v>
      </c>
      <c r="X14" s="13" t="str">
        <f>IF($E$11&gt;19,20,"")</f>
        <v/>
      </c>
      <c r="Y14" s="13" t="str">
        <f>IF($E$11&gt;20,21,"")</f>
        <v/>
      </c>
      <c r="Z14" s="13" t="str">
        <f>IF($E$11&gt;21,22,"")</f>
        <v/>
      </c>
      <c r="AA14" s="13" t="str">
        <f>IF($E$11&gt;22,23,"")</f>
        <v/>
      </c>
      <c r="AB14" s="13" t="str">
        <f>IF($E$11&gt;23,24,"")</f>
        <v/>
      </c>
      <c r="AC14" s="13" t="str">
        <f>IF($E$11&gt;24,25,"")</f>
        <v/>
      </c>
      <c r="AD14" s="13" t="str">
        <f>IF($E$11&gt;25,26,"")</f>
        <v/>
      </c>
      <c r="AE14" s="13" t="str">
        <f>IF($E$11&gt;26,27,"")</f>
        <v/>
      </c>
      <c r="AF14" s="13" t="str">
        <f>IF($E$11&gt;27,28,"")</f>
        <v/>
      </c>
      <c r="AG14" s="13" t="str">
        <f>IF($E$11&gt;28,29,"")</f>
        <v/>
      </c>
      <c r="AH14" s="13" t="str">
        <f>IF($E$11&gt;29,30,"")</f>
        <v/>
      </c>
      <c r="AI14" s="13" t="str">
        <f>IF($E$11&gt;30,31,"")</f>
        <v/>
      </c>
      <c r="AJ14" s="13" t="str">
        <f>IF($E$11&gt;31,32,"")</f>
        <v/>
      </c>
      <c r="AK14" s="13" t="str">
        <f>IF($E$11&gt;32,33,"")</f>
        <v/>
      </c>
      <c r="AL14" s="13" t="str">
        <f>IF($E$11&gt;33,34,"")</f>
        <v/>
      </c>
      <c r="AM14" s="13" t="str">
        <f>IF($E$11&gt;34,35,"")</f>
        <v/>
      </c>
      <c r="AN14" s="13" t="str">
        <f>IF($E$11&gt;35,36,"")</f>
        <v/>
      </c>
      <c r="AO14" s="13" t="str">
        <f>IF($E$11&gt;36,37,"")</f>
        <v/>
      </c>
      <c r="AP14" s="13" t="str">
        <f>IF($E$11&gt;37,38,"")</f>
        <v/>
      </c>
      <c r="AQ14" s="13" t="str">
        <f>IF($E$11&gt;38,39,"")</f>
        <v/>
      </c>
      <c r="AR14" s="13" t="str">
        <f>IF($E$11&gt;39,40,"")</f>
        <v/>
      </c>
    </row>
    <row r="15" spans="1:44" x14ac:dyDescent="0.3">
      <c r="A15" s="1"/>
      <c r="B15" s="1"/>
      <c r="C15" s="2"/>
      <c r="D15" s="10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3">
      <c r="A16" s="1"/>
      <c r="B16" s="1"/>
      <c r="C16" s="2"/>
      <c r="D16" s="12" t="s">
        <v>11</v>
      </c>
      <c r="E16" s="14">
        <v>4</v>
      </c>
      <c r="F16" s="14">
        <v>8</v>
      </c>
      <c r="G16" s="14">
        <v>6</v>
      </c>
      <c r="H16" s="14">
        <v>6</v>
      </c>
      <c r="I16" s="14">
        <v>6</v>
      </c>
      <c r="J16" s="41">
        <v>6</v>
      </c>
      <c r="K16" s="41">
        <v>6</v>
      </c>
      <c r="L16" s="41">
        <v>6</v>
      </c>
      <c r="M16" s="41">
        <v>6</v>
      </c>
      <c r="N16" s="41">
        <v>2</v>
      </c>
      <c r="O16" s="41">
        <v>4</v>
      </c>
      <c r="P16" s="14">
        <v>5</v>
      </c>
      <c r="Q16" s="14">
        <v>5</v>
      </c>
      <c r="R16" s="48">
        <v>4</v>
      </c>
      <c r="S16" s="49">
        <v>6</v>
      </c>
      <c r="T16" s="42">
        <v>6</v>
      </c>
      <c r="U16" s="42">
        <v>6</v>
      </c>
      <c r="V16" s="42">
        <v>6</v>
      </c>
      <c r="W16" s="42">
        <v>2</v>
      </c>
      <c r="X16" s="49"/>
      <c r="Y16" s="49"/>
      <c r="Z16" s="49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x14ac:dyDescent="0.3">
      <c r="A17" s="1"/>
      <c r="B17" s="1"/>
      <c r="C17" s="2"/>
      <c r="D17" s="10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3">
      <c r="A18" s="16" t="s">
        <v>12</v>
      </c>
      <c r="B18" s="17" t="s">
        <v>13</v>
      </c>
      <c r="C18" s="16" t="s">
        <v>14</v>
      </c>
      <c r="D18" s="17" t="s">
        <v>15</v>
      </c>
      <c r="E18" s="3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x14ac:dyDescent="0.3">
      <c r="A19" s="61">
        <f>IF(COUNT(E19:AR19)&gt;0,SUM(E19:AR19),"")</f>
        <v>39</v>
      </c>
      <c r="B19" s="51">
        <f>IF(COUNT(E19:AR19)&gt;0,A19/COUNT(E19:AR19),"")</f>
        <v>2.0526315789473686</v>
      </c>
      <c r="C19" s="52">
        <v>397632</v>
      </c>
      <c r="D19" s="60" t="s">
        <v>33</v>
      </c>
      <c r="E19" s="44">
        <v>0</v>
      </c>
      <c r="F19" s="44">
        <v>0</v>
      </c>
      <c r="G19" s="44">
        <v>0</v>
      </c>
      <c r="H19" s="44">
        <v>2</v>
      </c>
      <c r="I19" s="44">
        <v>3</v>
      </c>
      <c r="J19" s="44">
        <v>6</v>
      </c>
      <c r="K19" s="44">
        <v>1</v>
      </c>
      <c r="L19" s="44">
        <v>1</v>
      </c>
      <c r="M19" s="44">
        <v>6</v>
      </c>
      <c r="N19" s="44">
        <v>0</v>
      </c>
      <c r="O19" s="44">
        <v>2</v>
      </c>
      <c r="P19" s="44">
        <v>5</v>
      </c>
      <c r="Q19" s="44">
        <v>2</v>
      </c>
      <c r="R19" s="44">
        <v>4</v>
      </c>
      <c r="S19" s="44">
        <v>0</v>
      </c>
      <c r="T19" s="44">
        <v>2</v>
      </c>
      <c r="U19" s="44">
        <v>0</v>
      </c>
      <c r="V19" s="44">
        <v>3</v>
      </c>
      <c r="W19" s="44">
        <v>2</v>
      </c>
      <c r="X19" s="44"/>
      <c r="Y19" s="43"/>
      <c r="Z19" s="43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40"/>
    </row>
    <row r="20" spans="1:44" x14ac:dyDescent="0.3">
      <c r="A20" s="61">
        <f t="shared" ref="A20:A79" si="0">IF(COUNT(E20:AR20)&gt;0,SUM(E20:AR20),"")</f>
        <v>31</v>
      </c>
      <c r="B20" s="51">
        <f t="shared" ref="B20:B79" si="1">IF(COUNT(E20:AR20)&gt;0,A20/COUNT(E20:AR20),"")</f>
        <v>1.631578947368421</v>
      </c>
      <c r="C20" s="52">
        <v>406784</v>
      </c>
      <c r="D20" s="53" t="s">
        <v>34</v>
      </c>
      <c r="E20" s="44">
        <v>3</v>
      </c>
      <c r="F20" s="44">
        <v>0</v>
      </c>
      <c r="G20" s="44">
        <v>0</v>
      </c>
      <c r="H20" s="44">
        <v>0</v>
      </c>
      <c r="I20" s="44">
        <v>4</v>
      </c>
      <c r="J20" s="44">
        <v>6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  <c r="P20" s="44">
        <v>5</v>
      </c>
      <c r="Q20" s="44">
        <v>2</v>
      </c>
      <c r="R20" s="44">
        <v>4</v>
      </c>
      <c r="S20" s="44">
        <v>3</v>
      </c>
      <c r="T20" s="44">
        <v>0</v>
      </c>
      <c r="U20" s="44">
        <v>3</v>
      </c>
      <c r="V20" s="44">
        <v>0</v>
      </c>
      <c r="W20" s="44">
        <v>0</v>
      </c>
      <c r="X20" s="44"/>
      <c r="Y20" s="43"/>
      <c r="Z20" s="43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40"/>
    </row>
    <row r="21" spans="1:44" x14ac:dyDescent="0.3">
      <c r="A21" s="59">
        <f t="shared" si="0"/>
        <v>78</v>
      </c>
      <c r="B21" s="51">
        <f t="shared" si="1"/>
        <v>4.1052631578947372</v>
      </c>
      <c r="C21" s="52">
        <v>389056</v>
      </c>
      <c r="D21" s="53" t="s">
        <v>35</v>
      </c>
      <c r="E21" s="44">
        <v>3</v>
      </c>
      <c r="F21" s="44">
        <v>8</v>
      </c>
      <c r="G21" s="44">
        <v>0</v>
      </c>
      <c r="H21" s="44">
        <v>4</v>
      </c>
      <c r="I21" s="44">
        <v>6</v>
      </c>
      <c r="J21" s="44">
        <v>6</v>
      </c>
      <c r="K21" s="44">
        <v>6</v>
      </c>
      <c r="L21" s="44">
        <v>6</v>
      </c>
      <c r="M21" s="44">
        <v>6</v>
      </c>
      <c r="N21" s="44">
        <v>0</v>
      </c>
      <c r="O21" s="44">
        <v>4</v>
      </c>
      <c r="P21" s="44">
        <v>5</v>
      </c>
      <c r="Q21" s="44">
        <v>5</v>
      </c>
      <c r="R21" s="44">
        <v>4</v>
      </c>
      <c r="S21" s="44">
        <v>3</v>
      </c>
      <c r="T21" s="44">
        <v>1</v>
      </c>
      <c r="U21" s="44">
        <v>6</v>
      </c>
      <c r="V21" s="44">
        <v>3</v>
      </c>
      <c r="W21" s="44">
        <v>2</v>
      </c>
      <c r="X21" s="44"/>
      <c r="Y21" s="43"/>
      <c r="Z21" s="43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40"/>
    </row>
    <row r="22" spans="1:44" x14ac:dyDescent="0.3">
      <c r="A22" s="61">
        <f t="shared" si="0"/>
        <v>19</v>
      </c>
      <c r="B22" s="51">
        <f t="shared" si="1"/>
        <v>1</v>
      </c>
      <c r="C22" s="52">
        <v>396994</v>
      </c>
      <c r="D22" s="60" t="s">
        <v>36</v>
      </c>
      <c r="E22" s="44">
        <v>0</v>
      </c>
      <c r="F22" s="44">
        <v>0</v>
      </c>
      <c r="G22" s="44">
        <v>0</v>
      </c>
      <c r="H22" s="44">
        <v>2</v>
      </c>
      <c r="I22" s="44">
        <v>0</v>
      </c>
      <c r="J22" s="44">
        <v>6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5</v>
      </c>
      <c r="Q22" s="44">
        <v>2</v>
      </c>
      <c r="R22" s="44">
        <v>1</v>
      </c>
      <c r="S22" s="44">
        <v>0</v>
      </c>
      <c r="T22" s="44">
        <v>0</v>
      </c>
      <c r="U22" s="44">
        <v>0</v>
      </c>
      <c r="V22" s="44">
        <v>3</v>
      </c>
      <c r="W22" s="44">
        <v>0</v>
      </c>
      <c r="X22" s="44"/>
      <c r="Y22" s="43"/>
      <c r="Z22" s="43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40"/>
    </row>
    <row r="23" spans="1:44" x14ac:dyDescent="0.3">
      <c r="A23" s="59">
        <f t="shared" si="0"/>
        <v>77</v>
      </c>
      <c r="B23" s="51">
        <f t="shared" si="1"/>
        <v>4.0526315789473681</v>
      </c>
      <c r="C23" s="52">
        <v>405275</v>
      </c>
      <c r="D23" s="53" t="s">
        <v>37</v>
      </c>
      <c r="E23" s="44">
        <v>3</v>
      </c>
      <c r="F23" s="44">
        <v>3</v>
      </c>
      <c r="G23" s="44">
        <v>0</v>
      </c>
      <c r="H23" s="44">
        <v>4</v>
      </c>
      <c r="I23" s="44">
        <v>4</v>
      </c>
      <c r="J23" s="44">
        <v>6</v>
      </c>
      <c r="K23" s="44">
        <v>6</v>
      </c>
      <c r="L23" s="44">
        <v>6</v>
      </c>
      <c r="M23" s="44">
        <v>6</v>
      </c>
      <c r="N23" s="44">
        <v>0</v>
      </c>
      <c r="O23" s="44">
        <v>4</v>
      </c>
      <c r="P23" s="44">
        <v>5</v>
      </c>
      <c r="Q23" s="44">
        <v>5</v>
      </c>
      <c r="R23" s="44">
        <v>4</v>
      </c>
      <c r="S23" s="44">
        <v>3</v>
      </c>
      <c r="T23" s="44">
        <v>5</v>
      </c>
      <c r="U23" s="44">
        <v>6</v>
      </c>
      <c r="V23" s="44">
        <v>6</v>
      </c>
      <c r="W23" s="44">
        <v>1</v>
      </c>
      <c r="X23" s="44"/>
      <c r="Y23" s="43"/>
      <c r="Z23" s="43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40"/>
    </row>
    <row r="24" spans="1:44" x14ac:dyDescent="0.3">
      <c r="A24" s="61">
        <f t="shared" si="0"/>
        <v>25</v>
      </c>
      <c r="B24" s="51">
        <f t="shared" si="1"/>
        <v>1.3157894736842106</v>
      </c>
      <c r="C24" s="54">
        <v>397282</v>
      </c>
      <c r="D24" s="55" t="s">
        <v>38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6</v>
      </c>
      <c r="L24" s="44">
        <v>0</v>
      </c>
      <c r="M24" s="44">
        <v>0</v>
      </c>
      <c r="N24" s="44">
        <v>0</v>
      </c>
      <c r="O24" s="44">
        <v>0</v>
      </c>
      <c r="P24" s="44">
        <v>5</v>
      </c>
      <c r="Q24" s="44">
        <v>2</v>
      </c>
      <c r="R24" s="44">
        <v>2</v>
      </c>
      <c r="S24" s="44">
        <v>3</v>
      </c>
      <c r="T24" s="44">
        <v>4</v>
      </c>
      <c r="U24" s="44">
        <v>0</v>
      </c>
      <c r="V24" s="44">
        <v>3</v>
      </c>
      <c r="W24" s="44">
        <v>0</v>
      </c>
      <c r="X24" s="44"/>
      <c r="Y24" s="43"/>
      <c r="Z24" s="43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40"/>
    </row>
    <row r="25" spans="1:44" x14ac:dyDescent="0.3">
      <c r="A25" s="61">
        <f t="shared" si="0"/>
        <v>39</v>
      </c>
      <c r="B25" s="51">
        <f t="shared" si="1"/>
        <v>2.0526315789473686</v>
      </c>
      <c r="C25" s="54">
        <v>388779</v>
      </c>
      <c r="D25" s="55" t="s">
        <v>39</v>
      </c>
      <c r="E25" s="44">
        <v>2</v>
      </c>
      <c r="F25" s="44">
        <v>8</v>
      </c>
      <c r="G25" s="44">
        <v>0</v>
      </c>
      <c r="H25" s="44">
        <v>6</v>
      </c>
      <c r="I25" s="44">
        <v>0</v>
      </c>
      <c r="J25" s="44">
        <v>6</v>
      </c>
      <c r="K25" s="44">
        <v>6</v>
      </c>
      <c r="L25" s="44">
        <v>0</v>
      </c>
      <c r="M25" s="44">
        <v>0</v>
      </c>
      <c r="N25" s="44">
        <v>0</v>
      </c>
      <c r="O25" s="44">
        <v>0</v>
      </c>
      <c r="P25" s="44">
        <v>5</v>
      </c>
      <c r="Q25" s="44">
        <v>2</v>
      </c>
      <c r="R25" s="44">
        <v>4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/>
      <c r="Y25" s="43"/>
      <c r="Z25" s="43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40"/>
    </row>
    <row r="26" spans="1:44" x14ac:dyDescent="0.3">
      <c r="A26" s="61">
        <f t="shared" si="0"/>
        <v>47</v>
      </c>
      <c r="B26" s="51">
        <f t="shared" si="1"/>
        <v>2.4736842105263159</v>
      </c>
      <c r="C26" s="54">
        <v>397485</v>
      </c>
      <c r="D26" s="55" t="s">
        <v>40</v>
      </c>
      <c r="E26" s="44">
        <v>4</v>
      </c>
      <c r="F26" s="44">
        <v>8</v>
      </c>
      <c r="G26" s="44">
        <v>0</v>
      </c>
      <c r="H26" s="44">
        <v>2</v>
      </c>
      <c r="I26" s="44">
        <v>4</v>
      </c>
      <c r="J26" s="44">
        <v>6</v>
      </c>
      <c r="K26" s="44">
        <v>1</v>
      </c>
      <c r="L26" s="44">
        <v>0</v>
      </c>
      <c r="M26" s="44">
        <v>0</v>
      </c>
      <c r="N26" s="44">
        <v>0</v>
      </c>
      <c r="O26" s="44">
        <v>3</v>
      </c>
      <c r="P26" s="44">
        <v>2</v>
      </c>
      <c r="Q26" s="44">
        <v>1</v>
      </c>
      <c r="R26" s="44">
        <v>2</v>
      </c>
      <c r="S26" s="44">
        <v>0</v>
      </c>
      <c r="T26" s="44">
        <v>6</v>
      </c>
      <c r="U26" s="44">
        <v>0</v>
      </c>
      <c r="V26" s="44">
        <v>6</v>
      </c>
      <c r="W26" s="44">
        <v>2</v>
      </c>
      <c r="X26" s="44"/>
      <c r="Y26" s="43"/>
      <c r="Z26" s="43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40"/>
    </row>
    <row r="27" spans="1:44" x14ac:dyDescent="0.3">
      <c r="A27" s="59">
        <f t="shared" si="0"/>
        <v>55</v>
      </c>
      <c r="B27" s="51">
        <f t="shared" si="1"/>
        <v>2.8947368421052633</v>
      </c>
      <c r="C27" s="54">
        <v>397489</v>
      </c>
      <c r="D27" s="55" t="s">
        <v>41</v>
      </c>
      <c r="E27" s="44">
        <v>3</v>
      </c>
      <c r="F27" s="44">
        <v>4</v>
      </c>
      <c r="G27" s="44">
        <v>6</v>
      </c>
      <c r="H27" s="44">
        <v>6</v>
      </c>
      <c r="I27" s="44">
        <v>5</v>
      </c>
      <c r="J27" s="44">
        <v>6</v>
      </c>
      <c r="K27" s="44">
        <v>6</v>
      </c>
      <c r="L27" s="44">
        <v>6</v>
      </c>
      <c r="M27" s="44">
        <v>0</v>
      </c>
      <c r="N27" s="44">
        <v>0</v>
      </c>
      <c r="O27" s="44">
        <v>2</v>
      </c>
      <c r="P27" s="44">
        <v>5</v>
      </c>
      <c r="Q27" s="44">
        <v>2</v>
      </c>
      <c r="R27" s="44">
        <v>3</v>
      </c>
      <c r="S27" s="44">
        <v>0</v>
      </c>
      <c r="T27" s="44">
        <v>1</v>
      </c>
      <c r="U27" s="44">
        <v>0</v>
      </c>
      <c r="V27" s="44">
        <v>0</v>
      </c>
      <c r="W27" s="44">
        <v>0</v>
      </c>
      <c r="X27" s="44"/>
      <c r="Y27" s="43"/>
      <c r="Z27" s="43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40"/>
    </row>
    <row r="28" spans="1:44" ht="15.6" customHeight="1" x14ac:dyDescent="0.3">
      <c r="A28" s="91">
        <f t="shared" si="0"/>
        <v>55</v>
      </c>
      <c r="B28" s="51">
        <f t="shared" si="1"/>
        <v>2.8947368421052633</v>
      </c>
      <c r="C28" s="54">
        <v>388764</v>
      </c>
      <c r="D28" s="55" t="s">
        <v>42</v>
      </c>
      <c r="E28" s="44">
        <v>1</v>
      </c>
      <c r="F28" s="44">
        <v>0</v>
      </c>
      <c r="G28" s="44">
        <v>0</v>
      </c>
      <c r="H28" s="44">
        <v>6</v>
      </c>
      <c r="I28" s="44">
        <v>6</v>
      </c>
      <c r="J28" s="44">
        <v>6</v>
      </c>
      <c r="K28" s="44">
        <v>6</v>
      </c>
      <c r="L28" s="44">
        <v>1</v>
      </c>
      <c r="M28" s="44">
        <v>0</v>
      </c>
      <c r="N28" s="44">
        <v>0</v>
      </c>
      <c r="O28" s="44">
        <v>2</v>
      </c>
      <c r="P28" s="44">
        <v>5</v>
      </c>
      <c r="Q28" s="44">
        <v>2</v>
      </c>
      <c r="R28" s="44">
        <v>4</v>
      </c>
      <c r="S28" s="44">
        <v>3</v>
      </c>
      <c r="T28" s="44">
        <v>5</v>
      </c>
      <c r="U28" s="44">
        <v>0</v>
      </c>
      <c r="V28" s="44">
        <v>6</v>
      </c>
      <c r="W28" s="44">
        <v>2</v>
      </c>
      <c r="X28" s="44"/>
      <c r="Y28" s="43"/>
      <c r="Z28" s="43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40"/>
    </row>
    <row r="29" spans="1:44" x14ac:dyDescent="0.3">
      <c r="A29" s="59">
        <f t="shared" si="0"/>
        <v>61</v>
      </c>
      <c r="B29" s="51">
        <f t="shared" si="1"/>
        <v>3.2105263157894739</v>
      </c>
      <c r="C29" s="54">
        <v>380257</v>
      </c>
      <c r="D29" s="55" t="s">
        <v>43</v>
      </c>
      <c r="E29" s="44">
        <v>3</v>
      </c>
      <c r="F29" s="44">
        <v>8</v>
      </c>
      <c r="G29" s="44">
        <v>0</v>
      </c>
      <c r="H29" s="44">
        <v>2</v>
      </c>
      <c r="I29" s="44">
        <v>5</v>
      </c>
      <c r="J29" s="44">
        <v>6</v>
      </c>
      <c r="K29" s="44">
        <v>6</v>
      </c>
      <c r="L29" s="44">
        <v>6</v>
      </c>
      <c r="M29" s="44">
        <v>4</v>
      </c>
      <c r="N29" s="44">
        <v>0</v>
      </c>
      <c r="O29" s="44">
        <v>4</v>
      </c>
      <c r="P29" s="44">
        <v>5</v>
      </c>
      <c r="Q29" s="44">
        <v>2</v>
      </c>
      <c r="R29" s="44">
        <v>3</v>
      </c>
      <c r="S29" s="44">
        <v>3</v>
      </c>
      <c r="T29" s="44">
        <v>2</v>
      </c>
      <c r="U29" s="44">
        <v>0</v>
      </c>
      <c r="V29" s="44">
        <v>2</v>
      </c>
      <c r="W29" s="44">
        <v>0</v>
      </c>
      <c r="X29" s="44"/>
      <c r="Y29" s="43"/>
      <c r="Z29" s="43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40"/>
    </row>
    <row r="30" spans="1:44" x14ac:dyDescent="0.3">
      <c r="A30" s="59">
        <f t="shared" si="0"/>
        <v>66</v>
      </c>
      <c r="B30" s="51">
        <f t="shared" si="1"/>
        <v>3.4736842105263159</v>
      </c>
      <c r="C30" s="54">
        <v>397628</v>
      </c>
      <c r="D30" s="55" t="s">
        <v>44</v>
      </c>
      <c r="E30" s="44">
        <v>4</v>
      </c>
      <c r="F30" s="44">
        <v>8</v>
      </c>
      <c r="G30" s="44">
        <v>6</v>
      </c>
      <c r="H30" s="44">
        <v>6</v>
      </c>
      <c r="I30" s="44">
        <v>6</v>
      </c>
      <c r="J30" s="44">
        <v>6</v>
      </c>
      <c r="K30" s="44">
        <v>1</v>
      </c>
      <c r="L30" s="44">
        <v>6</v>
      </c>
      <c r="M30" s="44">
        <v>0</v>
      </c>
      <c r="N30" s="44">
        <v>0</v>
      </c>
      <c r="O30" s="44">
        <v>4</v>
      </c>
      <c r="P30" s="44">
        <v>5</v>
      </c>
      <c r="Q30" s="44">
        <v>2</v>
      </c>
      <c r="R30" s="44">
        <v>0</v>
      </c>
      <c r="S30" s="44">
        <v>0</v>
      </c>
      <c r="T30" s="44">
        <v>0</v>
      </c>
      <c r="U30" s="44">
        <v>6</v>
      </c>
      <c r="V30" s="44">
        <v>6</v>
      </c>
      <c r="W30" s="44">
        <v>0</v>
      </c>
      <c r="X30" s="44"/>
      <c r="Y30" s="43"/>
      <c r="Z30" s="43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40"/>
    </row>
    <row r="31" spans="1:44" x14ac:dyDescent="0.3">
      <c r="A31" s="59">
        <f t="shared" si="0"/>
        <v>69</v>
      </c>
      <c r="B31" s="51">
        <f t="shared" si="1"/>
        <v>3.6315789473684212</v>
      </c>
      <c r="C31" s="54">
        <v>405836</v>
      </c>
      <c r="D31" s="55" t="s">
        <v>45</v>
      </c>
      <c r="E31" s="44">
        <v>4</v>
      </c>
      <c r="F31" s="44">
        <v>0</v>
      </c>
      <c r="G31" s="44">
        <v>6</v>
      </c>
      <c r="H31" s="44">
        <v>6</v>
      </c>
      <c r="I31" s="44">
        <v>0</v>
      </c>
      <c r="J31" s="44">
        <v>6</v>
      </c>
      <c r="K31" s="44">
        <v>6</v>
      </c>
      <c r="L31" s="44">
        <v>6</v>
      </c>
      <c r="M31" s="44">
        <v>0</v>
      </c>
      <c r="N31" s="44">
        <v>0</v>
      </c>
      <c r="O31" s="44">
        <v>1</v>
      </c>
      <c r="P31" s="44">
        <v>5</v>
      </c>
      <c r="Q31" s="44">
        <v>5</v>
      </c>
      <c r="R31" s="44">
        <v>3</v>
      </c>
      <c r="S31" s="44">
        <v>3</v>
      </c>
      <c r="T31" s="44">
        <v>6</v>
      </c>
      <c r="U31" s="44">
        <v>4</v>
      </c>
      <c r="V31" s="44">
        <v>6</v>
      </c>
      <c r="W31" s="44">
        <v>2</v>
      </c>
      <c r="X31" s="44"/>
      <c r="Y31" s="43"/>
      <c r="Z31" s="43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40"/>
    </row>
    <row r="32" spans="1:44" x14ac:dyDescent="0.3">
      <c r="A32" s="59">
        <f t="shared" si="0"/>
        <v>75</v>
      </c>
      <c r="B32" s="51">
        <f t="shared" si="1"/>
        <v>3.9473684210526314</v>
      </c>
      <c r="C32" s="54">
        <v>397171</v>
      </c>
      <c r="D32" s="55" t="s">
        <v>46</v>
      </c>
      <c r="E32" s="44">
        <v>4</v>
      </c>
      <c r="F32" s="44">
        <v>8</v>
      </c>
      <c r="G32" s="44">
        <v>0</v>
      </c>
      <c r="H32" s="44">
        <v>6</v>
      </c>
      <c r="I32" s="44">
        <v>6</v>
      </c>
      <c r="J32" s="44">
        <v>6</v>
      </c>
      <c r="K32" s="44">
        <v>6</v>
      </c>
      <c r="L32" s="44">
        <v>0</v>
      </c>
      <c r="M32" s="44">
        <v>6</v>
      </c>
      <c r="N32" s="44">
        <v>2</v>
      </c>
      <c r="O32" s="44">
        <v>3</v>
      </c>
      <c r="P32" s="44">
        <v>5</v>
      </c>
      <c r="Q32" s="44">
        <v>5</v>
      </c>
      <c r="R32" s="44">
        <v>4</v>
      </c>
      <c r="S32" s="44">
        <v>0</v>
      </c>
      <c r="T32" s="44">
        <v>6</v>
      </c>
      <c r="U32" s="44">
        <v>0</v>
      </c>
      <c r="V32" s="44">
        <v>6</v>
      </c>
      <c r="W32" s="44">
        <v>2</v>
      </c>
      <c r="X32" s="44"/>
      <c r="Y32" s="43"/>
      <c r="Z32" s="43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40"/>
    </row>
    <row r="33" spans="1:44" x14ac:dyDescent="0.3">
      <c r="A33" s="59">
        <f t="shared" si="0"/>
        <v>75</v>
      </c>
      <c r="B33" s="51">
        <f t="shared" si="1"/>
        <v>3.9473684210526314</v>
      </c>
      <c r="C33" s="54">
        <v>388859</v>
      </c>
      <c r="D33" s="55" t="s">
        <v>47</v>
      </c>
      <c r="E33" s="44">
        <v>3</v>
      </c>
      <c r="F33" s="44">
        <v>5</v>
      </c>
      <c r="G33" s="44">
        <v>6</v>
      </c>
      <c r="H33" s="44">
        <v>6</v>
      </c>
      <c r="I33" s="44">
        <v>4</v>
      </c>
      <c r="J33" s="44">
        <v>6</v>
      </c>
      <c r="K33" s="44">
        <v>6</v>
      </c>
      <c r="L33" s="44">
        <v>3</v>
      </c>
      <c r="M33" s="44">
        <v>2</v>
      </c>
      <c r="N33" s="44">
        <v>0</v>
      </c>
      <c r="O33" s="44">
        <v>2</v>
      </c>
      <c r="P33" s="44">
        <v>5</v>
      </c>
      <c r="Q33" s="44">
        <v>5</v>
      </c>
      <c r="R33" s="44">
        <v>3</v>
      </c>
      <c r="S33" s="44">
        <v>3</v>
      </c>
      <c r="T33" s="44">
        <v>6</v>
      </c>
      <c r="U33" s="44">
        <v>6</v>
      </c>
      <c r="V33" s="44">
        <v>4</v>
      </c>
      <c r="W33" s="44">
        <v>0</v>
      </c>
      <c r="X33" s="44"/>
      <c r="Y33" s="43"/>
      <c r="Z33" s="43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40"/>
    </row>
    <row r="34" spans="1:44" x14ac:dyDescent="0.3">
      <c r="A34" s="61">
        <f t="shared" si="0"/>
        <v>25</v>
      </c>
      <c r="B34" s="51">
        <f t="shared" si="1"/>
        <v>1.3157894736842106</v>
      </c>
      <c r="C34" s="54">
        <v>405265</v>
      </c>
      <c r="D34" s="55" t="s">
        <v>48</v>
      </c>
      <c r="E34" s="44">
        <v>1</v>
      </c>
      <c r="F34" s="44">
        <v>8</v>
      </c>
      <c r="G34" s="44">
        <v>0</v>
      </c>
      <c r="H34" s="44">
        <v>2</v>
      </c>
      <c r="I34" s="44">
        <v>0</v>
      </c>
      <c r="J34" s="44">
        <v>4</v>
      </c>
      <c r="K34" s="44">
        <v>1</v>
      </c>
      <c r="L34" s="44">
        <v>0</v>
      </c>
      <c r="M34" s="44">
        <v>0</v>
      </c>
      <c r="N34" s="44">
        <v>0</v>
      </c>
      <c r="O34" s="44">
        <v>0</v>
      </c>
      <c r="P34" s="44">
        <v>5</v>
      </c>
      <c r="Q34" s="44">
        <v>2</v>
      </c>
      <c r="R34" s="44">
        <v>2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/>
      <c r="Y34" s="43"/>
      <c r="Z34" s="43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40"/>
    </row>
    <row r="35" spans="1:44" x14ac:dyDescent="0.3">
      <c r="A35" s="61">
        <f t="shared" si="0"/>
        <v>44</v>
      </c>
      <c r="B35" s="51">
        <f t="shared" si="1"/>
        <v>2.3157894736842106</v>
      </c>
      <c r="C35" s="54">
        <v>405980</v>
      </c>
      <c r="D35" s="55" t="s">
        <v>49</v>
      </c>
      <c r="E35" s="44">
        <v>1</v>
      </c>
      <c r="F35" s="44">
        <v>0</v>
      </c>
      <c r="G35" s="44">
        <v>0</v>
      </c>
      <c r="H35" s="44">
        <v>4</v>
      </c>
      <c r="I35" s="44">
        <v>2</v>
      </c>
      <c r="J35" s="44">
        <v>6</v>
      </c>
      <c r="K35" s="44">
        <v>4</v>
      </c>
      <c r="L35" s="44">
        <v>0</v>
      </c>
      <c r="M35" s="44">
        <v>4</v>
      </c>
      <c r="N35" s="44">
        <v>1</v>
      </c>
      <c r="O35" s="44">
        <v>4</v>
      </c>
      <c r="P35" s="44">
        <v>5</v>
      </c>
      <c r="Q35" s="44">
        <v>2</v>
      </c>
      <c r="R35" s="44">
        <v>2</v>
      </c>
      <c r="S35" s="44">
        <v>3</v>
      </c>
      <c r="T35" s="44">
        <v>0</v>
      </c>
      <c r="U35" s="44">
        <v>6</v>
      </c>
      <c r="V35" s="44">
        <v>0</v>
      </c>
      <c r="W35" s="44">
        <v>0</v>
      </c>
      <c r="X35" s="44"/>
      <c r="Y35" s="43"/>
      <c r="Z35" s="43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40"/>
    </row>
    <row r="36" spans="1:44" x14ac:dyDescent="0.3">
      <c r="A36" s="59">
        <f t="shared" si="0"/>
        <v>63</v>
      </c>
      <c r="B36" s="51">
        <f t="shared" si="1"/>
        <v>3.3157894736842106</v>
      </c>
      <c r="C36" s="54">
        <v>380488</v>
      </c>
      <c r="D36" s="53" t="s">
        <v>50</v>
      </c>
      <c r="E36" s="44">
        <v>4</v>
      </c>
      <c r="F36" s="44">
        <v>8</v>
      </c>
      <c r="G36" s="44">
        <v>6</v>
      </c>
      <c r="H36" s="44">
        <v>6</v>
      </c>
      <c r="I36" s="44">
        <v>4</v>
      </c>
      <c r="J36" s="44">
        <v>6</v>
      </c>
      <c r="K36" s="44">
        <v>4</v>
      </c>
      <c r="L36" s="44">
        <v>0</v>
      </c>
      <c r="M36" s="44">
        <v>4</v>
      </c>
      <c r="N36" s="44">
        <v>0</v>
      </c>
      <c r="O36" s="44">
        <v>2</v>
      </c>
      <c r="P36" s="44">
        <v>5</v>
      </c>
      <c r="Q36" s="44">
        <v>0</v>
      </c>
      <c r="R36" s="44">
        <v>4</v>
      </c>
      <c r="S36" s="44">
        <v>0</v>
      </c>
      <c r="T36" s="44">
        <v>0</v>
      </c>
      <c r="U36" s="44">
        <v>2</v>
      </c>
      <c r="V36" s="44">
        <v>6</v>
      </c>
      <c r="W36" s="44">
        <v>2</v>
      </c>
      <c r="X36" s="44"/>
      <c r="Y36" s="43"/>
      <c r="Z36" s="43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40"/>
    </row>
    <row r="37" spans="1:44" x14ac:dyDescent="0.3">
      <c r="A37" s="59">
        <f t="shared" si="0"/>
        <v>77</v>
      </c>
      <c r="B37" s="51">
        <f t="shared" si="1"/>
        <v>4.0526315789473681</v>
      </c>
      <c r="C37" s="54">
        <v>388832</v>
      </c>
      <c r="D37" s="55" t="s">
        <v>51</v>
      </c>
      <c r="E37" s="44">
        <v>3</v>
      </c>
      <c r="F37" s="44">
        <v>8</v>
      </c>
      <c r="G37" s="44">
        <v>6</v>
      </c>
      <c r="H37" s="44">
        <v>6</v>
      </c>
      <c r="I37" s="44">
        <v>5</v>
      </c>
      <c r="J37" s="44">
        <v>6</v>
      </c>
      <c r="K37" s="44">
        <v>6</v>
      </c>
      <c r="L37" s="44">
        <v>1</v>
      </c>
      <c r="M37" s="44">
        <v>0</v>
      </c>
      <c r="N37" s="44">
        <v>0</v>
      </c>
      <c r="O37" s="44">
        <v>2</v>
      </c>
      <c r="P37" s="44">
        <v>5</v>
      </c>
      <c r="Q37" s="44">
        <v>5</v>
      </c>
      <c r="R37" s="44">
        <v>3</v>
      </c>
      <c r="S37" s="44">
        <v>3</v>
      </c>
      <c r="T37" s="44">
        <v>6</v>
      </c>
      <c r="U37" s="44">
        <v>6</v>
      </c>
      <c r="V37" s="44">
        <v>6</v>
      </c>
      <c r="W37" s="44">
        <v>0</v>
      </c>
      <c r="X37" s="44"/>
      <c r="Y37" s="43"/>
      <c r="Z37" s="43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40"/>
    </row>
    <row r="38" spans="1:44" x14ac:dyDescent="0.3">
      <c r="A38" s="59">
        <f t="shared" si="0"/>
        <v>64</v>
      </c>
      <c r="B38" s="51">
        <f t="shared" si="1"/>
        <v>3.3684210526315788</v>
      </c>
      <c r="C38" s="54">
        <v>388786</v>
      </c>
      <c r="D38" s="55" t="s">
        <v>52</v>
      </c>
      <c r="E38" s="44">
        <v>4</v>
      </c>
      <c r="F38" s="44">
        <v>8</v>
      </c>
      <c r="G38" s="44">
        <v>0</v>
      </c>
      <c r="H38" s="44">
        <v>4</v>
      </c>
      <c r="I38" s="44">
        <v>0</v>
      </c>
      <c r="J38" s="44">
        <v>6</v>
      </c>
      <c r="K38" s="44">
        <v>6</v>
      </c>
      <c r="L38" s="44">
        <v>1</v>
      </c>
      <c r="M38" s="44">
        <v>0</v>
      </c>
      <c r="N38" s="44">
        <v>0</v>
      </c>
      <c r="O38" s="44">
        <v>4</v>
      </c>
      <c r="P38" s="44">
        <v>5</v>
      </c>
      <c r="Q38" s="44">
        <v>2</v>
      </c>
      <c r="R38" s="44">
        <v>3</v>
      </c>
      <c r="S38" s="44">
        <v>3</v>
      </c>
      <c r="T38" s="44">
        <v>6</v>
      </c>
      <c r="U38" s="44">
        <v>6</v>
      </c>
      <c r="V38" s="44">
        <v>6</v>
      </c>
      <c r="W38" s="44">
        <v>0</v>
      </c>
      <c r="X38" s="44"/>
      <c r="Y38" s="43"/>
      <c r="Z38" s="43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40"/>
    </row>
    <row r="39" spans="1:44" x14ac:dyDescent="0.3">
      <c r="A39" s="59" t="str">
        <f t="shared" si="0"/>
        <v/>
      </c>
      <c r="B39" s="51" t="str">
        <f t="shared" si="1"/>
        <v/>
      </c>
      <c r="C39" s="54"/>
      <c r="D39" s="53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3"/>
      <c r="Z39" s="43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40"/>
    </row>
    <row r="40" spans="1:44" x14ac:dyDescent="0.3">
      <c r="A40" s="59" t="str">
        <f t="shared" si="0"/>
        <v/>
      </c>
      <c r="B40" s="51" t="str">
        <f t="shared" si="1"/>
        <v/>
      </c>
      <c r="C40" s="56"/>
      <c r="D40" s="57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3"/>
      <c r="Z40" s="43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40"/>
    </row>
    <row r="41" spans="1:44" x14ac:dyDescent="0.3">
      <c r="A41" s="59" t="str">
        <f t="shared" si="0"/>
        <v/>
      </c>
      <c r="B41" s="51" t="str">
        <f t="shared" si="1"/>
        <v/>
      </c>
      <c r="C41" s="56"/>
      <c r="D41" s="5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3"/>
      <c r="Z41" s="43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40"/>
    </row>
    <row r="42" spans="1:44" x14ac:dyDescent="0.3">
      <c r="A42" s="59" t="str">
        <f t="shared" si="0"/>
        <v/>
      </c>
      <c r="B42" s="51" t="str">
        <f t="shared" si="1"/>
        <v/>
      </c>
      <c r="C42" s="56"/>
      <c r="D42" s="53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3"/>
      <c r="Z42" s="43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40"/>
    </row>
    <row r="43" spans="1:44" x14ac:dyDescent="0.3">
      <c r="A43" s="59" t="str">
        <f t="shared" si="0"/>
        <v/>
      </c>
      <c r="B43" s="51" t="str">
        <f t="shared" si="1"/>
        <v/>
      </c>
      <c r="C43" s="54"/>
      <c r="D43" s="53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3"/>
      <c r="Z43" s="43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40"/>
    </row>
    <row r="44" spans="1:44" x14ac:dyDescent="0.3">
      <c r="A44" s="59" t="str">
        <f t="shared" si="0"/>
        <v/>
      </c>
      <c r="B44" s="51" t="str">
        <f t="shared" si="1"/>
        <v/>
      </c>
      <c r="C44" s="56"/>
      <c r="D44" s="53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3"/>
      <c r="Z44" s="43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40"/>
    </row>
    <row r="45" spans="1:44" x14ac:dyDescent="0.3">
      <c r="A45" s="59" t="str">
        <f t="shared" si="0"/>
        <v/>
      </c>
      <c r="B45" s="51" t="str">
        <f t="shared" si="1"/>
        <v/>
      </c>
      <c r="C45" s="56"/>
      <c r="D45" s="53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3"/>
      <c r="Z45" s="43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40"/>
    </row>
    <row r="46" spans="1:44" x14ac:dyDescent="0.3">
      <c r="A46" s="59" t="str">
        <f t="shared" si="0"/>
        <v/>
      </c>
      <c r="B46" s="51" t="str">
        <f t="shared" si="1"/>
        <v/>
      </c>
      <c r="C46" s="56"/>
      <c r="D46" s="53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3"/>
      <c r="Z46" s="43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40"/>
    </row>
    <row r="47" spans="1:44" x14ac:dyDescent="0.3">
      <c r="A47" s="59" t="str">
        <f t="shared" si="0"/>
        <v/>
      </c>
      <c r="B47" s="51" t="str">
        <f t="shared" si="1"/>
        <v/>
      </c>
      <c r="C47" s="56"/>
      <c r="D47" s="53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5"/>
      <c r="Z47" s="45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6"/>
    </row>
    <row r="48" spans="1:44" x14ac:dyDescent="0.3">
      <c r="A48" s="59" t="str">
        <f t="shared" si="0"/>
        <v/>
      </c>
      <c r="B48" s="51" t="str">
        <f t="shared" si="1"/>
        <v/>
      </c>
      <c r="C48" s="54"/>
      <c r="D48" s="53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5"/>
      <c r="Z48" s="45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6"/>
    </row>
    <row r="49" spans="1:44" x14ac:dyDescent="0.3">
      <c r="A49" s="59" t="str">
        <f t="shared" si="0"/>
        <v/>
      </c>
      <c r="B49" s="51" t="str">
        <f t="shared" si="1"/>
        <v/>
      </c>
      <c r="C49" s="54"/>
      <c r="D49" s="58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5"/>
      <c r="Z49" s="45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6"/>
    </row>
    <row r="50" spans="1:44" x14ac:dyDescent="0.3">
      <c r="A50" s="59" t="str">
        <f t="shared" si="0"/>
        <v/>
      </c>
      <c r="B50" s="51" t="str">
        <f t="shared" si="1"/>
        <v/>
      </c>
      <c r="C50" s="50"/>
      <c r="D50" s="50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5"/>
      <c r="Z50" s="45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6"/>
    </row>
    <row r="51" spans="1:44" x14ac:dyDescent="0.3">
      <c r="A51" s="59" t="str">
        <f t="shared" si="0"/>
        <v/>
      </c>
      <c r="B51" s="51" t="str">
        <f t="shared" si="1"/>
        <v/>
      </c>
      <c r="C51" s="50"/>
      <c r="D51" s="50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5"/>
      <c r="Z51" s="45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6"/>
    </row>
    <row r="52" spans="1:44" x14ac:dyDescent="0.3">
      <c r="A52" s="59" t="str">
        <f t="shared" si="0"/>
        <v/>
      </c>
      <c r="B52" s="51" t="str">
        <f t="shared" si="1"/>
        <v/>
      </c>
      <c r="C52" s="54"/>
      <c r="D52" s="55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3"/>
      <c r="Z52" s="43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40"/>
    </row>
    <row r="53" spans="1:44" x14ac:dyDescent="0.3">
      <c r="A53" s="59" t="str">
        <f t="shared" si="0"/>
        <v/>
      </c>
      <c r="B53" s="51" t="str">
        <f t="shared" si="1"/>
        <v/>
      </c>
      <c r="C53" s="54"/>
      <c r="D53" s="55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3"/>
      <c r="Z53" s="43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40"/>
    </row>
    <row r="54" spans="1:44" x14ac:dyDescent="0.3">
      <c r="A54" s="59" t="str">
        <f t="shared" si="0"/>
        <v/>
      </c>
      <c r="B54" s="51" t="str">
        <f t="shared" si="1"/>
        <v/>
      </c>
      <c r="C54" s="54"/>
      <c r="D54" s="55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3"/>
      <c r="Z54" s="43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40"/>
    </row>
    <row r="55" spans="1:44" x14ac:dyDescent="0.3">
      <c r="A55" s="59" t="str">
        <f t="shared" si="0"/>
        <v/>
      </c>
      <c r="B55" s="51" t="str">
        <f t="shared" si="1"/>
        <v/>
      </c>
      <c r="C55" s="37"/>
      <c r="D55" s="3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</row>
    <row r="56" spans="1:44" x14ac:dyDescent="0.3">
      <c r="A56" s="59" t="str">
        <f t="shared" si="0"/>
        <v/>
      </c>
      <c r="B56" s="51" t="str">
        <f t="shared" si="1"/>
        <v/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</row>
    <row r="57" spans="1:44" x14ac:dyDescent="0.3">
      <c r="A57" s="59" t="str">
        <f t="shared" si="0"/>
        <v/>
      </c>
      <c r="B57" s="51" t="str">
        <f t="shared" si="1"/>
        <v/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</row>
    <row r="58" spans="1:44" x14ac:dyDescent="0.3">
      <c r="A58" s="59" t="str">
        <f t="shared" si="0"/>
        <v/>
      </c>
      <c r="B58" s="51" t="str">
        <f t="shared" si="1"/>
        <v/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</row>
    <row r="59" spans="1:44" x14ac:dyDescent="0.3">
      <c r="A59" s="59" t="str">
        <f t="shared" si="0"/>
        <v/>
      </c>
      <c r="B59" s="51" t="str">
        <f t="shared" si="1"/>
        <v/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</row>
    <row r="60" spans="1:44" x14ac:dyDescent="0.3">
      <c r="A60" s="59" t="str">
        <f t="shared" si="0"/>
        <v/>
      </c>
      <c r="B60" s="51" t="str">
        <f t="shared" si="1"/>
        <v/>
      </c>
      <c r="C60" s="37"/>
      <c r="D60" s="3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</row>
    <row r="61" spans="1:44" x14ac:dyDescent="0.3">
      <c r="A61" s="59" t="str">
        <f t="shared" si="0"/>
        <v/>
      </c>
      <c r="B61" s="51" t="str">
        <f t="shared" si="1"/>
        <v/>
      </c>
      <c r="C61" s="37"/>
      <c r="D61" s="3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</row>
    <row r="62" spans="1:44" x14ac:dyDescent="0.3">
      <c r="A62" s="59" t="str">
        <f t="shared" si="0"/>
        <v/>
      </c>
      <c r="B62" s="51" t="str">
        <f t="shared" si="1"/>
        <v/>
      </c>
      <c r="C62" s="37"/>
      <c r="D62" s="3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</row>
    <row r="63" spans="1:44" x14ac:dyDescent="0.3">
      <c r="A63" s="59" t="str">
        <f t="shared" si="0"/>
        <v/>
      </c>
      <c r="B63" s="51" t="str">
        <f t="shared" si="1"/>
        <v/>
      </c>
      <c r="C63" s="37"/>
      <c r="D63" s="3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</row>
    <row r="64" spans="1:44" x14ac:dyDescent="0.3">
      <c r="A64" s="59" t="str">
        <f t="shared" si="0"/>
        <v/>
      </c>
      <c r="B64" s="51" t="str">
        <f t="shared" si="1"/>
        <v/>
      </c>
      <c r="C64" s="37"/>
      <c r="D64" s="3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</row>
    <row r="65" spans="1:44" x14ac:dyDescent="0.3">
      <c r="A65" s="59" t="str">
        <f t="shared" si="0"/>
        <v/>
      </c>
      <c r="B65" s="51" t="str">
        <f t="shared" si="1"/>
        <v/>
      </c>
      <c r="C65" s="37"/>
      <c r="D65" s="3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</row>
    <row r="66" spans="1:44" x14ac:dyDescent="0.3">
      <c r="A66" s="59" t="str">
        <f t="shared" si="0"/>
        <v/>
      </c>
      <c r="B66" s="51" t="str">
        <f t="shared" si="1"/>
        <v/>
      </c>
      <c r="C66" s="37"/>
      <c r="D66" s="3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</row>
    <row r="67" spans="1:44" x14ac:dyDescent="0.3">
      <c r="A67" s="59" t="str">
        <f t="shared" si="0"/>
        <v/>
      </c>
      <c r="B67" s="51" t="str">
        <f t="shared" si="1"/>
        <v/>
      </c>
      <c r="C67" s="37"/>
      <c r="D67" s="3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</row>
    <row r="68" spans="1:44" x14ac:dyDescent="0.3">
      <c r="A68" s="59" t="str">
        <f t="shared" si="0"/>
        <v/>
      </c>
      <c r="B68" s="51" t="str">
        <f t="shared" si="1"/>
        <v/>
      </c>
      <c r="C68" s="37"/>
      <c r="D68" s="3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</row>
    <row r="69" spans="1:44" x14ac:dyDescent="0.3">
      <c r="A69" s="59" t="str">
        <f t="shared" si="0"/>
        <v/>
      </c>
      <c r="B69" s="51" t="str">
        <f t="shared" si="1"/>
        <v/>
      </c>
      <c r="C69" s="37"/>
      <c r="D69" s="3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</row>
    <row r="70" spans="1:44" x14ac:dyDescent="0.3">
      <c r="A70" s="59" t="str">
        <f t="shared" si="0"/>
        <v/>
      </c>
      <c r="B70" s="51" t="str">
        <f t="shared" si="1"/>
        <v/>
      </c>
      <c r="C70" s="37"/>
      <c r="D70" s="3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</row>
    <row r="71" spans="1:44" x14ac:dyDescent="0.3">
      <c r="A71" s="59" t="str">
        <f t="shared" si="0"/>
        <v/>
      </c>
      <c r="B71" s="51" t="str">
        <f t="shared" si="1"/>
        <v/>
      </c>
      <c r="C71" s="37"/>
      <c r="D71" s="3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</row>
    <row r="72" spans="1:44" x14ac:dyDescent="0.3">
      <c r="A72" s="59" t="str">
        <f t="shared" si="0"/>
        <v/>
      </c>
      <c r="B72" s="51" t="str">
        <f t="shared" si="1"/>
        <v/>
      </c>
      <c r="C72" s="37"/>
      <c r="D72" s="3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</row>
    <row r="73" spans="1:44" x14ac:dyDescent="0.3">
      <c r="A73" s="59" t="str">
        <f t="shared" si="0"/>
        <v/>
      </c>
      <c r="B73" s="51" t="str">
        <f t="shared" si="1"/>
        <v/>
      </c>
      <c r="C73" s="37"/>
      <c r="D73" s="3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</row>
    <row r="74" spans="1:44" x14ac:dyDescent="0.3">
      <c r="A74" s="59" t="str">
        <f t="shared" si="0"/>
        <v/>
      </c>
      <c r="B74" s="51" t="str">
        <f t="shared" si="1"/>
        <v/>
      </c>
      <c r="C74" s="37"/>
      <c r="D74" s="3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</row>
    <row r="75" spans="1:44" x14ac:dyDescent="0.3">
      <c r="A75" s="59" t="str">
        <f t="shared" si="0"/>
        <v/>
      </c>
      <c r="B75" s="51" t="str">
        <f t="shared" si="1"/>
        <v/>
      </c>
      <c r="C75" s="37"/>
      <c r="D75" s="3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</row>
    <row r="76" spans="1:44" x14ac:dyDescent="0.3">
      <c r="A76" s="59" t="str">
        <f t="shared" si="0"/>
        <v/>
      </c>
      <c r="B76" s="51" t="str">
        <f t="shared" si="1"/>
        <v/>
      </c>
      <c r="C76" s="37"/>
      <c r="D76" s="3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</row>
    <row r="77" spans="1:44" x14ac:dyDescent="0.3">
      <c r="A77" s="59" t="str">
        <f t="shared" si="0"/>
        <v/>
      </c>
      <c r="B77" s="51" t="str">
        <f t="shared" si="1"/>
        <v/>
      </c>
      <c r="C77" s="37"/>
      <c r="D77" s="3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</row>
    <row r="78" spans="1:44" x14ac:dyDescent="0.3">
      <c r="A78" s="59" t="str">
        <f t="shared" si="0"/>
        <v/>
      </c>
      <c r="B78" s="51" t="str">
        <f t="shared" si="1"/>
        <v/>
      </c>
      <c r="C78" s="37"/>
      <c r="D78" s="3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</row>
    <row r="79" spans="1:44" x14ac:dyDescent="0.3">
      <c r="A79" s="59" t="str">
        <f t="shared" si="0"/>
        <v/>
      </c>
      <c r="B79" s="51" t="str">
        <f t="shared" si="1"/>
        <v/>
      </c>
      <c r="C79" s="37"/>
      <c r="D79" s="3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</row>
  </sheetData>
  <mergeCells count="6">
    <mergeCell ref="E8:H8"/>
    <mergeCell ref="A1:D3"/>
    <mergeCell ref="E4:H4"/>
    <mergeCell ref="E5:H5"/>
    <mergeCell ref="E6:H6"/>
    <mergeCell ref="E7:H7"/>
  </mergeCells>
  <conditionalFormatting sqref="E14:AR14">
    <cfRule type="cellIs" dxfId="12" priority="1" stopIfTrue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workbookViewId="0">
      <selection activeCell="C18" sqref="C18"/>
    </sheetView>
  </sheetViews>
  <sheetFormatPr defaultRowHeight="14.4" x14ac:dyDescent="0.3"/>
  <sheetData>
    <row r="1" spans="1:44" x14ac:dyDescent="0.3">
      <c r="A1" s="64" t="s">
        <v>0</v>
      </c>
      <c r="B1" s="64"/>
      <c r="C1" s="64"/>
      <c r="D1" s="65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6" x14ac:dyDescent="0.3">
      <c r="A2" s="66"/>
      <c r="B2" s="66"/>
      <c r="C2" s="66"/>
      <c r="D2" s="67"/>
      <c r="E2" s="3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68"/>
      <c r="B3" s="68"/>
      <c r="C3" s="68"/>
      <c r="D3" s="69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4" t="s">
        <v>16</v>
      </c>
      <c r="B4" s="5"/>
      <c r="C4" s="5"/>
      <c r="D4" s="6"/>
      <c r="E4" s="80" t="str">
        <f>IF(Scores!E4="","",IF(Scores!E4=Scores!E4,Scores!E4))</f>
        <v>FMW</v>
      </c>
      <c r="F4" s="81"/>
      <c r="G4" s="81"/>
      <c r="H4" s="8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4" t="s">
        <v>4</v>
      </c>
      <c r="B5" s="5"/>
      <c r="C5" s="5"/>
      <c r="D5" s="6"/>
      <c r="E5" s="80" t="str">
        <f>IF(Scores!E5="","",IF(Scores!E5=Scores!E5,Scores!E5))</f>
        <v>KW&amp;MBW</v>
      </c>
      <c r="F5" s="81"/>
      <c r="G5" s="81"/>
      <c r="H5" s="81"/>
      <c r="I5" s="1"/>
      <c r="J5" s="18"/>
      <c r="K5" s="82" t="s">
        <v>17</v>
      </c>
      <c r="L5" s="83"/>
      <c r="M5" s="84"/>
      <c r="N5" s="19">
        <f>IF(Scores!E11="","",(Scores!E11/(Scores!E11-1))*(1-((SUM(E23:EX23))/C23)))</f>
        <v>0.81042730979105282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4" t="s">
        <v>5</v>
      </c>
      <c r="B6" s="5"/>
      <c r="C6" s="5"/>
      <c r="D6" s="6"/>
      <c r="E6" s="80" t="str">
        <f>IF(Scores!E6="","",IF(Scores!E6=Scores!E6,Scores!E6))</f>
        <v>STA</v>
      </c>
      <c r="F6" s="81"/>
      <c r="G6" s="81"/>
      <c r="H6" s="81"/>
      <c r="I6" s="2"/>
      <c r="J6" s="2"/>
      <c r="K6" s="82" t="s">
        <v>18</v>
      </c>
      <c r="L6" s="83"/>
      <c r="M6" s="84"/>
      <c r="N6" s="19">
        <f>IF(Scores!E11&lt;&gt;"",C24*SQRT(1-N5),"")</f>
        <v>8.4469621516047582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4" t="s">
        <v>6</v>
      </c>
      <c r="B7" s="5"/>
      <c r="C7" s="5"/>
      <c r="D7" s="6"/>
      <c r="E7" s="85" t="str">
        <f>IF(Scores!E7="","",IF(Scores!E7=Scores!E7,Scores!E7))</f>
        <v>Deel 1; 1e kans</v>
      </c>
      <c r="F7" s="86"/>
      <c r="G7" s="86"/>
      <c r="H7" s="8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4" t="s">
        <v>7</v>
      </c>
      <c r="B8" s="5"/>
      <c r="C8" s="5"/>
      <c r="D8" s="6"/>
      <c r="E8" s="88">
        <f>IF(Scores!E8="","",IF(Scores!E8=Scores!E8,Scores!E8))</f>
        <v>44722</v>
      </c>
      <c r="F8" s="89"/>
      <c r="G8" s="89"/>
      <c r="H8" s="9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7"/>
      <c r="B9" s="7"/>
      <c r="C9" s="7"/>
      <c r="D9" s="8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4" t="s">
        <v>8</v>
      </c>
      <c r="B10" s="5"/>
      <c r="C10" s="5"/>
      <c r="D10" s="6"/>
      <c r="E10" s="20">
        <f>IF(Scores!E10="","",IF(Scores!E10=Scores!E10,Scores!E10))</f>
        <v>20</v>
      </c>
      <c r="F10" s="2"/>
      <c r="G10" s="2" t="s">
        <v>28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4" t="s">
        <v>9</v>
      </c>
      <c r="B11" s="5"/>
      <c r="C11" s="5"/>
      <c r="D11" s="6"/>
      <c r="E11" s="20">
        <f>IF(Scores!E11="","",IF(Scores!E11=Scores!E11,Scores!E11))</f>
        <v>19</v>
      </c>
      <c r="F11" s="2"/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3">
      <c r="A13" s="2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3">
      <c r="A14" s="22"/>
      <c r="B14" s="23"/>
      <c r="C14" s="24" t="s">
        <v>12</v>
      </c>
      <c r="D14" s="12" t="s">
        <v>10</v>
      </c>
      <c r="E14" s="13">
        <f>IF(Scores!E14="","",IF(Scores!E14=Scores!E14,Scores!E14))</f>
        <v>1</v>
      </c>
      <c r="F14" s="13">
        <f>IF(Scores!F14="","",IF(Scores!F14=Scores!F14,Scores!F14))</f>
        <v>2</v>
      </c>
      <c r="G14" s="13">
        <f>IF(Scores!G14="","",IF(Scores!G14=Scores!G14,Scores!G14))</f>
        <v>3</v>
      </c>
      <c r="H14" s="13">
        <f>IF(Scores!H14="","",IF(Scores!H14=Scores!H14,Scores!H14))</f>
        <v>4</v>
      </c>
      <c r="I14" s="13">
        <f>IF(Scores!I14="","",IF(Scores!I14=Scores!I14,Scores!I14))</f>
        <v>5</v>
      </c>
      <c r="J14" s="13">
        <f>IF(Scores!J14="","",IF(Scores!J14=Scores!J14,Scores!J14))</f>
        <v>6</v>
      </c>
      <c r="K14" s="13">
        <f>IF(Scores!K14="","",IF(Scores!K14=Scores!K14,Scores!K14))</f>
        <v>7</v>
      </c>
      <c r="L14" s="13">
        <f>IF(Scores!L14="","",IF(Scores!L14=Scores!L14,Scores!L14))</f>
        <v>8</v>
      </c>
      <c r="M14" s="13">
        <f>IF(Scores!M14="","",IF(Scores!M14=Scores!M14,Scores!M14))</f>
        <v>9</v>
      </c>
      <c r="N14" s="13">
        <f>IF(Scores!N14="","",IF(Scores!N14=Scores!N14,Scores!N14))</f>
        <v>10</v>
      </c>
      <c r="O14" s="13">
        <f>IF(Scores!O14="","",IF(Scores!O14=Scores!O14,Scores!O14))</f>
        <v>11</v>
      </c>
      <c r="P14" s="13">
        <f>IF(Scores!P14="","",IF(Scores!P14=Scores!P14,Scores!P14))</f>
        <v>12</v>
      </c>
      <c r="Q14" s="13">
        <f>IF(Scores!Q14="","",IF(Scores!Q14=Scores!Q14,Scores!Q14))</f>
        <v>13</v>
      </c>
      <c r="R14" s="13">
        <f>IF(Scores!R14="","",IF(Scores!R14=Scores!R14,Scores!R14))</f>
        <v>14</v>
      </c>
      <c r="S14" s="13">
        <f>IF(Scores!S14="","",IF(Scores!S14=Scores!S14,Scores!S14))</f>
        <v>15</v>
      </c>
      <c r="T14" s="13">
        <f>IF(Scores!T14="","",IF(Scores!T14=Scores!T14,Scores!T14))</f>
        <v>16</v>
      </c>
      <c r="U14" s="13">
        <f>IF(Scores!U14="","",IF(Scores!U14=Scores!U14,Scores!U14))</f>
        <v>17</v>
      </c>
      <c r="V14" s="13">
        <f>IF(Scores!V14="","",IF(Scores!V14=Scores!V14,Scores!V14))</f>
        <v>18</v>
      </c>
      <c r="W14" s="13">
        <f>IF(Scores!W14="","",IF(Scores!W14=Scores!W14,Scores!W14))</f>
        <v>19</v>
      </c>
      <c r="X14" s="13" t="str">
        <f>IF(Scores!X14="","",IF(Scores!X14=Scores!X14,Scores!X14))</f>
        <v/>
      </c>
      <c r="Y14" s="13" t="str">
        <f>IF(Scores!Y14="","",IF(Scores!Y14=Scores!Y14,Scores!Y14))</f>
        <v/>
      </c>
      <c r="Z14" s="13" t="str">
        <f>IF(Scores!Z14="","",IF(Scores!Z14=Scores!Z14,Scores!Z14))</f>
        <v/>
      </c>
      <c r="AA14" s="13" t="str">
        <f>IF(Scores!AA14="","",IF(Scores!AA14=Scores!AA14,Scores!AA14))</f>
        <v/>
      </c>
      <c r="AB14" s="13" t="str">
        <f>IF(Scores!AB14="","",IF(Scores!AB14=Scores!AB14,Scores!AB14))</f>
        <v/>
      </c>
      <c r="AC14" s="13" t="str">
        <f>IF(Scores!AC14="","",IF(Scores!AC14=Scores!AC14,Scores!AC14))</f>
        <v/>
      </c>
      <c r="AD14" s="13" t="str">
        <f>IF(Scores!AD14="","",IF(Scores!AD14=Scores!AD14,Scores!AD14))</f>
        <v/>
      </c>
      <c r="AE14" s="13" t="str">
        <f>IF(Scores!AE14="","",IF(Scores!AE14=Scores!AE14,Scores!AE14))</f>
        <v/>
      </c>
      <c r="AF14" s="13" t="str">
        <f>IF(Scores!AF14="","",IF(Scores!AF14=Scores!AF14,Scores!AF14))</f>
        <v/>
      </c>
      <c r="AG14" s="13" t="str">
        <f>IF(Scores!AG14="","",IF(Scores!AG14=Scores!AG14,Scores!AG14))</f>
        <v/>
      </c>
      <c r="AH14" s="13" t="str">
        <f>IF(Scores!AH14="","",IF(Scores!AH14=Scores!AH14,Scores!AH14))</f>
        <v/>
      </c>
      <c r="AI14" s="13" t="str">
        <f>IF(Scores!AI14="","",IF(Scores!AI14=Scores!AI14,Scores!AI14))</f>
        <v/>
      </c>
      <c r="AJ14" s="13" t="str">
        <f>IF(Scores!AJ14="","",IF(Scores!AJ14=Scores!AJ14,Scores!AJ14))</f>
        <v/>
      </c>
      <c r="AK14" s="13" t="str">
        <f>IF(Scores!AK14="","",IF(Scores!AK14=Scores!AK14,Scores!AK14))</f>
        <v/>
      </c>
      <c r="AL14" s="13" t="str">
        <f>IF(Scores!AL14="","",IF(Scores!AL14=Scores!AL14,Scores!AL14))</f>
        <v/>
      </c>
      <c r="AM14" s="13" t="str">
        <f>IF(Scores!AM14="","",IF(Scores!AM14=Scores!AM14,Scores!AM14))</f>
        <v/>
      </c>
      <c r="AN14" s="13" t="str">
        <f>IF(Scores!AN14="","",IF(Scores!AN14=Scores!AN14,Scores!AN14))</f>
        <v/>
      </c>
      <c r="AO14" s="13" t="str">
        <f>IF(Scores!AO14="","",IF(Scores!AO14=Scores!AO14,Scores!AO14))</f>
        <v/>
      </c>
      <c r="AP14" s="13" t="str">
        <f>IF(Scores!AP14="","",IF(Scores!AP14=Scores!AP14,Scores!AP14))</f>
        <v/>
      </c>
      <c r="AQ14" s="13" t="str">
        <f>IF(Scores!AQ14="","",IF(Scores!AQ14=Scores!AQ14,Scores!AQ14))</f>
        <v/>
      </c>
      <c r="AR14" s="13" t="str">
        <f>IF(Scores!AR14="","",IF(Scores!AR14=Scores!AR14,Scores!AR14))</f>
        <v/>
      </c>
    </row>
    <row r="15" spans="1:44" x14ac:dyDescent="0.3">
      <c r="A15" s="76" t="s">
        <v>19</v>
      </c>
      <c r="B15" s="77"/>
      <c r="C15" s="25">
        <f>IF(Scores!E14&lt;&gt;"",MAX(Scores!A19:A79),"")</f>
        <v>78</v>
      </c>
      <c r="D15" s="2"/>
      <c r="E15" s="26">
        <f>IF(Scores!E$14&lt;&gt;"",MAX(Scores!E19:E79),"")</f>
        <v>4</v>
      </c>
      <c r="F15" s="26">
        <f>IF(Scores!F$14&lt;&gt;"",MAX(Scores!F19:F79),"")</f>
        <v>8</v>
      </c>
      <c r="G15" s="26">
        <f>IF(Scores!G$14&lt;&gt;"",MAX(Scores!G19:G79),"")</f>
        <v>6</v>
      </c>
      <c r="H15" s="26">
        <f>IF(Scores!H$14&lt;&gt;"",MAX(Scores!H19:H79),"")</f>
        <v>6</v>
      </c>
      <c r="I15" s="26">
        <f>IF(Scores!I$14&lt;&gt;"",MAX(Scores!I19:I79),"")</f>
        <v>6</v>
      </c>
      <c r="J15" s="26">
        <f>IF(Scores!J$14&lt;&gt;"",MAX(Scores!J19:J79),"")</f>
        <v>6</v>
      </c>
      <c r="K15" s="26">
        <f>IF(Scores!K$14&lt;&gt;"",MAX(Scores!K19:K79),"")</f>
        <v>6</v>
      </c>
      <c r="L15" s="26">
        <f>IF(Scores!L$14&lt;&gt;"",MAX(Scores!L19:L79),"")</f>
        <v>6</v>
      </c>
      <c r="M15" s="26">
        <f>IF(Scores!M$14&lt;&gt;"",MAX(Scores!M19:M79),"")</f>
        <v>6</v>
      </c>
      <c r="N15" s="26">
        <f>IF(Scores!N$14&lt;&gt;"",MAX(Scores!N19:N79),"")</f>
        <v>2</v>
      </c>
      <c r="O15" s="26">
        <f>IF(Scores!O$14&lt;&gt;"",MAX(Scores!O19:O79),"")</f>
        <v>4</v>
      </c>
      <c r="P15" s="26">
        <f>IF(Scores!P$14&lt;&gt;"",MAX(Scores!P19:P79),"")</f>
        <v>5</v>
      </c>
      <c r="Q15" s="26">
        <f>IF(Scores!Q$14&lt;&gt;"",MAX(Scores!Q19:Q79),"")</f>
        <v>5</v>
      </c>
      <c r="R15" s="26">
        <f>IF(Scores!R$14&lt;&gt;"",MAX(Scores!R19:R79),"")</f>
        <v>4</v>
      </c>
      <c r="S15" s="26">
        <f>IF(Scores!S$14&lt;&gt;"",MAX(Scores!S19:S79),"")</f>
        <v>3</v>
      </c>
      <c r="T15" s="26">
        <f>IF(Scores!T$14&lt;&gt;"",MAX(Scores!T19:T79),"")</f>
        <v>6</v>
      </c>
      <c r="U15" s="26">
        <f>IF(Scores!U$14&lt;&gt;"",MAX(Scores!U19:U79),"")</f>
        <v>6</v>
      </c>
      <c r="V15" s="26">
        <f>IF(Scores!V$14&lt;&gt;"",MAX(Scores!V19:V79),"")</f>
        <v>6</v>
      </c>
      <c r="W15" s="26">
        <f>IF(Scores!W$14&lt;&gt;"",MAX(Scores!W19:W79),"")</f>
        <v>2</v>
      </c>
      <c r="X15" s="26" t="str">
        <f>IF(Scores!X$14&lt;&gt;"",MAX(Scores!X19:X79),"")</f>
        <v/>
      </c>
      <c r="Y15" s="26" t="str">
        <f>IF(Scores!Y$14&lt;&gt;"",MAX(Scores!Y19:Y79),"")</f>
        <v/>
      </c>
      <c r="Z15" s="26" t="str">
        <f>IF(Scores!Z$14&lt;&gt;"",MAX(Scores!Z19:Z79),"")</f>
        <v/>
      </c>
      <c r="AA15" s="26" t="str">
        <f>IF(Scores!AA$14&lt;&gt;"",MAX(Scores!AA19:AA79),"")</f>
        <v/>
      </c>
      <c r="AB15" s="26" t="str">
        <f>IF(Scores!AB$14&lt;&gt;"",MAX(Scores!AB19:AB79),"")</f>
        <v/>
      </c>
      <c r="AC15" s="26" t="str">
        <f>IF(Scores!AC$14&lt;&gt;"",MAX(Scores!AC19:AC79),"")</f>
        <v/>
      </c>
      <c r="AD15" s="26" t="str">
        <f>IF(Scores!AD$14&lt;&gt;"",MAX(Scores!AD19:AD79),"")</f>
        <v/>
      </c>
      <c r="AE15" s="26" t="str">
        <f>IF(Scores!AE$14&lt;&gt;"",MAX(Scores!AE19:AE79),"")</f>
        <v/>
      </c>
      <c r="AF15" s="26" t="str">
        <f>IF(Scores!AF$14&lt;&gt;"",MAX(Scores!AF19:AF79),"")</f>
        <v/>
      </c>
      <c r="AG15" s="26" t="str">
        <f>IF(Scores!AG$14&lt;&gt;"",MAX(Scores!AG19:AG79),"")</f>
        <v/>
      </c>
      <c r="AH15" s="26" t="str">
        <f>IF(Scores!AH$14&lt;&gt;"",MAX(Scores!AH19:AH79),"")</f>
        <v/>
      </c>
      <c r="AI15" s="26" t="str">
        <f>IF(Scores!AI$14&lt;&gt;"",MAX(Scores!AI19:AI79),"")</f>
        <v/>
      </c>
      <c r="AJ15" s="26" t="str">
        <f>IF(Scores!AJ$14&lt;&gt;"",MAX(Scores!AJ19:AJ79),"")</f>
        <v/>
      </c>
      <c r="AK15" s="26" t="str">
        <f>IF(Scores!AK$14&lt;&gt;"",MAX(Scores!AK19:AK79),"")</f>
        <v/>
      </c>
      <c r="AL15" s="26" t="str">
        <f>IF(Scores!AL$14&lt;&gt;"",MAX(Scores!AL19:AL79),"")</f>
        <v/>
      </c>
      <c r="AM15" s="26" t="str">
        <f>IF(Scores!AM$14&lt;&gt;"",MAX(Scores!AM19:AM79),"")</f>
        <v/>
      </c>
      <c r="AN15" s="26" t="str">
        <f>IF(Scores!AN$14&lt;&gt;"",MAX(Scores!AN19:AN79),"")</f>
        <v/>
      </c>
      <c r="AO15" s="26" t="str">
        <f>IF(Scores!AO$14&lt;&gt;"",MAX(Scores!AO19:AO79),"")</f>
        <v/>
      </c>
      <c r="AP15" s="26" t="str">
        <f>IF(Scores!AP$14&lt;&gt;"",MAX(Scores!AP19:AP79),"")</f>
        <v/>
      </c>
      <c r="AQ15" s="26" t="str">
        <f>IF(Scores!AQ$14&lt;&gt;"",MAX(Scores!AQ19:AQ79),"")</f>
        <v/>
      </c>
      <c r="AR15" s="26" t="str">
        <f>IF(Scores!AR$14&lt;&gt;"",MAX(Scores!AR19:AR79),"")</f>
        <v/>
      </c>
    </row>
    <row r="16" spans="1:44" x14ac:dyDescent="0.3">
      <c r="A16" s="76" t="s">
        <v>20</v>
      </c>
      <c r="B16" s="77"/>
      <c r="C16" s="25">
        <f>IF(Scores!E14&lt;&gt;"",MIN(Scores!A19:A79),"")</f>
        <v>19</v>
      </c>
      <c r="D16" s="2"/>
      <c r="E16" s="27">
        <f>IF(Scores!E$14&lt;&gt;"",MIN(Scores!E19:E79),"")</f>
        <v>0</v>
      </c>
      <c r="F16" s="27">
        <f>IF(Scores!F$14&lt;&gt;"",MIN(Scores!F19:F79),"")</f>
        <v>0</v>
      </c>
      <c r="G16" s="27">
        <f>IF(Scores!G$14&lt;&gt;"",MIN(Scores!G19:G79),"")</f>
        <v>0</v>
      </c>
      <c r="H16" s="27">
        <f>IF(Scores!H$14&lt;&gt;"",MIN(Scores!H19:H79),"")</f>
        <v>0</v>
      </c>
      <c r="I16" s="27">
        <f>IF(Scores!I$14&lt;&gt;"",MIN(Scores!I19:I79),"")</f>
        <v>0</v>
      </c>
      <c r="J16" s="27">
        <f>IF(Scores!J$14&lt;&gt;"",MIN(Scores!J19:J79),"")</f>
        <v>0</v>
      </c>
      <c r="K16" s="27">
        <f>IF(Scores!K$14&lt;&gt;"",MIN(Scores!K19:K79),"")</f>
        <v>0</v>
      </c>
      <c r="L16" s="27">
        <f>IF(Scores!L$14&lt;&gt;"",MIN(Scores!L19:L79),"")</f>
        <v>0</v>
      </c>
      <c r="M16" s="27">
        <f>IF(Scores!M$14&lt;&gt;"",MIN(Scores!M19:M79),"")</f>
        <v>0</v>
      </c>
      <c r="N16" s="27">
        <f>IF(Scores!N$14&lt;&gt;"",MIN(Scores!N19:N79),"")</f>
        <v>0</v>
      </c>
      <c r="O16" s="27">
        <f>IF(Scores!O$14&lt;&gt;"",MIN(Scores!O19:O79),"")</f>
        <v>0</v>
      </c>
      <c r="P16" s="27">
        <f>IF(Scores!P$14&lt;&gt;"",MIN(Scores!P19:P79),"")</f>
        <v>2</v>
      </c>
      <c r="Q16" s="27">
        <f>IF(Scores!Q$14&lt;&gt;"",MIN(Scores!Q19:Q79),"")</f>
        <v>0</v>
      </c>
      <c r="R16" s="27">
        <f>IF(Scores!R$14&lt;&gt;"",MIN(Scores!R19:R79),"")</f>
        <v>0</v>
      </c>
      <c r="S16" s="27">
        <f>IF(Scores!S$14&lt;&gt;"",MIN(Scores!S19:S79),"")</f>
        <v>0</v>
      </c>
      <c r="T16" s="27">
        <f>IF(Scores!T$14&lt;&gt;"",MIN(Scores!T19:T79),"")</f>
        <v>0</v>
      </c>
      <c r="U16" s="27">
        <f>IF(Scores!U$14&lt;&gt;"",MIN(Scores!U19:U79),"")</f>
        <v>0</v>
      </c>
      <c r="V16" s="27">
        <f>IF(Scores!V$14&lt;&gt;"",MIN(Scores!V19:V79),"")</f>
        <v>0</v>
      </c>
      <c r="W16" s="27">
        <f>IF(Scores!W$14&lt;&gt;"",MIN(Scores!W19:W79),"")</f>
        <v>0</v>
      </c>
      <c r="X16" s="27" t="str">
        <f>IF(Scores!X$14&lt;&gt;"",MIN(Scores!X19:X79),"")</f>
        <v/>
      </c>
      <c r="Y16" s="27" t="str">
        <f>IF(Scores!Y$14&lt;&gt;"",MIN(Scores!Y19:Y79),"")</f>
        <v/>
      </c>
      <c r="Z16" s="27" t="str">
        <f>IF(Scores!Z$14&lt;&gt;"",MIN(Scores!Z19:Z79),"")</f>
        <v/>
      </c>
      <c r="AA16" s="27" t="str">
        <f>IF(Scores!AA$14&lt;&gt;"",MIN(Scores!AA19:AA79),"")</f>
        <v/>
      </c>
      <c r="AB16" s="27" t="str">
        <f>IF(Scores!AB$14&lt;&gt;"",MIN(Scores!AB19:AB79),"")</f>
        <v/>
      </c>
      <c r="AC16" s="27" t="str">
        <f>IF(Scores!AC$14&lt;&gt;"",MIN(Scores!AC19:AC79),"")</f>
        <v/>
      </c>
      <c r="AD16" s="27" t="str">
        <f>IF(Scores!AD$14&lt;&gt;"",MIN(Scores!AD19:AD79),"")</f>
        <v/>
      </c>
      <c r="AE16" s="27" t="str">
        <f>IF(Scores!AE$14&lt;&gt;"",MIN(Scores!AE19:AE79),"")</f>
        <v/>
      </c>
      <c r="AF16" s="27" t="str">
        <f>IF(Scores!AF$14&lt;&gt;"",MIN(Scores!AF19:AF79),"")</f>
        <v/>
      </c>
      <c r="AG16" s="27" t="str">
        <f>IF(Scores!AG$14&lt;&gt;"",MIN(Scores!AG19:AG79),"")</f>
        <v/>
      </c>
      <c r="AH16" s="27" t="str">
        <f>IF(Scores!AH$14&lt;&gt;"",MIN(Scores!AH19:AH79),"")</f>
        <v/>
      </c>
      <c r="AI16" s="27" t="str">
        <f>IF(Scores!AI$14&lt;&gt;"",MIN(Scores!AI19:AI79),"")</f>
        <v/>
      </c>
      <c r="AJ16" s="27" t="str">
        <f>IF(Scores!AJ$14&lt;&gt;"",MIN(Scores!AJ19:AJ79),"")</f>
        <v/>
      </c>
      <c r="AK16" s="27" t="str">
        <f>IF(Scores!AK$14&lt;&gt;"",MIN(Scores!AK19:AK79),"")</f>
        <v/>
      </c>
      <c r="AL16" s="27" t="str">
        <f>IF(Scores!AL$14&lt;&gt;"",MIN(Scores!AL19:AL79),"")</f>
        <v/>
      </c>
      <c r="AM16" s="27" t="str">
        <f>IF(Scores!AM$14&lt;&gt;"",MIN(Scores!AM19:AM79),"")</f>
        <v/>
      </c>
      <c r="AN16" s="27" t="str">
        <f>IF(Scores!AN$14&lt;&gt;"",MIN(Scores!AN19:AN79),"")</f>
        <v/>
      </c>
      <c r="AO16" s="27" t="str">
        <f>IF(Scores!AO$14&lt;&gt;"",MIN(Scores!AO19:AO79),"")</f>
        <v/>
      </c>
      <c r="AP16" s="27" t="str">
        <f>IF(Scores!AP$14&lt;&gt;"",MIN(Scores!AP19:AP79),"")</f>
        <v/>
      </c>
      <c r="AQ16" s="27" t="str">
        <f>IF(Scores!AQ$14&lt;&gt;"",MIN(Scores!AQ19:AQ79),"")</f>
        <v/>
      </c>
      <c r="AR16" s="27" t="str">
        <f>IF(Scores!AR$14&lt;&gt;"",MIN(Scores!AR19:AR79),"")</f>
        <v/>
      </c>
    </row>
    <row r="17" spans="1:44" x14ac:dyDescent="0.3">
      <c r="A17" s="76" t="s">
        <v>21</v>
      </c>
      <c r="B17" s="77"/>
      <c r="C17" s="28">
        <f>IF(Scores!E14&lt;&gt;"",(AVERAGE(Scores!A19:A79)/SUM(Scores!E16:AR16)),"")</f>
        <v>0.54200000000000004</v>
      </c>
      <c r="D17" s="29"/>
      <c r="E17" s="30">
        <f>IF(Scores!E14&lt;&gt;"",AVERAGE(Scores!E19:E79)/(Scores!E16),"")</f>
        <v>0.625</v>
      </c>
      <c r="F17" s="30">
        <f>IF(Scores!F14&lt;&gt;"",AVERAGE(Scores!F19:F79)/(Scores!F16),"")</f>
        <v>0.57499999999999996</v>
      </c>
      <c r="G17" s="30">
        <f>IF(Scores!G14&lt;&gt;"",AVERAGE(Scores!G19:G79)/(Scores!G16),"")</f>
        <v>0.3</v>
      </c>
      <c r="H17" s="30">
        <f>IF(Scores!H14&lt;&gt;"",AVERAGE(Scores!H19:H79)/(Scores!H16),"")</f>
        <v>0.66666666666666663</v>
      </c>
      <c r="I17" s="30">
        <f>IF(Scores!I14&lt;&gt;"",AVERAGE(Scores!I19:I79)/(Scores!I16),"")</f>
        <v>0.53333333333333333</v>
      </c>
      <c r="J17" s="30">
        <f>IF(Scores!J14&lt;&gt;"",AVERAGE(Scores!J19:J79)/(Scores!J16),"")</f>
        <v>0.93333333333333324</v>
      </c>
      <c r="K17" s="30">
        <f>IF(Scores!K14&lt;&gt;"",AVERAGE(Scores!K19:K79)/(Scores!K16),"")</f>
        <v>0.70833333333333337</v>
      </c>
      <c r="L17" s="30">
        <f>IF(Scores!L14&lt;&gt;"",AVERAGE(Scores!L19:L79)/(Scores!L16),"")</f>
        <v>0.35833333333333334</v>
      </c>
      <c r="M17" s="30">
        <f>IF(Scores!M14&lt;&gt;"",AVERAGE(Scores!M19:M79)/(Scores!M16),"")</f>
        <v>0.31666666666666665</v>
      </c>
      <c r="N17" s="30">
        <f>IF(Scores!N14&lt;&gt;"",AVERAGE(Scores!N19:N79)/(Scores!N16),"")</f>
        <v>7.4999999999999997E-2</v>
      </c>
      <c r="O17" s="30">
        <f>IF(Scores!O14&lt;&gt;"",AVERAGE(Scores!O19:O79)/(Scores!O16),"")</f>
        <v>0.53749999999999998</v>
      </c>
      <c r="P17" s="30">
        <f>IF(Scores!P14&lt;&gt;"",AVERAGE(Scores!P19:P79)/(Scores!P16),"")</f>
        <v>0.97</v>
      </c>
      <c r="Q17" s="30">
        <f>IF(Scores!Q14&lt;&gt;"",AVERAGE(Scores!Q19:Q79)/(Scores!Q16),"")</f>
        <v>0.55000000000000004</v>
      </c>
      <c r="R17" s="30">
        <f>IF(Scores!R14&lt;&gt;"",AVERAGE(Scores!R19:R79)/(Scores!R16),"")</f>
        <v>0.73750000000000004</v>
      </c>
      <c r="S17" s="30">
        <f>IF(Scores!S14&lt;&gt;"",AVERAGE(Scores!S19:S79)/(Scores!S16),"")</f>
        <v>0.27499999999999997</v>
      </c>
      <c r="T17" s="30">
        <f>IF(Scores!T14&lt;&gt;"",AVERAGE(Scores!T19:T79)/(Scores!T16),"")</f>
        <v>0.46666666666666662</v>
      </c>
      <c r="U17" s="30">
        <f>IF(Scores!U14&lt;&gt;"",AVERAGE(Scores!U19:U79)/(Scores!U16),"")</f>
        <v>0.42499999999999999</v>
      </c>
      <c r="V17" s="30">
        <f>IF(Scores!V14&lt;&gt;"",AVERAGE(Scores!V19:V79)/(Scores!V16),"")</f>
        <v>0.6</v>
      </c>
      <c r="W17" s="30">
        <f>IF(Scores!W14&lt;&gt;"",AVERAGE(Scores!W19:W79)/(Scores!W16),"")</f>
        <v>0.375</v>
      </c>
      <c r="X17" s="30" t="str">
        <f>IF(Scores!X14&lt;&gt;"",AVERAGE(Scores!X19:X79)/(Scores!X16),"")</f>
        <v/>
      </c>
      <c r="Y17" s="30" t="str">
        <f>IF(Scores!Y14&lt;&gt;"",AVERAGE(Scores!Y19:Y79)/(Scores!Y16),"")</f>
        <v/>
      </c>
      <c r="Z17" s="30" t="str">
        <f>IF(Scores!Z14&lt;&gt;"",AVERAGE(Scores!Z19:Z79)/(Scores!Z16),"")</f>
        <v/>
      </c>
      <c r="AA17" s="30" t="str">
        <f>IF(Scores!AA14&lt;&gt;"",AVERAGE(Scores!AA19:AA79)/(Scores!AA16),"")</f>
        <v/>
      </c>
      <c r="AB17" s="30" t="str">
        <f>IF(Scores!AB14&lt;&gt;"",AVERAGE(Scores!AB19:AB79)/(Scores!AB16),"")</f>
        <v/>
      </c>
      <c r="AC17" s="30" t="str">
        <f>IF(Scores!AC14&lt;&gt;"",AVERAGE(Scores!AC19:AC79)/(Scores!AC16),"")</f>
        <v/>
      </c>
      <c r="AD17" s="30" t="str">
        <f>IF(Scores!AD14&lt;&gt;"",AVERAGE(Scores!AD19:AD79)/(Scores!AD16),"")</f>
        <v/>
      </c>
      <c r="AE17" s="30" t="str">
        <f>IF(Scores!AE14&lt;&gt;"",AVERAGE(Scores!AE19:AE79)/(Scores!AE16),"")</f>
        <v/>
      </c>
      <c r="AF17" s="30" t="str">
        <f>IF(Scores!AF14&lt;&gt;"",AVERAGE(Scores!AF19:AF79)/(Scores!AF16),"")</f>
        <v/>
      </c>
      <c r="AG17" s="30" t="str">
        <f>IF(Scores!AG14&lt;&gt;"",AVERAGE(Scores!AG19:AG79)/(Scores!AG16),"")</f>
        <v/>
      </c>
      <c r="AH17" s="30" t="str">
        <f>IF(Scores!AH14&lt;&gt;"",AVERAGE(Scores!AH19:AH79)/(Scores!AH16),"")</f>
        <v/>
      </c>
      <c r="AI17" s="30" t="str">
        <f>IF(Scores!AI14&lt;&gt;"",AVERAGE(Scores!AI19:AI79)/(Scores!AI16),"")</f>
        <v/>
      </c>
      <c r="AJ17" s="30" t="str">
        <f>IF(Scores!AJ14&lt;&gt;"",AVERAGE(Scores!AJ19:AJ79)/(Scores!AJ16),"")</f>
        <v/>
      </c>
      <c r="AK17" s="30" t="str">
        <f>IF(Scores!AK14&lt;&gt;"",AVERAGE(Scores!AK19:AK79)/(Scores!AK16),"")</f>
        <v/>
      </c>
      <c r="AL17" s="30" t="str">
        <f>IF(Scores!AL14&lt;&gt;"",AVERAGE(Scores!AL19:AL79)/(Scores!AL16),"")</f>
        <v/>
      </c>
      <c r="AM17" s="30" t="str">
        <f>IF(Scores!AM14&lt;&gt;"",AVERAGE(Scores!AM19:AM79)/(Scores!AM16),"")</f>
        <v/>
      </c>
      <c r="AN17" s="30" t="str">
        <f>IF(Scores!AN14&lt;&gt;"",AVERAGE(Scores!AN19:AN79)/(Scores!AN16),"")</f>
        <v/>
      </c>
      <c r="AO17" s="30" t="str">
        <f>IF(Scores!AO14&lt;&gt;"",AVERAGE(Scores!AO19:AO79)/(Scores!AO16),"")</f>
        <v/>
      </c>
      <c r="AP17" s="30" t="str">
        <f>IF(Scores!AP14&lt;&gt;"",AVERAGE(Scores!AP19:AP79)/(Scores!AP16),"")</f>
        <v/>
      </c>
      <c r="AQ17" s="30" t="str">
        <f>IF(Scores!AQ14&lt;&gt;"",AVERAGE(Scores!AQ19:AQ79)/(Scores!AQ16),"")</f>
        <v/>
      </c>
      <c r="AR17" s="30" t="str">
        <f>IF(Scores!AR14&lt;&gt;"",AVERAGE(Scores!AR19:AR79)/(Scores!AR16),"")</f>
        <v/>
      </c>
    </row>
    <row r="18" spans="1:44" x14ac:dyDescent="0.3">
      <c r="A18" s="78" t="s">
        <v>22</v>
      </c>
      <c r="B18" s="79"/>
      <c r="C18" s="28">
        <f>IF(Scores!E11&lt;&gt;"",AVERAGE(Scores!A19:A79),"")</f>
        <v>54.2</v>
      </c>
      <c r="D18" s="29"/>
      <c r="E18" s="30">
        <f>IF(Scores!E14&lt;&gt;"",AVERAGE(Scores!E19:E79),"")</f>
        <v>2.5</v>
      </c>
      <c r="F18" s="30">
        <f>IF(Scores!F14&lt;&gt;"",AVERAGE(Scores!F19:F79),"")</f>
        <v>4.5999999999999996</v>
      </c>
      <c r="G18" s="30">
        <f>IF(Scores!G14&lt;&gt;"",AVERAGE(Scores!G19:G79),"")</f>
        <v>1.8</v>
      </c>
      <c r="H18" s="30">
        <f>IF(Scores!H14&lt;&gt;"",AVERAGE(Scores!H19:H79),"")</f>
        <v>4</v>
      </c>
      <c r="I18" s="30">
        <f>IF(Scores!I14&lt;&gt;"",AVERAGE(Scores!I19:I79),"")</f>
        <v>3.2</v>
      </c>
      <c r="J18" s="30">
        <f>IF(Scores!J14&lt;&gt;"",AVERAGE(Scores!J19:J79),"")</f>
        <v>5.6</v>
      </c>
      <c r="K18" s="30">
        <f>IF(Scores!K14&lt;&gt;"",AVERAGE(Scores!K19:K79),"")</f>
        <v>4.25</v>
      </c>
      <c r="L18" s="30">
        <f>IF(Scores!L14&lt;&gt;"",AVERAGE(Scores!L19:L79),"")</f>
        <v>2.15</v>
      </c>
      <c r="M18" s="30">
        <f>IF(Scores!M14&lt;&gt;"",AVERAGE(Scores!M19:M79),"")</f>
        <v>1.9</v>
      </c>
      <c r="N18" s="30">
        <f>IF(Scores!N14&lt;&gt;"",AVERAGE(Scores!N19:N79),"")</f>
        <v>0.15</v>
      </c>
      <c r="O18" s="30">
        <f>IF(Scores!O14&lt;&gt;"",AVERAGE(Scores!O19:O79),"")</f>
        <v>2.15</v>
      </c>
      <c r="P18" s="30">
        <f>IF(Scores!P14&lt;&gt;"",AVERAGE(Scores!P19:P79),"")</f>
        <v>4.8499999999999996</v>
      </c>
      <c r="Q18" s="30">
        <f>IF(Scores!Q14&lt;&gt;"",AVERAGE(Scores!Q19:Q79),"")</f>
        <v>2.75</v>
      </c>
      <c r="R18" s="30">
        <f>IF(Scores!R14&lt;&gt;"",AVERAGE(Scores!R19:R79),"")</f>
        <v>2.95</v>
      </c>
      <c r="S18" s="30">
        <f>IF(Scores!S14&lt;&gt;"",AVERAGE(Scores!S19:S79),"")</f>
        <v>1.65</v>
      </c>
      <c r="T18" s="30">
        <f>IF(Scores!T14&lt;&gt;"",AVERAGE(Scores!T19:T79),"")</f>
        <v>2.8</v>
      </c>
      <c r="U18" s="30">
        <f>IF(Scores!U14&lt;&gt;"",AVERAGE(Scores!U19:U79),"")</f>
        <v>2.5499999999999998</v>
      </c>
      <c r="V18" s="30">
        <f>IF(Scores!V14&lt;&gt;"",AVERAGE(Scores!V19:V79),"")</f>
        <v>3.6</v>
      </c>
      <c r="W18" s="30">
        <f>IF(Scores!W14&lt;&gt;"",AVERAGE(Scores!W19:W79),"")</f>
        <v>0.75</v>
      </c>
      <c r="X18" s="30" t="str">
        <f>IF(Scores!X14&lt;&gt;"",AVERAGE(Scores!X19:X79),"")</f>
        <v/>
      </c>
      <c r="Y18" s="30" t="str">
        <f>IF(Scores!Y14&lt;&gt;"",AVERAGE(Scores!Y19:Y79),"")</f>
        <v/>
      </c>
      <c r="Z18" s="30" t="str">
        <f>IF(Scores!Z14&lt;&gt;"",AVERAGE(Scores!Z19:Z79),"")</f>
        <v/>
      </c>
      <c r="AA18" s="30" t="str">
        <f>IF(Scores!AA14&lt;&gt;"",AVERAGE(Scores!AA19:AA79),"")</f>
        <v/>
      </c>
      <c r="AB18" s="30" t="str">
        <f>IF(Scores!AB14&lt;&gt;"",AVERAGE(Scores!AB19:AB79),"")</f>
        <v/>
      </c>
      <c r="AC18" s="30" t="str">
        <f>IF(Scores!AC14&lt;&gt;"",AVERAGE(Scores!AC19:AC79),"")</f>
        <v/>
      </c>
      <c r="AD18" s="30" t="str">
        <f>IF(Scores!AD14&lt;&gt;"",AVERAGE(Scores!AD19:AD79),"")</f>
        <v/>
      </c>
      <c r="AE18" s="30" t="str">
        <f>IF(Scores!AE14&lt;&gt;"",AVERAGE(Scores!AE19:AE79),"")</f>
        <v/>
      </c>
      <c r="AF18" s="30" t="str">
        <f>IF(Scores!AF14&lt;&gt;"",AVERAGE(Scores!AF19:AF79),"")</f>
        <v/>
      </c>
      <c r="AG18" s="30" t="str">
        <f>IF(Scores!AG14&lt;&gt;"",AVERAGE(Scores!AG19:AG79),"")</f>
        <v/>
      </c>
      <c r="AH18" s="30" t="str">
        <f>IF(Scores!AH14&lt;&gt;"",AVERAGE(Scores!AH19:AH79),"")</f>
        <v/>
      </c>
      <c r="AI18" s="30" t="str">
        <f>IF(Scores!AI14&lt;&gt;"",AVERAGE(Scores!AI19:AI79),"")</f>
        <v/>
      </c>
      <c r="AJ18" s="30" t="str">
        <f>IF(Scores!AJ14&lt;&gt;"",AVERAGE(Scores!AJ19:AJ79),"")</f>
        <v/>
      </c>
      <c r="AK18" s="30" t="str">
        <f>IF(Scores!AK14&lt;&gt;"",AVERAGE(Scores!AK19:AK79),"")</f>
        <v/>
      </c>
      <c r="AL18" s="30" t="str">
        <f>IF(Scores!AL14&lt;&gt;"",AVERAGE(Scores!AL19:AL79),"")</f>
        <v/>
      </c>
      <c r="AM18" s="30" t="str">
        <f>IF(Scores!AM14&lt;&gt;"",AVERAGE(Scores!AM19:AM79),"")</f>
        <v/>
      </c>
      <c r="AN18" s="30" t="str">
        <f>IF(Scores!AN14&lt;&gt;"",AVERAGE(Scores!AN19:AN79),"")</f>
        <v/>
      </c>
      <c r="AO18" s="30" t="str">
        <f>IF(Scores!AO14&lt;&gt;"",AVERAGE(Scores!AO19:AO79),"")</f>
        <v/>
      </c>
      <c r="AP18" s="30" t="str">
        <f>IF(Scores!AP14&lt;&gt;"",AVERAGE(Scores!AP19:AP79),"")</f>
        <v/>
      </c>
      <c r="AQ18" s="30" t="str">
        <f>IF(Scores!AQ14&lt;&gt;"",AVERAGE(Scores!AQ19:AQ79),"")</f>
        <v/>
      </c>
      <c r="AR18" s="30" t="str">
        <f>IF(Scores!AR14&lt;&gt;"",AVERAGE(Scores!AR19:AR79),"")</f>
        <v/>
      </c>
    </row>
    <row r="19" spans="1:44" x14ac:dyDescent="0.3">
      <c r="A19" s="76" t="s">
        <v>23</v>
      </c>
      <c r="B19" s="77"/>
      <c r="C19" s="31">
        <f>IF(Scores!E11&lt;&gt;"",MEDIAN(Scores!A19:A79),"")</f>
        <v>58</v>
      </c>
      <c r="D19" s="2"/>
      <c r="E19" s="30">
        <f>IF(Scores!E14&lt;&gt;"",MEDIAN(Scores!E19:E79),"")</f>
        <v>3</v>
      </c>
      <c r="F19" s="30">
        <f>IF(Scores!F14&lt;&gt;"",MEDIAN(Scores!F19:F79),"")</f>
        <v>6.5</v>
      </c>
      <c r="G19" s="30">
        <f>IF(Scores!G14&lt;&gt;"",MEDIAN(Scores!G19:G79),"")</f>
        <v>0</v>
      </c>
      <c r="H19" s="30">
        <f>IF(Scores!H14&lt;&gt;"",MEDIAN(Scores!H19:H79),"")</f>
        <v>4</v>
      </c>
      <c r="I19" s="30">
        <f>IF(Scores!I14&lt;&gt;"",MEDIAN(Scores!I19:I79),"")</f>
        <v>4</v>
      </c>
      <c r="J19" s="30">
        <f>IF(Scores!J14&lt;&gt;"",MEDIAN(Scores!J19:J79),"")</f>
        <v>6</v>
      </c>
      <c r="K19" s="30">
        <f>IF(Scores!K14&lt;&gt;"",MEDIAN(Scores!K19:K79),"")</f>
        <v>6</v>
      </c>
      <c r="L19" s="30">
        <f>IF(Scores!L14&lt;&gt;"",MEDIAN(Scores!L19:L79),"")</f>
        <v>1</v>
      </c>
      <c r="M19" s="30">
        <f>IF(Scores!M14&lt;&gt;"",MEDIAN(Scores!M19:M79),"")</f>
        <v>0</v>
      </c>
      <c r="N19" s="30">
        <f>IF(Scores!N14&lt;&gt;"",MEDIAN(Scores!N19:N79),"")</f>
        <v>0</v>
      </c>
      <c r="O19" s="30">
        <f>IF(Scores!O14&lt;&gt;"",MEDIAN(Scores!O19:O79),"")</f>
        <v>2</v>
      </c>
      <c r="P19" s="30">
        <f>IF(Scores!P14&lt;&gt;"",MEDIAN(Scores!P19:P79),"")</f>
        <v>5</v>
      </c>
      <c r="Q19" s="30">
        <f>IF(Scores!Q14&lt;&gt;"",MEDIAN(Scores!Q19:Q79),"")</f>
        <v>2</v>
      </c>
      <c r="R19" s="30">
        <f>IF(Scores!R14&lt;&gt;"",MEDIAN(Scores!R19:R79),"")</f>
        <v>3</v>
      </c>
      <c r="S19" s="30">
        <f>IF(Scores!S14&lt;&gt;"",MEDIAN(Scores!S19:S79),"")</f>
        <v>3</v>
      </c>
      <c r="T19" s="30">
        <f>IF(Scores!T14&lt;&gt;"",MEDIAN(Scores!T19:T79),"")</f>
        <v>2</v>
      </c>
      <c r="U19" s="30">
        <f>IF(Scores!U14&lt;&gt;"",MEDIAN(Scores!U19:U79),"")</f>
        <v>1</v>
      </c>
      <c r="V19" s="30">
        <f>IF(Scores!V14&lt;&gt;"",MEDIAN(Scores!V19:V79),"")</f>
        <v>3.5</v>
      </c>
      <c r="W19" s="30">
        <f>IF(Scores!W14&lt;&gt;"",MEDIAN(Scores!W19:W79),"")</f>
        <v>0</v>
      </c>
      <c r="X19" s="30" t="str">
        <f>IF(Scores!X14&lt;&gt;"",MEDIAN(Scores!X19:X79),"")</f>
        <v/>
      </c>
      <c r="Y19" s="30" t="str">
        <f>IF(Scores!Y14&lt;&gt;"",MEDIAN(Scores!Y19:Y79),"")</f>
        <v/>
      </c>
      <c r="Z19" s="30" t="str">
        <f>IF(Scores!Z14&lt;&gt;"",MEDIAN(Scores!Z19:Z79),"")</f>
        <v/>
      </c>
      <c r="AA19" s="30" t="str">
        <f>IF(Scores!AA14&lt;&gt;"",MEDIAN(Scores!AA19:AA79),"")</f>
        <v/>
      </c>
      <c r="AB19" s="30" t="str">
        <f>IF(Scores!AB14&lt;&gt;"",MEDIAN(Scores!AB19:AB79),"")</f>
        <v/>
      </c>
      <c r="AC19" s="30" t="str">
        <f>IF(Scores!AC14&lt;&gt;"",MEDIAN(Scores!AC19:AC79),"")</f>
        <v/>
      </c>
      <c r="AD19" s="30" t="str">
        <f>IF(Scores!AD14&lt;&gt;"",MEDIAN(Scores!AD19:AD79),"")</f>
        <v/>
      </c>
      <c r="AE19" s="30" t="str">
        <f>IF(Scores!AE14&lt;&gt;"",MEDIAN(Scores!AE19:AE79),"")</f>
        <v/>
      </c>
      <c r="AF19" s="30" t="str">
        <f>IF(Scores!AF14&lt;&gt;"",MEDIAN(Scores!AF19:AF79),"")</f>
        <v/>
      </c>
      <c r="AG19" s="30" t="str">
        <f>IF(Scores!AG14&lt;&gt;"",MEDIAN(Scores!AG19:AG79),"")</f>
        <v/>
      </c>
      <c r="AH19" s="30" t="str">
        <f>IF(Scores!AH14&lt;&gt;"",MEDIAN(Scores!AH19:AH79),"")</f>
        <v/>
      </c>
      <c r="AI19" s="30" t="str">
        <f>IF(Scores!AI14&lt;&gt;"",MEDIAN(Scores!AI19:AI79),"")</f>
        <v/>
      </c>
      <c r="AJ19" s="30" t="str">
        <f>IF(Scores!AJ14&lt;&gt;"",MEDIAN(Scores!AJ19:AJ79),"")</f>
        <v/>
      </c>
      <c r="AK19" s="30" t="str">
        <f>IF(Scores!AK14&lt;&gt;"",MEDIAN(Scores!AK19:AK79),"")</f>
        <v/>
      </c>
      <c r="AL19" s="30" t="str">
        <f>IF(Scores!AL14&lt;&gt;"",MEDIAN(Scores!AL19:AL79),"")</f>
        <v/>
      </c>
      <c r="AM19" s="30" t="str">
        <f>IF(Scores!AM14&lt;&gt;"",MEDIAN(Scores!AM19:AM79),"")</f>
        <v/>
      </c>
      <c r="AN19" s="30" t="str">
        <f>IF(Scores!AN14&lt;&gt;"",MEDIAN(Scores!AN19:AN79),"")</f>
        <v/>
      </c>
      <c r="AO19" s="30" t="str">
        <f>IF(Scores!AO14&lt;&gt;"",MEDIAN(Scores!AO19:AO79),"")</f>
        <v/>
      </c>
      <c r="AP19" s="30" t="str">
        <f>IF(Scores!AP14&lt;&gt;"",MEDIAN(Scores!AP19:AP79),"")</f>
        <v/>
      </c>
      <c r="AQ19" s="30" t="str">
        <f>IF(Scores!AQ14&lt;&gt;"",MEDIAN(Scores!AQ19:AQ79),"")</f>
        <v/>
      </c>
      <c r="AR19" s="30" t="str">
        <f>IF(Scores!AR14&lt;&gt;"",MEDIAN(Scores!AR19:AR79),"")</f>
        <v/>
      </c>
    </row>
    <row r="20" spans="1:44" x14ac:dyDescent="0.3">
      <c r="A20" s="78"/>
      <c r="B20" s="79"/>
      <c r="C20" s="31"/>
      <c r="D20" s="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spans="1:44" x14ac:dyDescent="0.3">
      <c r="A21" s="76" t="s">
        <v>24</v>
      </c>
      <c r="B21" s="77"/>
      <c r="C21" s="32"/>
      <c r="D21" s="34"/>
      <c r="E21" s="35">
        <f>IF(Scores!E14&lt;&gt;"",CORREL(Scores!E19:E79,Scores!$A19:$A79),"")</f>
        <v>0.72024991638057578</v>
      </c>
      <c r="F21" s="35">
        <f>IF(Scores!F14&lt;&gt;"",CORREL(Scores!F19:F79,Scores!$A19:$A79),"")</f>
        <v>0.43408946842655816</v>
      </c>
      <c r="G21" s="35">
        <f>IF(Scores!G14&lt;&gt;"",CORREL(Scores!G19:G79,Scores!$A19:$A79),"")</f>
        <v>0.46045668658329186</v>
      </c>
      <c r="H21" s="35">
        <f>IF(Scores!H14&lt;&gt;"",CORREL(Scores!H19:H79,Scores!$A19:$A79),"")</f>
        <v>0.68323245538171895</v>
      </c>
      <c r="I21" s="35">
        <f>IF(Scores!I14&lt;&gt;"",CORREL(Scores!I19:I79,Scores!$A19:$A79),"")</f>
        <v>0.59070637980797691</v>
      </c>
      <c r="J21" s="35">
        <f>IF(Scores!J14&lt;&gt;"",CORREL(Scores!J19:J79,Scores!$A19:$A79),"")</f>
        <v>0.45536481115902588</v>
      </c>
      <c r="K21" s="35">
        <f>IF(Scores!K14&lt;&gt;"",CORREL(Scores!K19:K79,Scores!$A19:$A79),"")</f>
        <v>0.60263946723287631</v>
      </c>
      <c r="L21" s="35">
        <f>IF(Scores!L14&lt;&gt;"",CORREL(Scores!L19:L79,Scores!$A19:$A79),"")</f>
        <v>0.57216394840387597</v>
      </c>
      <c r="M21" s="35">
        <f>IF(Scores!M14&lt;&gt;"",CORREL(Scores!M19:M79,Scores!$A19:$A79),"")</f>
        <v>0.4000366947123486</v>
      </c>
      <c r="N21" s="35">
        <f>IF(Scores!N14&lt;&gt;"",CORREL(Scores!N19:N79,Scores!$A19:$A79),"")</f>
        <v>0.17407423193048208</v>
      </c>
      <c r="O21" s="35">
        <f>IF(Scores!O14&lt;&gt;"",CORREL(Scores!O19:O79,Scores!$A19:$A79),"")</f>
        <v>0.68011083526499339</v>
      </c>
      <c r="P21" s="35">
        <f>IF(Scores!P14&lt;&gt;"",CORREL(Scores!P19:P79,Scores!$A19:$A79),"")</f>
        <v>8.7353685263393585E-2</v>
      </c>
      <c r="Q21" s="35">
        <f>IF(Scores!Q14&lt;&gt;"",CORREL(Scores!Q19:Q79,Scores!$A19:$A79),"")</f>
        <v>0.62804377326258876</v>
      </c>
      <c r="R21" s="35">
        <f>IF(Scores!R14&lt;&gt;"",CORREL(Scores!R19:R79,Scores!$A19:$A79),"")</f>
        <v>0.31770772791096452</v>
      </c>
      <c r="S21" s="35">
        <f>IF(Scores!S14&lt;&gt;"",CORREL(Scores!S19:S79,Scores!$A19:$A79),"")</f>
        <v>0.31784041740532548</v>
      </c>
      <c r="T21" s="35">
        <f>IF(Scores!T14&lt;&gt;"",CORREL(Scores!T19:T79,Scores!$A19:$A79),"")</f>
        <v>0.50829805028636144</v>
      </c>
      <c r="U21" s="35">
        <f>IF(Scores!U14&lt;&gt;"",CORREL(Scores!U19:U79,Scores!$A19:$A79),"")</f>
        <v>0.59366076069015872</v>
      </c>
      <c r="V21" s="35">
        <f>IF(Scores!V14&lt;&gt;"",CORREL(Scores!V19:V79,Scores!$A19:$A79),"")</f>
        <v>0.60315671072298638</v>
      </c>
      <c r="W21" s="35">
        <f>IF(Scores!W14&lt;&gt;"",CORREL(Scores!W19:W79,Scores!$A19:$A79),"")</f>
        <v>0.3255887185177036</v>
      </c>
      <c r="X21" s="35" t="str">
        <f>IF(Scores!X14&lt;&gt;"",CORREL(Scores!X19:X79,Scores!$A19:$A79),"")</f>
        <v/>
      </c>
      <c r="Y21" s="35" t="str">
        <f>IF(Scores!Y14&lt;&gt;"",CORREL(Scores!Y19:Y79,Scores!$A19:$A79),"")</f>
        <v/>
      </c>
      <c r="Z21" s="35" t="str">
        <f>IF(Scores!Z14&lt;&gt;"",CORREL(Scores!Z19:Z79,Scores!$A19:$A79),"")</f>
        <v/>
      </c>
      <c r="AA21" s="35" t="str">
        <f>IF(Scores!AA14&lt;&gt;"",CORREL(Scores!AA19:AA79,Scores!$A19:$A79),"")</f>
        <v/>
      </c>
      <c r="AB21" s="35" t="str">
        <f>IF(Scores!AB14&lt;&gt;"",CORREL(Scores!AB19:AB79,Scores!$A19:$A79),"")</f>
        <v/>
      </c>
      <c r="AC21" s="35" t="str">
        <f>IF(Scores!AC14&lt;&gt;"",CORREL(Scores!AC19:AC79,Scores!$A19:$A79),"")</f>
        <v/>
      </c>
      <c r="AD21" s="35" t="str">
        <f>IF(Scores!AD14&lt;&gt;"",CORREL(Scores!AD19:AD79,Scores!$A19:$A79),"")</f>
        <v/>
      </c>
      <c r="AE21" s="35" t="str">
        <f>IF(Scores!AE14&lt;&gt;"",CORREL(Scores!AE19:AE79,Scores!$A19:$A79),"")</f>
        <v/>
      </c>
      <c r="AF21" s="35" t="str">
        <f>IF(Scores!AF14&lt;&gt;"",CORREL(Scores!AF19:AF79,Scores!$A19:$A79),"")</f>
        <v/>
      </c>
      <c r="AG21" s="35" t="str">
        <f>IF(Scores!AG14&lt;&gt;"",CORREL(Scores!AG19:AG79,Scores!$A19:$A79),"")</f>
        <v/>
      </c>
      <c r="AH21" s="35" t="str">
        <f>IF(Scores!AH14&lt;&gt;"",CORREL(Scores!AH19:AH79,Scores!$A19:$A79),"")</f>
        <v/>
      </c>
      <c r="AI21" s="35" t="str">
        <f>IF(Scores!AI14&lt;&gt;"",CORREL(Scores!AI19:AI79,Scores!$A19:$A79),"")</f>
        <v/>
      </c>
      <c r="AJ21" s="35" t="str">
        <f>IF(Scores!AJ14&lt;&gt;"",CORREL(Scores!AJ19:AJ79,Scores!$A19:$A79),"")</f>
        <v/>
      </c>
      <c r="AK21" s="35" t="str">
        <f>IF(Scores!AK14&lt;&gt;"",CORREL(Scores!AK19:AK79,Scores!$A19:$A79),"")</f>
        <v/>
      </c>
      <c r="AL21" s="35" t="str">
        <f>IF(Scores!AL14&lt;&gt;"",CORREL(Scores!AL19:AL79,Scores!$A19:$A79),"")</f>
        <v/>
      </c>
      <c r="AM21" s="35" t="str">
        <f>IF(Scores!AM14&lt;&gt;"",CORREL(Scores!AM19:AM79,Scores!$A19:$A79),"")</f>
        <v/>
      </c>
      <c r="AN21" s="35" t="str">
        <f>IF(Scores!AN14&lt;&gt;"",CORREL(Scores!AN19:AN79,Scores!$A19:$A79),"")</f>
        <v/>
      </c>
      <c r="AO21" s="35" t="str">
        <f>IF(Scores!AO14&lt;&gt;"",CORREL(Scores!AO19:AO79,Scores!$A19:$A79),"")</f>
        <v/>
      </c>
      <c r="AP21" s="35" t="str">
        <f>IF(Scores!AP14&lt;&gt;"",CORREL(Scores!AP19:AP79,Scores!$A19:$A79),"")</f>
        <v/>
      </c>
      <c r="AQ21" s="35" t="str">
        <f>IF(Scores!AQ14&lt;&gt;"",CORREL(Scores!AQ19:AQ79,Scores!$A19:$A79),"")</f>
        <v/>
      </c>
      <c r="AR21" s="35" t="str">
        <f>IF(Scores!AR14&lt;&gt;"",CORREL(Scores!AR19:AR79,Scores!$A19:$A79),"")</f>
        <v/>
      </c>
    </row>
    <row r="22" spans="1:44" x14ac:dyDescent="0.3">
      <c r="A22" s="76" t="s">
        <v>25</v>
      </c>
      <c r="B22" s="77"/>
      <c r="C22" s="33"/>
      <c r="D22" s="2"/>
      <c r="E22" s="32">
        <f>IF(Scores!E14&lt;&gt;"",($C24*E21-E24)/SQRT($C23+E23-2*E24*$C24*E21),"")</f>
        <v>0.68065959144329313</v>
      </c>
      <c r="F22" s="32">
        <f>IF(Scores!F14&lt;&gt;"",($C24*F21-F24)/SQRT($C23+F23-2*F24*$C24*F21),"")</f>
        <v>0.25836704020088286</v>
      </c>
      <c r="G22" s="32">
        <f>IF(Scores!G14&lt;&gt;"",($C24*G21-G24)/SQRT($C23+G23-2*G24*$C24*G21),"")</f>
        <v>0.33447143162035187</v>
      </c>
      <c r="H22" s="32">
        <f>IF(Scores!H14&lt;&gt;"",($C24*H21-H24)/SQRT($C23+H23-2*H24*$C24*H21),"")</f>
        <v>0.61686969094837807</v>
      </c>
      <c r="I22" s="32">
        <f>IF(Scores!I14&lt;&gt;"",($C24*I21-I24)/SQRT($C23+I23-2*I24*$C24*I21),"")</f>
        <v>0.50193984479865028</v>
      </c>
      <c r="J22" s="32">
        <f>IF(Scores!J14&lt;&gt;"",($C24*J21-J24)/SQRT($C23+J23-2*J24*$C24*J21),"")</f>
        <v>0.39572245882672241</v>
      </c>
      <c r="K22" s="32">
        <f>IF(Scores!K14&lt;&gt;"",($C24*K21-K24)/SQRT($C23+K23-2*K24*$C24*K21),"")</f>
        <v>0.5153498567961583</v>
      </c>
      <c r="L22" s="32">
        <f>IF(Scores!L14&lt;&gt;"",($C24*L21-L24)/SQRT($C23+L23-2*L24*$C24*L21),"")</f>
        <v>0.46771010042112682</v>
      </c>
      <c r="M22" s="32">
        <f>IF(Scores!M14&lt;&gt;"",($C24*M21-M24)/SQRT($C23+M23-2*M24*$C24*M21),"")</f>
        <v>0.28110978812897552</v>
      </c>
      <c r="N22" s="32">
        <f>IF(Scores!N14&lt;&gt;"",($C24*N21-N24)/SQRT($C23+N23-2*N24*$C24*N21),"")</f>
        <v>0.14946005664034934</v>
      </c>
      <c r="O22" s="32">
        <f>IF(Scores!O14&lt;&gt;"",($C24*O21-O24)/SQRT($C23+O23-2*O24*$C24*O21),"")</f>
        <v>0.63299315021448399</v>
      </c>
      <c r="P22" s="32">
        <f>IF(Scores!P14&lt;&gt;"",($C24*P21-P24)/SQRT($C23+P23-2*P24*$C24*P21),"")</f>
        <v>5.290451066881606E-2</v>
      </c>
      <c r="Q22" s="32">
        <f>IF(Scores!Q14&lt;&gt;"",($C24*Q21-Q24)/SQRT($C23+Q23-2*Q24*$C24*Q21),"")</f>
        <v>0.5745947224808069</v>
      </c>
      <c r="R22" s="32">
        <f>IF(Scores!R14&lt;&gt;"",($C24*R21-R24)/SQRT($C23+R23-2*R24*$C24*R21),"")</f>
        <v>0.26315878033459245</v>
      </c>
      <c r="S22" s="32">
        <f>IF(Scores!S14&lt;&gt;"",($C24*S21-S24)/SQRT($C23+S23-2*S24*$C24*S21),"")</f>
        <v>0.24434074554711704</v>
      </c>
      <c r="T22" s="32">
        <f>IF(Scores!T14&lt;&gt;"",($C24*T21-T24)/SQRT($C23+T23-2*T24*$C24*T21),"")</f>
        <v>0.3954699566330282</v>
      </c>
      <c r="U22" s="32">
        <f>IF(Scores!U14&lt;&gt;"",($C24*U21-U24)/SQRT($C23+U23-2*U24*$C24*U21),"")</f>
        <v>0.48672883299722636</v>
      </c>
      <c r="V22" s="32">
        <f>IF(Scores!V14&lt;&gt;"",($C24*V21-V24)/SQRT($C23+V23-2*V24*$C24*V21),"")</f>
        <v>0.51021821029356207</v>
      </c>
      <c r="W22" s="32">
        <f>IF(Scores!W14&lt;&gt;"",($C24*W21-W24)/SQRT($C23+W23-2*W24*$C24*W21),"")</f>
        <v>0.27999424067909556</v>
      </c>
      <c r="X22" s="32" t="str">
        <f>IF(Scores!X14&lt;&gt;"",($C24*X21-X24)/SQRT($C23+X23-2*X24*$C24*X21),"")</f>
        <v/>
      </c>
      <c r="Y22" s="32" t="str">
        <f>IF(Scores!Y14&lt;&gt;"",($C24*Y21-Y24)/SQRT($C23+Y23-2*Y24*$C24*Y21),"")</f>
        <v/>
      </c>
      <c r="Z22" s="32" t="str">
        <f>IF(Scores!Z14&lt;&gt;"",($C24*Z21-Z24)/SQRT($C23+Z23-2*Z24*$C24*Z21),"")</f>
        <v/>
      </c>
      <c r="AA22" s="32" t="str">
        <f>IF(Scores!AA14&lt;&gt;"",($C24*AA21-AA24)/SQRT($C23+AA23-2*AA24*$C24*AA21),"")</f>
        <v/>
      </c>
      <c r="AB22" s="32" t="str">
        <f>IF(Scores!AB14&lt;&gt;"",($C24*AB21-AB24)/SQRT($C23+AB23-2*AB24*$C24*AB21),"")</f>
        <v/>
      </c>
      <c r="AC22" s="32" t="str">
        <f>IF(Scores!AC14&lt;&gt;"",($C24*AC21-AC24)/SQRT($C23+AC23-2*AC24*$C24*AC21),"")</f>
        <v/>
      </c>
      <c r="AD22" s="32" t="str">
        <f>IF(Scores!AD14&lt;&gt;"",($C24*AD21-AD24)/SQRT($C23+AD23-2*AD24*$C24*AD21),"")</f>
        <v/>
      </c>
      <c r="AE22" s="32" t="str">
        <f>IF(Scores!AE14&lt;&gt;"",($C24*AE21-AE24)/SQRT($C23+AE23-2*AE24*$C24*AE21),"")</f>
        <v/>
      </c>
      <c r="AF22" s="32" t="str">
        <f>IF(Scores!AF14&lt;&gt;"",($C24*AF21-AF24)/SQRT($C23+AF23-2*AF24*$C24*AF21),"")</f>
        <v/>
      </c>
      <c r="AG22" s="32" t="str">
        <f>IF(Scores!AG14&lt;&gt;"",($C24*AG21-AG24)/SQRT($C23+AG23-2*AG24*$C24*AG21),"")</f>
        <v/>
      </c>
      <c r="AH22" s="32" t="str">
        <f>IF(Scores!AH14&lt;&gt;"",($C24*AH21-AH24)/SQRT($C23+AH23-2*AH24*$C24*AH21),"")</f>
        <v/>
      </c>
      <c r="AI22" s="32" t="str">
        <f>IF(Scores!AI14&lt;&gt;"",($C24*AI21-AI24)/SQRT($C23+AI23-2*AI24*$C24*AI21),"")</f>
        <v/>
      </c>
      <c r="AJ22" s="32" t="str">
        <f>IF(Scores!AJ14&lt;&gt;"",($C24*AJ21-AJ24)/SQRT($C23+AJ23-2*AJ24*$C24*AJ21),"")</f>
        <v/>
      </c>
      <c r="AK22" s="32" t="str">
        <f>IF(Scores!AK14&lt;&gt;"",($C24*AK21-AK24)/SQRT($C23+AK23-2*AK24*$C24*AK21),"")</f>
        <v/>
      </c>
      <c r="AL22" s="32" t="str">
        <f>IF(Scores!AL14&lt;&gt;"",($C24*AL21-AL24)/SQRT($C23+AL23-2*AL24*$C24*AL21),"")</f>
        <v/>
      </c>
      <c r="AM22" s="32" t="str">
        <f>IF(Scores!AM14&lt;&gt;"",($C24*AM21-AM24)/SQRT($C23+AM23-2*AM24*$C24*AM21),"")</f>
        <v/>
      </c>
      <c r="AN22" s="32" t="str">
        <f>IF(Scores!AN14&lt;&gt;"",($C24*AN21-AN24)/SQRT($C23+AN23-2*AN24*$C24*AN21),"")</f>
        <v/>
      </c>
      <c r="AO22" s="32" t="str">
        <f>IF(Scores!AO14&lt;&gt;"",($C24*AO21-AO24)/SQRT($C23+AO23-2*AO24*$C24*AO21),"")</f>
        <v/>
      </c>
      <c r="AP22" s="32" t="str">
        <f>IF(Scores!AP14&lt;&gt;"",($C24*AP21-AP24)/SQRT($C23+AP23-2*AP24*$C24*AP21),"")</f>
        <v/>
      </c>
      <c r="AQ22" s="32" t="str">
        <f>IF(Scores!AQ14&lt;&gt;"",($C24*AQ21-AQ24)/SQRT($C23+AQ23-2*AQ24*$C24*AQ21),"")</f>
        <v/>
      </c>
      <c r="AR22" s="32" t="str">
        <f>IF(Scores!AR14&lt;&gt;"",($C24*AR21-AR24)/SQRT($C23+AR23-2*AR24*$C24*AR21),"")</f>
        <v/>
      </c>
    </row>
    <row r="23" spans="1:44" x14ac:dyDescent="0.3">
      <c r="A23" s="76" t="s">
        <v>26</v>
      </c>
      <c r="B23" s="77"/>
      <c r="C23" s="33">
        <f>IF(Scores!E14&lt;&gt;"",VAR(Scores!A19:A79),"")</f>
        <v>376.37894736842088</v>
      </c>
      <c r="D23" s="2"/>
      <c r="E23" s="35">
        <f>IF(Scores!E14&lt;&gt;"",_xlfn.VAR.S(Scores!E19:E79),"")</f>
        <v>2.1578947368421053</v>
      </c>
      <c r="F23" s="35">
        <f>IF(Scores!F14&lt;&gt;"",_xlfn.VAR.S(Scores!F19:F79),"")</f>
        <v>14.042105263157895</v>
      </c>
      <c r="G23" s="35">
        <f>IF(Scores!G14&lt;&gt;"",_xlfn.VAR.S(Scores!G19:G79),"")</f>
        <v>7.9578947368421042</v>
      </c>
      <c r="H23" s="35">
        <f>IF(Scores!H14&lt;&gt;"",_xlfn.VAR.S(Scores!H19:H79),"")</f>
        <v>4.6315789473684212</v>
      </c>
      <c r="I23" s="35">
        <f>IF(Scores!I14&lt;&gt;"",_xlfn.VAR.S(Scores!I19:I79),"")</f>
        <v>5.6421052631578945</v>
      </c>
      <c r="J23" s="35">
        <f>IF(Scores!J14&lt;&gt;"",_xlfn.VAR.S(Scores!J19:J79),"")</f>
        <v>1.9368421052631555</v>
      </c>
      <c r="K23" s="35">
        <f>IF(Scores!K14&lt;&gt;"",_xlfn.VAR.S(Scores!K19:K79),"")</f>
        <v>5.6710526315789478</v>
      </c>
      <c r="L23" s="35">
        <f>IF(Scores!L14&lt;&gt;"",_xlfn.VAR.S(Scores!L19:L79),"")</f>
        <v>7.1868421052631586</v>
      </c>
      <c r="M23" s="35">
        <f>IF(Scores!M14&lt;&gt;"",_xlfn.VAR.S(Scores!M19:M79),"")</f>
        <v>6.5157894736842108</v>
      </c>
      <c r="N23" s="35">
        <f>IF(Scores!N14&lt;&gt;"",_xlfn.VAR.S(Scores!N19:N79),"")</f>
        <v>0.23947368421052631</v>
      </c>
      <c r="O23" s="35">
        <f>IF(Scores!O14&lt;&gt;"",_xlfn.VAR.S(Scores!O19:O79),"")</f>
        <v>2.4499999999999997</v>
      </c>
      <c r="P23" s="35">
        <f>IF(Scores!P14&lt;&gt;"",_xlfn.VAR.S(Scores!P19:P79),"")</f>
        <v>0.45000000000000062</v>
      </c>
      <c r="Q23" s="35">
        <f>IF(Scores!Q14&lt;&gt;"",_xlfn.VAR.S(Scores!Q19:Q79),"")</f>
        <v>2.513157894736842</v>
      </c>
      <c r="R23" s="35">
        <f>IF(Scores!R14&lt;&gt;"",_xlfn.VAR.S(Scores!R19:R79),"")</f>
        <v>1.3131578947368414</v>
      </c>
      <c r="S23" s="35">
        <f>IF(Scores!S14&lt;&gt;"",_xlfn.VAR.S(Scores!S19:S79),"")</f>
        <v>2.344736842105263</v>
      </c>
      <c r="T23" s="35">
        <f>IF(Scores!T14&lt;&gt;"",_xlfn.VAR.S(Scores!T19:T79),"")</f>
        <v>7.1157894736842096</v>
      </c>
      <c r="U23" s="35">
        <f>IF(Scores!U14&lt;&gt;"",_xlfn.VAR.S(Scores!U19:U79),"")</f>
        <v>7.9447368421052627</v>
      </c>
      <c r="V23" s="35">
        <f>IF(Scores!V14&lt;&gt;"",_xlfn.VAR.S(Scores!V19:V79),"")</f>
        <v>6.3578947368421055</v>
      </c>
      <c r="W23" s="35">
        <f>IF(Scores!W14&lt;&gt;"",_xlfn.VAR.S(Scores!W19:W79),"")</f>
        <v>0.93421052631578949</v>
      </c>
      <c r="X23" s="35" t="str">
        <f>IF(Scores!X14&lt;&gt;"",_xlfn.VAR.S(Scores!X19:X79),"")</f>
        <v/>
      </c>
      <c r="Y23" s="35" t="str">
        <f>IF(Scores!Y14&lt;&gt;"",_xlfn.VAR.S(Scores!Y19:Y79),"")</f>
        <v/>
      </c>
      <c r="Z23" s="35" t="str">
        <f>IF(Scores!Z14&lt;&gt;"",_xlfn.VAR.S(Scores!Z19:Z79),"")</f>
        <v/>
      </c>
      <c r="AA23" s="35" t="str">
        <f>IF(Scores!AA14&lt;&gt;"",_xlfn.VAR.S(Scores!AA19:AA79),"")</f>
        <v/>
      </c>
      <c r="AB23" s="35" t="str">
        <f>IF(Scores!AB14&lt;&gt;"",_xlfn.VAR.S(Scores!AB19:AB79),"")</f>
        <v/>
      </c>
      <c r="AC23" s="35" t="str">
        <f>IF(Scores!AC14&lt;&gt;"",_xlfn.VAR.S(Scores!AC19:AC79),"")</f>
        <v/>
      </c>
      <c r="AD23" s="35" t="str">
        <f>IF(Scores!AD14&lt;&gt;"",_xlfn.VAR.S(Scores!AD19:AD79),"")</f>
        <v/>
      </c>
      <c r="AE23" s="35" t="str">
        <f>IF(Scores!AE14&lt;&gt;"",_xlfn.VAR.S(Scores!AE19:AE79),"")</f>
        <v/>
      </c>
      <c r="AF23" s="35" t="str">
        <f>IF(Scores!AF14&lt;&gt;"",_xlfn.VAR.S(Scores!AF19:AF79),"")</f>
        <v/>
      </c>
      <c r="AG23" s="35" t="str">
        <f>IF(Scores!AG14&lt;&gt;"",_xlfn.VAR.S(Scores!AG19:AG79),"")</f>
        <v/>
      </c>
      <c r="AH23" s="35" t="str">
        <f>IF(Scores!AH14&lt;&gt;"",_xlfn.VAR.S(Scores!AH19:AH79),"")</f>
        <v/>
      </c>
      <c r="AI23" s="35" t="str">
        <f>IF(Scores!AI14&lt;&gt;"",_xlfn.VAR.S(Scores!AI19:AI79),"")</f>
        <v/>
      </c>
      <c r="AJ23" s="35" t="str">
        <f>IF(Scores!AJ14&lt;&gt;"",_xlfn.VAR.S(Scores!AJ19:AJ79),"")</f>
        <v/>
      </c>
      <c r="AK23" s="35" t="str">
        <f>IF(Scores!AK14&lt;&gt;"",_xlfn.VAR.S(Scores!AK19:AK79),"")</f>
        <v/>
      </c>
      <c r="AL23" s="35" t="str">
        <f>IF(Scores!AL14&lt;&gt;"",_xlfn.VAR.S(Scores!AL19:AL79),"")</f>
        <v/>
      </c>
      <c r="AM23" s="35" t="str">
        <f>IF(Scores!AM14&lt;&gt;"",_xlfn.VAR.S(Scores!AM19:AM79),"")</f>
        <v/>
      </c>
      <c r="AN23" s="35" t="str">
        <f>IF(Scores!AN14&lt;&gt;"",_xlfn.VAR.S(Scores!AN19:AN79),"")</f>
        <v/>
      </c>
      <c r="AO23" s="35" t="str">
        <f>IF(Scores!AO14&lt;&gt;"",_xlfn.VAR.S(Scores!AO19:AO79),"")</f>
        <v/>
      </c>
      <c r="AP23" s="35" t="str">
        <f>IF(Scores!AP14&lt;&gt;"",_xlfn.VAR.S(Scores!AP19:AP79),"")</f>
        <v/>
      </c>
      <c r="AQ23" s="35" t="str">
        <f>IF(Scores!AQ14&lt;&gt;"",_xlfn.VAR.S(Scores!AQ19:AQ79),"")</f>
        <v/>
      </c>
      <c r="AR23" s="35" t="str">
        <f>IF(Scores!AR14&lt;&gt;"",_xlfn.VAR.S(Scores!AR19:AR79),"")</f>
        <v/>
      </c>
    </row>
    <row r="24" spans="1:44" x14ac:dyDescent="0.3">
      <c r="A24" s="36" t="s">
        <v>27</v>
      </c>
      <c r="B24" s="13"/>
      <c r="C24" s="33">
        <f>IF(Scores!E14&lt;&gt;"",_xlfn.STDEV.S(Scores!A19:A79),"")</f>
        <v>19.400488328091665</v>
      </c>
      <c r="D24" s="2"/>
      <c r="E24" s="32">
        <f>IF(Scores!E14&lt;&gt;"",_xlfn.STDEV.S(Scores!E19:E79),"")</f>
        <v>1.4689774459950382</v>
      </c>
      <c r="F24" s="32">
        <f>IF(Scores!F14&lt;&gt;"",_xlfn.STDEV.S(Scores!F19:F79),"")</f>
        <v>3.7472797150943902</v>
      </c>
      <c r="G24" s="32">
        <f>IF(Scores!G14&lt;&gt;"",_xlfn.STDEV.S(Scores!G19:G79),"")</f>
        <v>2.8209740758897635</v>
      </c>
      <c r="H24" s="32">
        <f>IF(Scores!H14&lt;&gt;"",_xlfn.STDEV.S(Scores!H19:H79),"")</f>
        <v>2.1521103473958814</v>
      </c>
      <c r="I24" s="32">
        <f>IF(Scores!I14&lt;&gt;"",_xlfn.STDEV.S(Scores!I19:I79),"")</f>
        <v>2.3753116139062458</v>
      </c>
      <c r="J24" s="32">
        <f>IF(Scores!J14&lt;&gt;"",_xlfn.STDEV.S(Scores!J19:J79),"")</f>
        <v>1.3917047478769178</v>
      </c>
      <c r="K24" s="32">
        <f>IF(Scores!K14&lt;&gt;"",_xlfn.STDEV.S(Scores!K19:K79),"")</f>
        <v>2.3813972015560418</v>
      </c>
      <c r="L24" s="32">
        <f>IF(Scores!L14&lt;&gt;"",_xlfn.STDEV.S(Scores!L19:L79),"")</f>
        <v>2.6808286228819549</v>
      </c>
      <c r="M24" s="32">
        <f>IF(Scores!M14&lt;&gt;"",_xlfn.STDEV.S(Scores!M19:M79),"")</f>
        <v>2.5526044491233284</v>
      </c>
      <c r="N24" s="32">
        <f>IF(Scores!N14&lt;&gt;"",_xlfn.STDEV.S(Scores!N19:N79),"")</f>
        <v>0.48936048492959289</v>
      </c>
      <c r="O24" s="32">
        <f>IF(Scores!O14&lt;&gt;"",_xlfn.STDEV.S(Scores!O19:O79),"")</f>
        <v>1.5652475842498528</v>
      </c>
      <c r="P24" s="32">
        <f>IF(Scores!P14&lt;&gt;"",_xlfn.STDEV.S(Scores!P19:P79),"")</f>
        <v>0.67082039324993736</v>
      </c>
      <c r="Q24" s="32">
        <f>IF(Scores!Q14&lt;&gt;"",_xlfn.STDEV.S(Scores!Q19:Q79),"")</f>
        <v>1.5852942612451615</v>
      </c>
      <c r="R24" s="32">
        <f>IF(Scores!R14&lt;&gt;"",_xlfn.STDEV.S(Scores!R19:R79),"")</f>
        <v>1.1459310165698637</v>
      </c>
      <c r="S24" s="32">
        <f>IF(Scores!S14&lt;&gt;"",_xlfn.STDEV.S(Scores!S19:S79),"")</f>
        <v>1.5312533566021211</v>
      </c>
      <c r="T24" s="32">
        <f>IF(Scores!T14&lt;&gt;"",_xlfn.STDEV.S(Scores!T19:T79),"")</f>
        <v>2.6675437154214006</v>
      </c>
      <c r="U24" s="32">
        <f>IF(Scores!U14&lt;&gt;"",_xlfn.STDEV.S(Scores!U19:U79),"")</f>
        <v>2.8186409565791211</v>
      </c>
      <c r="V24" s="32">
        <f>IF(Scores!V14&lt;&gt;"",_xlfn.STDEV.S(Scores!V19:V79),"")</f>
        <v>2.5214866124653739</v>
      </c>
      <c r="W24" s="32">
        <f>IF(Scores!W14&lt;&gt;"",_xlfn.STDEV.S(Scores!W19:W79),"")</f>
        <v>0.96654566695826094</v>
      </c>
      <c r="X24" s="32" t="str">
        <f>IF(Scores!X14&lt;&gt;"",_xlfn.STDEV.S(Scores!X19:X79),"")</f>
        <v/>
      </c>
      <c r="Y24" s="32" t="str">
        <f>IF(Scores!Y14&lt;&gt;"",_xlfn.STDEV.S(Scores!Y19:Y79),"")</f>
        <v/>
      </c>
      <c r="Z24" s="32" t="str">
        <f>IF(Scores!Z14&lt;&gt;"",_xlfn.STDEV.S(Scores!Z19:Z79),"")</f>
        <v/>
      </c>
      <c r="AA24" s="32" t="str">
        <f>IF(Scores!AA14&lt;&gt;"",_xlfn.STDEV.S(Scores!AA19:AA79),"")</f>
        <v/>
      </c>
      <c r="AB24" s="32" t="str">
        <f>IF(Scores!AB14&lt;&gt;"",_xlfn.STDEV.S(Scores!AB19:AB79),"")</f>
        <v/>
      </c>
      <c r="AC24" s="32" t="str">
        <f>IF(Scores!AC14&lt;&gt;"",_xlfn.STDEV.S(Scores!AC19:AC79),"")</f>
        <v/>
      </c>
      <c r="AD24" s="32" t="str">
        <f>IF(Scores!AD14&lt;&gt;"",_xlfn.STDEV.S(Scores!AD19:AD79),"")</f>
        <v/>
      </c>
      <c r="AE24" s="32" t="str">
        <f>IF(Scores!AE14&lt;&gt;"",_xlfn.STDEV.S(Scores!AE19:AE79),"")</f>
        <v/>
      </c>
      <c r="AF24" s="32" t="str">
        <f>IF(Scores!AF14&lt;&gt;"",_xlfn.STDEV.S(Scores!AF19:AF79),"")</f>
        <v/>
      </c>
      <c r="AG24" s="32" t="str">
        <f>IF(Scores!AG14&lt;&gt;"",_xlfn.STDEV.S(Scores!AG19:AG79),"")</f>
        <v/>
      </c>
      <c r="AH24" s="32" t="str">
        <f>IF(Scores!AH14&lt;&gt;"",_xlfn.STDEV.S(Scores!AH19:AH79),"")</f>
        <v/>
      </c>
      <c r="AI24" s="32" t="str">
        <f>IF(Scores!AI14&lt;&gt;"",_xlfn.STDEV.S(Scores!AI19:AI79),"")</f>
        <v/>
      </c>
      <c r="AJ24" s="32" t="str">
        <f>IF(Scores!AJ14&lt;&gt;"",_xlfn.STDEV.S(Scores!AJ19:AJ79),"")</f>
        <v/>
      </c>
      <c r="AK24" s="32" t="str">
        <f>IF(Scores!AK14&lt;&gt;"",_xlfn.STDEV.S(Scores!AK19:AK79),"")</f>
        <v/>
      </c>
      <c r="AL24" s="32" t="str">
        <f>IF(Scores!AL14&lt;&gt;"",_xlfn.STDEV.S(Scores!AL19:AL79),"")</f>
        <v/>
      </c>
      <c r="AM24" s="32" t="str">
        <f>IF(Scores!AM14&lt;&gt;"",_xlfn.STDEV.S(Scores!AM19:AM79),"")</f>
        <v/>
      </c>
      <c r="AN24" s="32" t="str">
        <f>IF(Scores!AN14&lt;&gt;"",_xlfn.STDEV.S(Scores!AN19:AN79),"")</f>
        <v/>
      </c>
      <c r="AO24" s="32" t="str">
        <f>IF(Scores!AO14&lt;&gt;"",_xlfn.STDEV.S(Scores!AO19:AO79),"")</f>
        <v/>
      </c>
      <c r="AP24" s="32" t="str">
        <f>IF(Scores!AP14&lt;&gt;"",_xlfn.STDEV.S(Scores!AP19:AP79),"")</f>
        <v/>
      </c>
      <c r="AQ24" s="32" t="str">
        <f>IF(Scores!AQ14&lt;&gt;"",_xlfn.STDEV.S(Scores!AQ19:AQ79),"")</f>
        <v/>
      </c>
      <c r="AR24" s="32" t="str">
        <f>IF(Scores!AR14&lt;&gt;"",_xlfn.STDEV.S(Scores!AR19:AR79),"")</f>
        <v/>
      </c>
    </row>
  </sheetData>
  <mergeCells count="17">
    <mergeCell ref="A18:B18"/>
    <mergeCell ref="A1:D3"/>
    <mergeCell ref="E4:H4"/>
    <mergeCell ref="E5:H5"/>
    <mergeCell ref="K5:M5"/>
    <mergeCell ref="E6:H6"/>
    <mergeCell ref="K6:M6"/>
    <mergeCell ref="E7:H7"/>
    <mergeCell ref="E8:H8"/>
    <mergeCell ref="A15:B15"/>
    <mergeCell ref="A16:B16"/>
    <mergeCell ref="A17:B17"/>
    <mergeCell ref="A19:B19"/>
    <mergeCell ref="A20:B20"/>
    <mergeCell ref="A21:B21"/>
    <mergeCell ref="A22:B22"/>
    <mergeCell ref="A23:B23"/>
  </mergeCells>
  <conditionalFormatting sqref="C17:AR17">
    <cfRule type="cellIs" dxfId="11" priority="1" operator="lessThan">
      <formula>0.25</formula>
    </cfRule>
    <cfRule type="cellIs" dxfId="10" priority="2" operator="greaterThan">
      <formula>0.85</formula>
    </cfRule>
  </conditionalFormatting>
  <conditionalFormatting sqref="A16:A23 E14:AR14">
    <cfRule type="cellIs" dxfId="9" priority="12" stopIfTrue="1" operator="lessThanOrEqual">
      <formula>0</formula>
    </cfRule>
  </conditionalFormatting>
  <conditionalFormatting sqref="A15">
    <cfRule type="cellIs" dxfId="8" priority="11" stopIfTrue="1" operator="lessThanOrEqual">
      <formula>0</formula>
    </cfRule>
  </conditionalFormatting>
  <conditionalFormatting sqref="A24:B24">
    <cfRule type="cellIs" dxfId="7" priority="10" stopIfTrue="1" operator="lessThanOrEqual">
      <formula>0</formula>
    </cfRule>
  </conditionalFormatting>
  <conditionalFormatting sqref="E16:AR16">
    <cfRule type="cellIs" dxfId="6" priority="9" stopIfTrue="1" operator="equal">
      <formula>0</formula>
    </cfRule>
  </conditionalFormatting>
  <conditionalFormatting sqref="E21:AR21">
    <cfRule type="cellIs" dxfId="5" priority="8" stopIfTrue="1" operator="between">
      <formula>-1</formula>
      <formula>1</formula>
    </cfRule>
  </conditionalFormatting>
  <conditionalFormatting sqref="E21:AR21">
    <cfRule type="cellIs" dxfId="4" priority="7" operator="lessThan">
      <formula>0.19</formula>
    </cfRule>
  </conditionalFormatting>
  <conditionalFormatting sqref="E22:AR22">
    <cfRule type="cellIs" dxfId="3" priority="6" operator="lessThan">
      <formula>0.19</formula>
    </cfRule>
  </conditionalFormatting>
  <conditionalFormatting sqref="N5">
    <cfRule type="cellIs" dxfId="2" priority="3" operator="lessThan">
      <formula>0.7</formula>
    </cfRule>
    <cfRule type="cellIs" dxfId="1" priority="4" operator="between">
      <formula>0.7</formula>
      <formula>0.79</formula>
    </cfRule>
    <cfRule type="cellIs" dxfId="0" priority="5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Scores</vt:lpstr>
      <vt:lpstr>Resultaten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</dc:creator>
  <cp:lastModifiedBy>Internet</cp:lastModifiedBy>
  <dcterms:created xsi:type="dcterms:W3CDTF">2021-10-12T09:27:14Z</dcterms:created>
  <dcterms:modified xsi:type="dcterms:W3CDTF">2022-06-15T10:37:08Z</dcterms:modified>
</cp:coreProperties>
</file>