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ana\Documents\UNIVERSIDAD\EAN\banca de inversion\"/>
    </mc:Choice>
  </mc:AlternateContent>
  <xr:revisionPtr revIDLastSave="0" documentId="8_{FC804F77-B268-4940-86DC-CEDF366E4B68}" xr6:coauthVersionLast="44" xr6:coauthVersionMax="44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Balance General" sheetId="1" r:id="rId1"/>
    <sheet name="Estado de resultados" sheetId="2" r:id="rId2"/>
    <sheet name="Flujo de caja" sheetId="3" r:id="rId3"/>
    <sheet name="Proyección de ingresos" sheetId="5" r:id="rId4"/>
    <sheet name="VNA-TIRM" sheetId="6" r:id="rId5"/>
    <sheet name="Indicadores financieros (RATIOS" sheetId="4" r:id="rId6"/>
    <sheet name="presupuestos" sheetId="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3" i="7" l="1"/>
  <c r="H133" i="7"/>
  <c r="G133" i="7"/>
  <c r="F133" i="7"/>
  <c r="E133" i="7"/>
  <c r="D106" i="7"/>
  <c r="D105" i="7"/>
  <c r="D99" i="7"/>
  <c r="C7" i="2" s="1"/>
  <c r="E84" i="7"/>
  <c r="F84" i="7" s="1"/>
  <c r="G84" i="7" s="1"/>
  <c r="H84" i="7" s="1"/>
  <c r="I84" i="7" s="1"/>
  <c r="E83" i="7"/>
  <c r="F83" i="7" s="1"/>
  <c r="G83" i="7" s="1"/>
  <c r="H83" i="7" s="1"/>
  <c r="I83" i="7" s="1"/>
  <c r="F82" i="7"/>
  <c r="G82" i="7" s="1"/>
  <c r="H82" i="7" s="1"/>
  <c r="I82" i="7" s="1"/>
  <c r="H81" i="7"/>
  <c r="I81" i="7" s="1"/>
  <c r="F81" i="7"/>
  <c r="G81" i="7" s="1"/>
  <c r="G80" i="7"/>
  <c r="H80" i="7" s="1"/>
  <c r="I80" i="7" s="1"/>
  <c r="F80" i="7"/>
  <c r="G79" i="7"/>
  <c r="H79" i="7" s="1"/>
  <c r="I79" i="7" s="1"/>
  <c r="F79" i="7"/>
  <c r="F78" i="7"/>
  <c r="G78" i="7" s="1"/>
  <c r="H78" i="7" s="1"/>
  <c r="I78" i="7" s="1"/>
  <c r="E78" i="7"/>
  <c r="E77" i="7"/>
  <c r="G77" i="7" s="1"/>
  <c r="G75" i="7"/>
  <c r="H75" i="7" s="1"/>
  <c r="I75" i="7" s="1"/>
  <c r="E75" i="7"/>
  <c r="F75" i="7" s="1"/>
  <c r="H74" i="7"/>
  <c r="I74" i="7" s="1"/>
  <c r="G74" i="7"/>
  <c r="F74" i="7"/>
  <c r="F73" i="7"/>
  <c r="G73" i="7" s="1"/>
  <c r="H73" i="7" s="1"/>
  <c r="I73" i="7" s="1"/>
  <c r="F72" i="7"/>
  <c r="G72" i="7" s="1"/>
  <c r="H72" i="7" s="1"/>
  <c r="I72" i="7" s="1"/>
  <c r="E72" i="7"/>
  <c r="E71" i="7"/>
  <c r="F71" i="7" s="1"/>
  <c r="G71" i="7" s="1"/>
  <c r="H71" i="7" s="1"/>
  <c r="I71" i="7" s="1"/>
  <c r="E70" i="7"/>
  <c r="F70" i="7" s="1"/>
  <c r="G70" i="7" s="1"/>
  <c r="H70" i="7" s="1"/>
  <c r="I70" i="7" s="1"/>
  <c r="F69" i="7"/>
  <c r="G69" i="7" s="1"/>
  <c r="E69" i="7"/>
  <c r="D65" i="7"/>
  <c r="F63" i="7"/>
  <c r="D63" i="7"/>
  <c r="G62" i="7"/>
  <c r="H62" i="7" s="1"/>
  <c r="I62" i="7" s="1"/>
  <c r="F62" i="7"/>
  <c r="F61" i="7"/>
  <c r="G61" i="7" s="1"/>
  <c r="H61" i="7" s="1"/>
  <c r="I61" i="7" s="1"/>
  <c r="F60" i="7"/>
  <c r="G60" i="7" s="1"/>
  <c r="H60" i="7" s="1"/>
  <c r="I60" i="7" s="1"/>
  <c r="E60" i="7"/>
  <c r="G59" i="7"/>
  <c r="H59" i="7" s="1"/>
  <c r="I59" i="7" s="1"/>
  <c r="F59" i="7"/>
  <c r="G58" i="7"/>
  <c r="H58" i="7" s="1"/>
  <c r="I58" i="7" s="1"/>
  <c r="F58" i="7"/>
  <c r="G57" i="7"/>
  <c r="H57" i="7" s="1"/>
  <c r="I57" i="7" s="1"/>
  <c r="E57" i="7"/>
  <c r="F57" i="7" s="1"/>
  <c r="F65" i="7" s="1"/>
  <c r="E5" i="2" s="1"/>
  <c r="D56" i="7"/>
  <c r="D55" i="7"/>
  <c r="H54" i="7"/>
  <c r="I54" i="7" s="1"/>
  <c r="G54" i="7"/>
  <c r="F54" i="7"/>
  <c r="E54" i="7"/>
  <c r="I53" i="7"/>
  <c r="H53" i="7"/>
  <c r="G53" i="7"/>
  <c r="F53" i="7"/>
  <c r="I51" i="7"/>
  <c r="H51" i="7"/>
  <c r="G51" i="7"/>
  <c r="F51" i="7"/>
  <c r="I50" i="7"/>
  <c r="H50" i="7"/>
  <c r="G50" i="7"/>
  <c r="F50" i="7"/>
  <c r="I49" i="7"/>
  <c r="H49" i="7"/>
  <c r="G49" i="7"/>
  <c r="F49" i="7"/>
  <c r="I47" i="7"/>
  <c r="H47" i="7"/>
  <c r="G47" i="7"/>
  <c r="F47" i="7"/>
  <c r="I46" i="7"/>
  <c r="H46" i="7"/>
  <c r="G46" i="7"/>
  <c r="F46" i="7"/>
  <c r="I45" i="7"/>
  <c r="H45" i="7"/>
  <c r="G45" i="7"/>
  <c r="F45" i="7"/>
  <c r="I44" i="7"/>
  <c r="H44" i="7"/>
  <c r="G44" i="7"/>
  <c r="F44" i="7"/>
  <c r="I43" i="7"/>
  <c r="H43" i="7"/>
  <c r="G43" i="7"/>
  <c r="F43" i="7"/>
  <c r="D32" i="7"/>
  <c r="I12" i="7"/>
  <c r="F12" i="7"/>
  <c r="G10" i="7"/>
  <c r="H10" i="7" s="1"/>
  <c r="I10" i="7" s="1"/>
  <c r="E10" i="7"/>
  <c r="F10" i="7" s="1"/>
  <c r="F9" i="7"/>
  <c r="G9" i="7" s="1"/>
  <c r="H9" i="7" s="1"/>
  <c r="I9" i="7" s="1"/>
  <c r="E9" i="7"/>
  <c r="F8" i="7"/>
  <c r="G8" i="7" s="1"/>
  <c r="H8" i="7" s="1"/>
  <c r="I7" i="7"/>
  <c r="H7" i="7"/>
  <c r="E7" i="7"/>
  <c r="F7" i="7" s="1"/>
  <c r="D7" i="7"/>
  <c r="H6" i="7"/>
  <c r="F5" i="7"/>
  <c r="G5" i="7" s="1"/>
  <c r="H5" i="7" s="1"/>
  <c r="I5" i="7" s="1"/>
  <c r="E5" i="7"/>
  <c r="E4" i="7"/>
  <c r="F4" i="7" s="1"/>
  <c r="G4" i="7" s="1"/>
  <c r="H4" i="7" s="1"/>
  <c r="I4" i="7" s="1"/>
  <c r="F3" i="7"/>
  <c r="E3" i="7"/>
  <c r="E32" i="7" s="1"/>
  <c r="D8" i="2" s="1"/>
  <c r="D28" i="5"/>
  <c r="E5" i="5" s="1"/>
  <c r="C28" i="5"/>
  <c r="E18" i="5"/>
  <c r="C16" i="5"/>
  <c r="C7" i="5"/>
  <c r="D5" i="5"/>
  <c r="D4" i="2" s="1"/>
  <c r="H20" i="3"/>
  <c r="G20" i="3"/>
  <c r="F20" i="3"/>
  <c r="F21" i="3" s="1"/>
  <c r="E20" i="3"/>
  <c r="D20" i="3"/>
  <c r="C20" i="3"/>
  <c r="B20" i="3"/>
  <c r="H19" i="3"/>
  <c r="G19" i="3"/>
  <c r="F19" i="3"/>
  <c r="E19" i="3"/>
  <c r="D19" i="3"/>
  <c r="C19" i="3"/>
  <c r="B19" i="3"/>
  <c r="H18" i="3"/>
  <c r="G18" i="3"/>
  <c r="F18" i="3"/>
  <c r="E18" i="3"/>
  <c r="D18" i="3"/>
  <c r="C18" i="3"/>
  <c r="B18" i="3"/>
  <c r="H17" i="3"/>
  <c r="H21" i="3" s="1"/>
  <c r="G17" i="3"/>
  <c r="G21" i="3" s="1"/>
  <c r="F17" i="3"/>
  <c r="E17" i="3"/>
  <c r="E21" i="3" s="1"/>
  <c r="D17" i="3"/>
  <c r="C17" i="3"/>
  <c r="C21" i="3" s="1"/>
  <c r="C22" i="3" s="1"/>
  <c r="B17" i="3"/>
  <c r="C8" i="2"/>
  <c r="C4" i="2"/>
  <c r="C20" i="1"/>
  <c r="D18" i="1"/>
  <c r="D20" i="1" s="1"/>
  <c r="C12" i="1"/>
  <c r="B12" i="1"/>
  <c r="B11" i="1"/>
  <c r="C10" i="1"/>
  <c r="C24" i="1" s="1"/>
  <c r="B10" i="1"/>
  <c r="C9" i="1"/>
  <c r="C23" i="1" s="1"/>
  <c r="B9" i="1"/>
  <c r="D12" i="1" l="1"/>
  <c r="C26" i="1"/>
  <c r="E5" i="3"/>
  <c r="D4" i="3"/>
  <c r="D9" i="1"/>
  <c r="E28" i="5"/>
  <c r="I65" i="7"/>
  <c r="H5" i="2" s="1"/>
  <c r="E99" i="7"/>
  <c r="D7" i="2" s="1"/>
  <c r="F99" i="7"/>
  <c r="E7" i="2" s="1"/>
  <c r="H69" i="7"/>
  <c r="G99" i="7"/>
  <c r="F7" i="2" s="1"/>
  <c r="D133" i="7"/>
  <c r="C11" i="1"/>
  <c r="G65" i="7"/>
  <c r="F5" i="2" s="1"/>
  <c r="D7" i="5"/>
  <c r="C4" i="3"/>
  <c r="D21" i="3"/>
  <c r="D22" i="3" s="1"/>
  <c r="E22" i="3" s="1"/>
  <c r="F22" i="3" s="1"/>
  <c r="G22" i="3" s="1"/>
  <c r="H22" i="3" s="1"/>
  <c r="D10" i="1"/>
  <c r="E18" i="1"/>
  <c r="C18" i="2"/>
  <c r="E7" i="5"/>
  <c r="E4" i="2"/>
  <c r="F32" i="7"/>
  <c r="E8" i="2" s="1"/>
  <c r="D17" i="2" s="1"/>
  <c r="G3" i="7"/>
  <c r="H65" i="7"/>
  <c r="G5" i="2" s="1"/>
  <c r="E65" i="7"/>
  <c r="D5" i="2" s="1"/>
  <c r="C25" i="1" l="1"/>
  <c r="D11" i="1"/>
  <c r="C13" i="1"/>
  <c r="E12" i="1"/>
  <c r="D26" i="1"/>
  <c r="D5" i="3"/>
  <c r="D6" i="3" s="1"/>
  <c r="C17" i="2"/>
  <c r="D18" i="2"/>
  <c r="E4" i="3"/>
  <c r="E6" i="3" s="1"/>
  <c r="E6" i="2"/>
  <c r="E9" i="2" s="1"/>
  <c r="E20" i="1"/>
  <c r="F18" i="1"/>
  <c r="C5" i="2"/>
  <c r="D23" i="1"/>
  <c r="D13" i="1"/>
  <c r="E9" i="1"/>
  <c r="G5" i="3"/>
  <c r="D24" i="1"/>
  <c r="E10" i="1"/>
  <c r="D6" i="1"/>
  <c r="D7" i="1" s="1"/>
  <c r="H5" i="3"/>
  <c r="D6" i="2"/>
  <c r="D9" i="2" s="1"/>
  <c r="G32" i="7"/>
  <c r="F8" i="2" s="1"/>
  <c r="H3" i="7"/>
  <c r="E17" i="2"/>
  <c r="F5" i="3"/>
  <c r="H99" i="7"/>
  <c r="G7" i="2" s="1"/>
  <c r="I69" i="7"/>
  <c r="I99" i="7" s="1"/>
  <c r="H7" i="2" s="1"/>
  <c r="F28" i="5"/>
  <c r="F5" i="5"/>
  <c r="E13" i="1" l="1"/>
  <c r="E14" i="1" s="1"/>
  <c r="F9" i="1"/>
  <c r="E23" i="1"/>
  <c r="I3" i="7"/>
  <c r="I32" i="7" s="1"/>
  <c r="H8" i="2" s="1"/>
  <c r="G17" i="2" s="1"/>
  <c r="H32" i="7"/>
  <c r="G8" i="2" s="1"/>
  <c r="F17" i="2" s="1"/>
  <c r="E6" i="1"/>
  <c r="E7" i="1" s="1"/>
  <c r="D14" i="1"/>
  <c r="E11" i="2"/>
  <c r="D16" i="2"/>
  <c r="G28" i="5"/>
  <c r="H5" i="5" s="1"/>
  <c r="G5" i="5"/>
  <c r="E26" i="1"/>
  <c r="F12" i="1"/>
  <c r="D25" i="1"/>
  <c r="E11" i="1"/>
  <c r="C5" i="3"/>
  <c r="C6" i="3" s="1"/>
  <c r="C7" i="3" s="1"/>
  <c r="D7" i="3" s="1"/>
  <c r="E7" i="3" s="1"/>
  <c r="C6" i="2"/>
  <c r="C9" i="2" s="1"/>
  <c r="C11" i="2" s="1"/>
  <c r="F4" i="2"/>
  <c r="F7" i="5"/>
  <c r="F6" i="1" s="1"/>
  <c r="F7" i="1" s="1"/>
  <c r="D11" i="2"/>
  <c r="C16" i="2"/>
  <c r="E24" i="1"/>
  <c r="F10" i="1"/>
  <c r="G18" i="1"/>
  <c r="F20" i="1"/>
  <c r="F4" i="3" l="1"/>
  <c r="F6" i="3" s="1"/>
  <c r="F7" i="3" s="1"/>
  <c r="F6" i="2"/>
  <c r="F9" i="2" s="1"/>
  <c r="E18" i="2"/>
  <c r="C29" i="3"/>
  <c r="C30" i="3" s="1"/>
  <c r="C28" i="1"/>
  <c r="G7" i="5"/>
  <c r="G6" i="1" s="1"/>
  <c r="G7" i="1" s="1"/>
  <c r="G4" i="2"/>
  <c r="H8" i="4"/>
  <c r="H4" i="4"/>
  <c r="E29" i="3"/>
  <c r="E28" i="1"/>
  <c r="O2" i="4"/>
  <c r="G6" i="6"/>
  <c r="F6" i="6"/>
  <c r="N2" i="4"/>
  <c r="G8" i="4"/>
  <c r="G4" i="4"/>
  <c r="D29" i="3"/>
  <c r="D28" i="1"/>
  <c r="E29" i="1" s="1"/>
  <c r="H4" i="2"/>
  <c r="H7" i="5"/>
  <c r="H6" i="1" s="1"/>
  <c r="H7" i="1" s="1"/>
  <c r="N3" i="4"/>
  <c r="O3" i="4"/>
  <c r="H18" i="1"/>
  <c r="H20" i="1" s="1"/>
  <c r="G20" i="1"/>
  <c r="F24" i="1"/>
  <c r="G10" i="1"/>
  <c r="F11" i="1"/>
  <c r="E25" i="1"/>
  <c r="F26" i="1"/>
  <c r="G12" i="1"/>
  <c r="G9" i="1"/>
  <c r="F23" i="1"/>
  <c r="F29" i="1" l="1"/>
  <c r="G23" i="1"/>
  <c r="H9" i="1"/>
  <c r="E16" i="2"/>
  <c r="F11" i="2"/>
  <c r="G11" i="1"/>
  <c r="G13" i="1" s="1"/>
  <c r="G14" i="1" s="1"/>
  <c r="F25" i="1"/>
  <c r="E30" i="1"/>
  <c r="G4" i="3"/>
  <c r="G6" i="3" s="1"/>
  <c r="G7" i="3" s="1"/>
  <c r="F18" i="2"/>
  <c r="G6" i="2"/>
  <c r="G9" i="2" s="1"/>
  <c r="F13" i="1"/>
  <c r="F14" i="1" s="1"/>
  <c r="H12" i="1"/>
  <c r="H26" i="1" s="1"/>
  <c r="G26" i="1"/>
  <c r="G24" i="1"/>
  <c r="H10" i="1"/>
  <c r="H24" i="1" s="1"/>
  <c r="H6" i="2"/>
  <c r="H9" i="2" s="1"/>
  <c r="H4" i="3"/>
  <c r="H6" i="3" s="1"/>
  <c r="G18" i="2"/>
  <c r="C27" i="1"/>
  <c r="D30" i="3"/>
  <c r="E30" i="3" s="1"/>
  <c r="D30" i="1"/>
  <c r="Q3" i="4" l="1"/>
  <c r="F16" i="2"/>
  <c r="G11" i="2"/>
  <c r="D32" i="1"/>
  <c r="D34" i="1" s="1"/>
  <c r="G2" i="4"/>
  <c r="N4" i="4"/>
  <c r="N5" i="4" s="1"/>
  <c r="G25" i="1"/>
  <c r="H11" i="1"/>
  <c r="H25" i="1" s="1"/>
  <c r="H23" i="1"/>
  <c r="H13" i="1"/>
  <c r="H14" i="1" s="1"/>
  <c r="H7" i="3"/>
  <c r="E32" i="1"/>
  <c r="E34" i="1" s="1"/>
  <c r="H2" i="4"/>
  <c r="O4" i="4"/>
  <c r="O5" i="4" s="1"/>
  <c r="I8" i="4"/>
  <c r="P2" i="4"/>
  <c r="H6" i="6"/>
  <c r="I6" i="4"/>
  <c r="I4" i="4"/>
  <c r="F28" i="1"/>
  <c r="F29" i="3"/>
  <c r="F30" i="3" s="1"/>
  <c r="P3" i="4"/>
  <c r="F12" i="6"/>
  <c r="C6" i="1"/>
  <c r="C7" i="1" s="1"/>
  <c r="C14" i="1" s="1"/>
  <c r="C30" i="1"/>
  <c r="F6" i="4"/>
  <c r="G6" i="4"/>
  <c r="H6" i="4"/>
  <c r="H11" i="2"/>
  <c r="G16" i="2"/>
  <c r="F2" i="6" l="1"/>
  <c r="F3" i="6" s="1"/>
  <c r="C32" i="1"/>
  <c r="F2" i="4"/>
  <c r="R3" i="4"/>
  <c r="C34" i="1"/>
  <c r="F4" i="4"/>
  <c r="J6" i="6"/>
  <c r="H28" i="1"/>
  <c r="H29" i="3"/>
  <c r="R2" i="4"/>
  <c r="K6" i="4"/>
  <c r="K8" i="4"/>
  <c r="K4" i="4"/>
  <c r="G29" i="1"/>
  <c r="F30" i="1"/>
  <c r="J6" i="4"/>
  <c r="J4" i="4"/>
  <c r="G29" i="3"/>
  <c r="G30" i="3" s="1"/>
  <c r="I6" i="6"/>
  <c r="F8" i="6" s="1"/>
  <c r="F16" i="6" s="1"/>
  <c r="F17" i="6" s="1"/>
  <c r="J8" i="4"/>
  <c r="Q2" i="4"/>
  <c r="G28" i="1"/>
  <c r="H30" i="3" l="1"/>
  <c r="C2" i="6" a="1"/>
  <c r="C2" i="6" s="1"/>
  <c r="I3" i="6"/>
  <c r="I2" i="6"/>
  <c r="F32" i="1"/>
  <c r="F34" i="1" s="1"/>
  <c r="I2" i="4"/>
  <c r="P4" i="4"/>
  <c r="P5" i="4" s="1"/>
  <c r="H29" i="1"/>
  <c r="H30" i="1" s="1"/>
  <c r="G30" i="1"/>
  <c r="C21" i="6" l="1"/>
  <c r="C15" i="6"/>
  <c r="C12" i="6"/>
  <c r="C9" i="6"/>
  <c r="C22" i="6"/>
  <c r="C17" i="6"/>
  <c r="C13" i="6"/>
  <c r="C10" i="6"/>
  <c r="C20" i="6"/>
  <c r="C16" i="6"/>
  <c r="C8" i="6"/>
  <c r="C14" i="6"/>
  <c r="C7" i="6"/>
  <c r="C19" i="6"/>
  <c r="C18" i="6"/>
  <c r="C11" i="6"/>
  <c r="C4" i="6"/>
  <c r="F11" i="6"/>
  <c r="G32" i="1"/>
  <c r="G34" i="1" s="1"/>
  <c r="Q4" i="4"/>
  <c r="Q5" i="4" s="1"/>
  <c r="J2" i="4"/>
  <c r="H32" i="1"/>
  <c r="H34" i="1" s="1"/>
  <c r="K2" i="4"/>
  <c r="R4" i="4"/>
  <c r="R5" i="4" s="1"/>
</calcChain>
</file>

<file path=xl/sharedStrings.xml><?xml version="1.0" encoding="utf-8"?>
<sst xmlns="http://schemas.openxmlformats.org/spreadsheetml/2006/main" count="276" uniqueCount="193">
  <si>
    <t>FLUJO DE CAJA OPERACIONAL</t>
  </si>
  <si>
    <t xml:space="preserve">AÑO 0 </t>
  </si>
  <si>
    <t>AÑO 1</t>
  </si>
  <si>
    <t>AÑO 2</t>
  </si>
  <si>
    <t>AÑO 3</t>
  </si>
  <si>
    <t>AÑO 4</t>
  </si>
  <si>
    <t>AÑO 5</t>
  </si>
  <si>
    <t>INGRESOS OPERACIONALES</t>
  </si>
  <si>
    <t>GASTOS OPERACIONALES</t>
  </si>
  <si>
    <t>TOTAL</t>
  </si>
  <si>
    <t>FLUJO</t>
  </si>
  <si>
    <t>FLUJO DE FINANCIACIÓN</t>
  </si>
  <si>
    <t>FLUJO DE CAJA INVERSOR</t>
  </si>
  <si>
    <t>FLUJO DE CAJA LIBRE</t>
  </si>
  <si>
    <t>UTILIADAD</t>
  </si>
  <si>
    <t>FUJO</t>
  </si>
  <si>
    <t>RATIOS</t>
  </si>
  <si>
    <t>fórmulas</t>
  </si>
  <si>
    <t>interpreación</t>
  </si>
  <si>
    <t>AÑO 0</t>
  </si>
  <si>
    <t>año 1</t>
  </si>
  <si>
    <t>año 2</t>
  </si>
  <si>
    <t>año 3</t>
  </si>
  <si>
    <t>año 4</t>
  </si>
  <si>
    <t>año 5</t>
  </si>
  <si>
    <t>Recursos Propios</t>
  </si>
  <si>
    <t>RESULTADO NETO x 100</t>
  </si>
  <si>
    <t>Rentabilidad de los recursos propios</t>
  </si>
  <si>
    <t>utlidad/ventas (utilidad por cada unidad vendida)</t>
  </si>
  <si>
    <t>PATRIMONIO</t>
  </si>
  <si>
    <t>Ventas/actvos (rotación de activos)</t>
  </si>
  <si>
    <t>Global</t>
  </si>
  <si>
    <t>Rentabilidad económica de todos los recursos empleados</t>
  </si>
  <si>
    <t>BALANCE GENERAL</t>
  </si>
  <si>
    <t>año 0</t>
  </si>
  <si>
    <t>ACTIVOS</t>
  </si>
  <si>
    <t>CORRIENTES</t>
  </si>
  <si>
    <t>caja y banco</t>
  </si>
  <si>
    <t>total activo corriente</t>
  </si>
  <si>
    <t>NO CORRIENTES</t>
  </si>
  <si>
    <t>activos/patrimonio</t>
  </si>
  <si>
    <t>TOTAL ACTIVO NO CORRIENTE</t>
  </si>
  <si>
    <t>ACTIVOS TOTALES</t>
  </si>
  <si>
    <t>Dupont (rentabilidad del proyecto)</t>
  </si>
  <si>
    <t>TOTAL ACTIVOS</t>
  </si>
  <si>
    <t>De Capital</t>
  </si>
  <si>
    <t>Rentabilidad del capital social</t>
  </si>
  <si>
    <t>PASIVOS</t>
  </si>
  <si>
    <t>TOTAL PASIVO CORRIENTE</t>
  </si>
  <si>
    <t>TOTAL PASIVO NO CORRIENTE</t>
  </si>
  <si>
    <t>TOTAL PASIVOS</t>
  </si>
  <si>
    <t>CAPITAL SOCIAL</t>
  </si>
  <si>
    <t>Rent. Ventas</t>
  </si>
  <si>
    <t>Rentabilidad de la ventas</t>
  </si>
  <si>
    <t>4 hectarias</t>
  </si>
  <si>
    <t>sistema de seguridad</t>
  </si>
  <si>
    <t>VENTAS</t>
  </si>
  <si>
    <t>malla sombra</t>
  </si>
  <si>
    <t>tanque de 250 lts</t>
  </si>
  <si>
    <t>CAPITAL DE SOCIOS</t>
  </si>
  <si>
    <t>utiliadad del ejercicio</t>
  </si>
  <si>
    <t>utilidades retenidas</t>
  </si>
  <si>
    <t>TOTAL PATRIMONIO</t>
  </si>
  <si>
    <t>TOTAL PASIVOS + PATRIMONIO</t>
  </si>
  <si>
    <t>ESTADO DE RESULTADOS</t>
  </si>
  <si>
    <t>cuenta de ajuate (PASIVO+PATRIMONIO)= ACT.</t>
  </si>
  <si>
    <t>Ingresos operacionales</t>
  </si>
  <si>
    <t>Costos operacionales</t>
  </si>
  <si>
    <t>Utilidad bruta</t>
  </si>
  <si>
    <t>Costos administrativos</t>
  </si>
  <si>
    <t>Costos de mercadeo</t>
  </si>
  <si>
    <t>Utilidad no operacional</t>
  </si>
  <si>
    <t>Otros ingresos</t>
  </si>
  <si>
    <t>Utilidad antes de impuestos</t>
  </si>
  <si>
    <t>año1</t>
  </si>
  <si>
    <t>año2</t>
  </si>
  <si>
    <t>año3</t>
  </si>
  <si>
    <t>año4</t>
  </si>
  <si>
    <t>año5</t>
  </si>
  <si>
    <t>utilidades</t>
  </si>
  <si>
    <t>total egresos</t>
  </si>
  <si>
    <t>ingresos</t>
  </si>
  <si>
    <t>PROYECCIÓN INGRESOS</t>
  </si>
  <si>
    <t>ingresos no operacionales</t>
  </si>
  <si>
    <t>total de ingresos</t>
  </si>
  <si>
    <t>cantidad</t>
  </si>
  <si>
    <t>4 hectarea equivalentes a</t>
  </si>
  <si>
    <t>m^2</t>
  </si>
  <si>
    <t>de los cuales se utilizaran</t>
  </si>
  <si>
    <t>m^3</t>
  </si>
  <si>
    <t>espacio ocupado por planta de marihuna</t>
  </si>
  <si>
    <t>total plantas de marihuna</t>
  </si>
  <si>
    <t>cada 9 semanas</t>
  </si>
  <si>
    <t>variaedad dominacia indica</t>
  </si>
  <si>
    <t>plantas al año</t>
  </si>
  <si>
    <t>precio</t>
  </si>
  <si>
    <t>crecimiento del sector</t>
  </si>
  <si>
    <t>precio por unidad</t>
  </si>
  <si>
    <t>dolares canadiences</t>
  </si>
  <si>
    <t>valor del dolar candiende en pesos</t>
  </si>
  <si>
    <t>valor por unidad pesos</t>
  </si>
  <si>
    <t>bibliografia</t>
  </si>
  <si>
    <t>https://www.dinero.com/internacional/articulo/precio-de-la-marihuana-despues-la-legalizacion-en-canada/265914</t>
  </si>
  <si>
    <t>VNA</t>
  </si>
  <si>
    <t>patrimonio</t>
  </si>
  <si>
    <t>TIR</t>
  </si>
  <si>
    <t>TOTAL DE ACCIONES</t>
  </si>
  <si>
    <t xml:space="preserve">valor </t>
  </si>
  <si>
    <t>TIR M</t>
  </si>
  <si>
    <t>VALOR POR ACCIÓN</t>
  </si>
  <si>
    <t>mercade</t>
  </si>
  <si>
    <t>porcen.</t>
  </si>
  <si>
    <t>No.</t>
  </si>
  <si>
    <t>PORCENTAGE</t>
  </si>
  <si>
    <t>Descripción</t>
  </si>
  <si>
    <t>VALOR</t>
  </si>
  <si>
    <t>Año 0</t>
  </si>
  <si>
    <t>Año 1</t>
  </si>
  <si>
    <t>Año 2</t>
  </si>
  <si>
    <t>Año 3</t>
  </si>
  <si>
    <t>Año 4</t>
  </si>
  <si>
    <t>Año 5</t>
  </si>
  <si>
    <t xml:space="preserve">Director de marketing </t>
  </si>
  <si>
    <t xml:space="preserve">pago total </t>
  </si>
  <si>
    <t>Dominio pagina web / Hosting</t>
  </si>
  <si>
    <t>Analistas de marketing</t>
  </si>
  <si>
    <t>Eventos empresariales</t>
  </si>
  <si>
    <t>Investigación del mercado</t>
  </si>
  <si>
    <t>equivalente</t>
  </si>
  <si>
    <t>Customer Relationship Management</t>
  </si>
  <si>
    <t>valor de la inversión</t>
  </si>
  <si>
    <t>tiempo de recuperación</t>
  </si>
  <si>
    <t>Personal de marketing digital</t>
  </si>
  <si>
    <t>beneficio</t>
  </si>
  <si>
    <t>Email marketing</t>
  </si>
  <si>
    <t>rentabilidad de inversion</t>
  </si>
  <si>
    <t>Posicionamiento redes sociales (Linkedin)</t>
  </si>
  <si>
    <t>Google adds</t>
  </si>
  <si>
    <t>Creacion de logo de la empresa</t>
  </si>
  <si>
    <t>Slogan para empresa</t>
  </si>
  <si>
    <t>Total</t>
  </si>
  <si>
    <t>operacional</t>
  </si>
  <si>
    <t>Licencia de uso de semillas para siembra</t>
  </si>
  <si>
    <t>Licencia de cultivo de plantas de cannabis</t>
  </si>
  <si>
    <t>Tarifa costos de  evaluación Minsalud</t>
  </si>
  <si>
    <t>Tarifa seguimiento y control Minsalud</t>
  </si>
  <si>
    <t>Pago especialista plan de cultivo</t>
  </si>
  <si>
    <t>Sistema de riego</t>
  </si>
  <si>
    <t>Semillas</t>
  </si>
  <si>
    <t>Fertilizante Prefloración Top Bloom 1L</t>
  </si>
  <si>
    <t>Fertilizante Floración avanzada Top Candy 1L</t>
  </si>
  <si>
    <t>Fertilizante para crecimiento Top VEG 1 L</t>
  </si>
  <si>
    <t>Sustrato Lombri Compost 50 kg + fibra de coco + perlita</t>
  </si>
  <si>
    <t>plastico reflectante</t>
  </si>
  <si>
    <t>agronomo</t>
  </si>
  <si>
    <t>ingeniero quimico</t>
  </si>
  <si>
    <t>Director de operaciones</t>
  </si>
  <si>
    <t>Estudio de suelo y agua</t>
  </si>
  <si>
    <t>Insecticidas y fungicidas</t>
  </si>
  <si>
    <t>jornaleros</t>
  </si>
  <si>
    <t>invernaderos</t>
  </si>
  <si>
    <t>Kit Semillero Bandeja, Base Y Domo 55x28cm Germinacion</t>
  </si>
  <si>
    <t>tijeras de manicurado</t>
  </si>
  <si>
    <t>kit de secado</t>
  </si>
  <si>
    <t>bolsas conservación con cierre hermetico</t>
  </si>
  <si>
    <t>medidor de PH</t>
  </si>
  <si>
    <t>medidor de humedad</t>
  </si>
  <si>
    <t>deshumidificadores</t>
  </si>
  <si>
    <t>Maquina peladora de cogollos</t>
  </si>
  <si>
    <t>administrativo</t>
  </si>
  <si>
    <t>Gerente financiero</t>
  </si>
  <si>
    <t>gerente de ventas</t>
  </si>
  <si>
    <t>servicio de vigilancia</t>
  </si>
  <si>
    <t>Abogado</t>
  </si>
  <si>
    <t>agua</t>
  </si>
  <si>
    <t>electricidad</t>
  </si>
  <si>
    <t>gas</t>
  </si>
  <si>
    <t>botiquin de emergencia</t>
  </si>
  <si>
    <t>Extintor 20 Libras ABC</t>
  </si>
  <si>
    <t>guantes</t>
  </si>
  <si>
    <t>overoles</t>
  </si>
  <si>
    <t>caretas para fumigar</t>
  </si>
  <si>
    <t>traje para fumigar</t>
  </si>
  <si>
    <t>botas</t>
  </si>
  <si>
    <t xml:space="preserve">Servicio de aseo </t>
  </si>
  <si>
    <t>Gerente de recursos humanos</t>
  </si>
  <si>
    <t>total</t>
  </si>
  <si>
    <t>activos fijos</t>
  </si>
  <si>
    <t>4 hectareas (40.000 m2)</t>
  </si>
  <si>
    <t>Sistema De 16 Canales Bnt 1080p Cámara De Seguridad Poe, 4</t>
  </si>
  <si>
    <t>Chiglia Lona De Malla Sombra 10 X26 39 X</t>
  </si>
  <si>
    <t>Ea Tanque De 250 Litros Negro Eternit Ea1182822tecsi Nuevo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</si>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</sst>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$]#,##0"/>
    <numFmt numFmtId="165" formatCode="0.0000%"/>
  </numFmts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FFFFFF"/>
      <name val="Arial"/>
      <family val="2"/>
    </font>
    <font>
      <b/>
      <u/>
      <sz val="8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45818E"/>
        <bgColor rgb="FF45818E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1155CC"/>
        <bgColor rgb="FF1155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/>
    <xf numFmtId="164" fontId="1" fillId="0" borderId="4" xfId="0" applyNumberFormat="1" applyFont="1" applyBorder="1"/>
    <xf numFmtId="164" fontId="1" fillId="0" borderId="4" xfId="0" applyNumberFormat="1" applyFont="1" applyBorder="1" applyAlignment="1"/>
    <xf numFmtId="0" fontId="3" fillId="2" borderId="0" xfId="0" applyFont="1" applyFill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 applyAlignment="1"/>
    <xf numFmtId="0" fontId="6" fillId="2" borderId="0" xfId="0" applyFont="1" applyFill="1" applyAlignment="1"/>
    <xf numFmtId="0" fontId="1" fillId="9" borderId="4" xfId="0" applyFont="1" applyFill="1" applyBorder="1" applyAlignment="1"/>
    <xf numFmtId="0" fontId="6" fillId="8" borderId="4" xfId="0" applyFont="1" applyFill="1" applyBorder="1" applyAlignment="1"/>
    <xf numFmtId="0" fontId="5" fillId="0" borderId="0" xfId="0" applyFont="1"/>
    <xf numFmtId="0" fontId="4" fillId="2" borderId="0" xfId="0" applyFont="1" applyFill="1" applyAlignment="1"/>
    <xf numFmtId="0" fontId="7" fillId="0" borderId="4" xfId="0" applyFont="1" applyBorder="1" applyAlignment="1">
      <alignment horizontal="center"/>
    </xf>
    <xf numFmtId="0" fontId="1" fillId="2" borderId="0" xfId="0" applyFont="1" applyFill="1" applyAlignment="1"/>
    <xf numFmtId="0" fontId="8" fillId="9" borderId="4" xfId="0" applyFont="1" applyFill="1" applyBorder="1" applyAlignment="1"/>
    <xf numFmtId="10" fontId="8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8" fillId="2" borderId="0" xfId="0" applyFont="1" applyFill="1" applyAlignment="1"/>
    <xf numFmtId="0" fontId="8" fillId="0" borderId="4" xfId="0" applyFont="1" applyBorder="1" applyAlignment="1">
      <alignment horizontal="right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/>
    <xf numFmtId="0" fontId="1" fillId="3" borderId="4" xfId="0" applyFont="1" applyFill="1" applyBorder="1" applyAlignment="1"/>
    <xf numFmtId="0" fontId="1" fillId="9" borderId="4" xfId="0" applyFont="1" applyFill="1" applyBorder="1" applyAlignment="1"/>
    <xf numFmtId="0" fontId="1" fillId="11" borderId="4" xfId="0" applyFont="1" applyFill="1" applyBorder="1" applyAlignment="1"/>
    <xf numFmtId="0" fontId="8" fillId="12" borderId="4" xfId="0" applyFont="1" applyFill="1" applyBorder="1" applyAlignment="1"/>
    <xf numFmtId="0" fontId="1" fillId="5" borderId="4" xfId="0" applyFont="1" applyFill="1" applyBorder="1" applyAlignment="1"/>
    <xf numFmtId="164" fontId="8" fillId="0" borderId="0" xfId="0" applyNumberFormat="1" applyFont="1" applyAlignment="1">
      <alignment horizontal="right"/>
    </xf>
    <xf numFmtId="0" fontId="1" fillId="12" borderId="4" xfId="0" applyFont="1" applyFill="1" applyBorder="1" applyAlignment="1"/>
    <xf numFmtId="0" fontId="5" fillId="2" borderId="0" xfId="0" applyFont="1" applyFill="1"/>
    <xf numFmtId="0" fontId="9" fillId="2" borderId="0" xfId="0" applyFont="1" applyFill="1" applyAlignment="1"/>
    <xf numFmtId="0" fontId="9" fillId="2" borderId="4" xfId="0" applyFont="1" applyFill="1" applyBorder="1" applyAlignment="1"/>
    <xf numFmtId="0" fontId="9" fillId="2" borderId="0" xfId="0" applyFont="1" applyFill="1" applyAlignment="1">
      <alignment horizontal="center"/>
    </xf>
    <xf numFmtId="0" fontId="9" fillId="0" borderId="0" xfId="0" applyFont="1" applyAlignment="1"/>
    <xf numFmtId="164" fontId="9" fillId="0" borderId="0" xfId="0" applyNumberFormat="1" applyFont="1"/>
    <xf numFmtId="0" fontId="1" fillId="13" borderId="4" xfId="0" applyFont="1" applyFill="1" applyBorder="1" applyAlignment="1"/>
    <xf numFmtId="0" fontId="1" fillId="0" borderId="0" xfId="0" applyFont="1" applyAlignment="1">
      <alignment horizontal="center"/>
    </xf>
    <xf numFmtId="0" fontId="1" fillId="15" borderId="4" xfId="0" applyFont="1" applyFill="1" applyBorder="1"/>
    <xf numFmtId="0" fontId="1" fillId="15" borderId="4" xfId="0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17" borderId="4" xfId="0" applyFont="1" applyFill="1" applyBorder="1" applyAlignment="1"/>
    <xf numFmtId="3" fontId="2" fillId="0" borderId="4" xfId="0" applyNumberFormat="1" applyFont="1" applyBorder="1" applyAlignment="1"/>
    <xf numFmtId="0" fontId="1" fillId="0" borderId="4" xfId="0" applyFont="1" applyBorder="1" applyAlignment="1"/>
    <xf numFmtId="3" fontId="1" fillId="0" borderId="4" xfId="0" applyNumberFormat="1" applyFont="1" applyBorder="1" applyAlignment="1"/>
    <xf numFmtId="0" fontId="10" fillId="17" borderId="4" xfId="0" applyFont="1" applyFill="1" applyBorder="1" applyAlignment="1"/>
    <xf numFmtId="3" fontId="9" fillId="0" borderId="4" xfId="0" applyNumberFormat="1" applyFont="1" applyBorder="1"/>
    <xf numFmtId="0" fontId="1" fillId="0" borderId="0" xfId="0" applyFont="1"/>
    <xf numFmtId="0" fontId="2" fillId="17" borderId="4" xfId="0" applyFont="1" applyFill="1" applyBorder="1" applyAlignment="1"/>
    <xf numFmtId="3" fontId="1" fillId="0" borderId="4" xfId="0" applyNumberFormat="1" applyFont="1" applyBorder="1"/>
    <xf numFmtId="0" fontId="2" fillId="16" borderId="4" xfId="0" applyFont="1" applyFill="1" applyBorder="1" applyAlignment="1"/>
    <xf numFmtId="0" fontId="2" fillId="16" borderId="4" xfId="0" applyFont="1" applyFill="1" applyBorder="1"/>
    <xf numFmtId="10" fontId="1" fillId="0" borderId="0" xfId="0" applyNumberFormat="1" applyFont="1" applyAlignment="1"/>
    <xf numFmtId="0" fontId="2" fillId="18" borderId="4" xfId="0" applyFont="1" applyFill="1" applyBorder="1" applyAlignment="1"/>
    <xf numFmtId="0" fontId="2" fillId="2" borderId="4" xfId="0" applyFont="1" applyFill="1" applyBorder="1" applyAlignment="1"/>
    <xf numFmtId="0" fontId="2" fillId="10" borderId="4" xfId="0" applyFont="1" applyFill="1" applyBorder="1" applyAlignment="1"/>
    <xf numFmtId="0" fontId="10" fillId="19" borderId="4" xfId="0" applyFont="1" applyFill="1" applyBorder="1" applyAlignment="1"/>
    <xf numFmtId="0" fontId="2" fillId="19" borderId="4" xfId="0" applyFont="1" applyFill="1" applyBorder="1" applyAlignment="1"/>
    <xf numFmtId="0" fontId="2" fillId="20" borderId="4" xfId="0" applyFont="1" applyFill="1" applyBorder="1" applyAlignment="1"/>
    <xf numFmtId="9" fontId="1" fillId="0" borderId="4" xfId="0" applyNumberFormat="1" applyFont="1" applyBorder="1"/>
    <xf numFmtId="0" fontId="2" fillId="21" borderId="4" xfId="0" applyFont="1" applyFill="1" applyBorder="1" applyAlignment="1"/>
    <xf numFmtId="4" fontId="1" fillId="0" borderId="4" xfId="0" applyNumberFormat="1" applyFont="1" applyBorder="1" applyAlignment="1"/>
    <xf numFmtId="0" fontId="2" fillId="5" borderId="4" xfId="0" applyFont="1" applyFill="1" applyBorder="1" applyAlignment="1"/>
    <xf numFmtId="0" fontId="2" fillId="11" borderId="4" xfId="0" applyFont="1" applyFill="1" applyBorder="1" applyAlignment="1"/>
    <xf numFmtId="0" fontId="2" fillId="9" borderId="4" xfId="0" applyFont="1" applyFill="1" applyBorder="1" applyAlignment="1"/>
    <xf numFmtId="0" fontId="1" fillId="2" borderId="0" xfId="0" applyFont="1" applyFill="1" applyAlignment="1">
      <alignment horizontal="center"/>
    </xf>
    <xf numFmtId="0" fontId="2" fillId="22" borderId="4" xfId="0" applyFont="1" applyFill="1" applyBorder="1" applyAlignment="1"/>
    <xf numFmtId="0" fontId="1" fillId="2" borderId="0" xfId="0" applyFont="1" applyFill="1" applyAlignment="1"/>
    <xf numFmtId="0" fontId="10" fillId="23" borderId="4" xfId="0" applyFont="1" applyFill="1" applyBorder="1" applyAlignment="1"/>
    <xf numFmtId="0" fontId="1" fillId="13" borderId="4" xfId="0" applyFont="1" applyFill="1" applyBorder="1" applyAlignment="1"/>
    <xf numFmtId="0" fontId="10" fillId="10" borderId="4" xfId="0" applyFont="1" applyFill="1" applyBorder="1" applyAlignment="1"/>
    <xf numFmtId="0" fontId="1" fillId="13" borderId="3" xfId="0" applyFont="1" applyFill="1" applyBorder="1" applyAlignment="1"/>
    <xf numFmtId="10" fontId="2" fillId="24" borderId="4" xfId="0" applyNumberFormat="1" applyFont="1" applyFill="1" applyBorder="1" applyAlignment="1"/>
    <xf numFmtId="0" fontId="1" fillId="2" borderId="0" xfId="0" applyFont="1" applyFill="1" applyAlignment="1">
      <alignment horizontal="right"/>
    </xf>
    <xf numFmtId="0" fontId="1" fillId="13" borderId="10" xfId="0" applyFont="1" applyFill="1" applyBorder="1" applyAlignment="1">
      <alignment horizontal="right"/>
    </xf>
    <xf numFmtId="0" fontId="1" fillId="0" borderId="7" xfId="0" applyFont="1" applyBorder="1" applyAlignment="1"/>
    <xf numFmtId="164" fontId="1" fillId="0" borderId="7" xfId="0" applyNumberFormat="1" applyFont="1" applyBorder="1" applyAlignment="1">
      <alignment horizontal="right"/>
    </xf>
    <xf numFmtId="9" fontId="1" fillId="0" borderId="0" xfId="0" applyNumberFormat="1" applyFont="1" applyAlignment="1"/>
    <xf numFmtId="9" fontId="2" fillId="10" borderId="4" xfId="0" applyNumberFormat="1" applyFont="1" applyFill="1" applyBorder="1" applyAlignment="1"/>
    <xf numFmtId="164" fontId="1" fillId="0" borderId="7" xfId="0" applyNumberFormat="1" applyFont="1" applyBorder="1" applyAlignment="1">
      <alignment horizontal="right"/>
    </xf>
    <xf numFmtId="0" fontId="10" fillId="25" borderId="4" xfId="0" applyFont="1" applyFill="1" applyBorder="1" applyAlignment="1"/>
    <xf numFmtId="164" fontId="12" fillId="0" borderId="7" xfId="0" applyNumberFormat="1" applyFont="1" applyBorder="1" applyAlignment="1">
      <alignment horizontal="right"/>
    </xf>
    <xf numFmtId="165" fontId="1" fillId="0" borderId="4" xfId="0" applyNumberFormat="1" applyFont="1" applyBorder="1" applyAlignment="1"/>
    <xf numFmtId="0" fontId="10" fillId="26" borderId="4" xfId="0" applyFont="1" applyFill="1" applyBorder="1" applyAlignment="1"/>
    <xf numFmtId="0" fontId="10" fillId="27" borderId="4" xfId="0" applyFont="1" applyFill="1" applyBorder="1" applyAlignment="1"/>
    <xf numFmtId="10" fontId="1" fillId="0" borderId="4" xfId="0" applyNumberFormat="1" applyFont="1" applyBorder="1"/>
    <xf numFmtId="164" fontId="1" fillId="0" borderId="7" xfId="0" applyNumberFormat="1" applyFont="1" applyBorder="1" applyAlignment="1"/>
    <xf numFmtId="0" fontId="1" fillId="0" borderId="7" xfId="0" applyFont="1" applyBorder="1" applyAlignment="1">
      <alignment horizontal="right"/>
    </xf>
    <xf numFmtId="0" fontId="9" fillId="2" borderId="0" xfId="0" applyFont="1" applyFill="1" applyAlignment="1">
      <alignment horizontal="center"/>
    </xf>
    <xf numFmtId="164" fontId="9" fillId="13" borderId="7" xfId="0" applyNumberFormat="1" applyFont="1" applyFill="1" applyBorder="1" applyAlignment="1">
      <alignment horizontal="right"/>
    </xf>
    <xf numFmtId="0" fontId="13" fillId="2" borderId="0" xfId="0" applyFont="1" applyFill="1" applyAlignment="1"/>
    <xf numFmtId="0" fontId="13" fillId="13" borderId="4" xfId="0" applyFont="1" applyFill="1" applyBorder="1" applyAlignment="1"/>
    <xf numFmtId="0" fontId="13" fillId="13" borderId="3" xfId="0" applyFont="1" applyFill="1" applyBorder="1" applyAlignment="1"/>
    <xf numFmtId="0" fontId="13" fillId="2" borderId="0" xfId="0" applyFont="1" applyFill="1" applyAlignment="1">
      <alignment horizontal="right"/>
    </xf>
    <xf numFmtId="0" fontId="13" fillId="13" borderId="10" xfId="0" applyFont="1" applyFill="1" applyBorder="1" applyAlignment="1">
      <alignment horizontal="right"/>
    </xf>
    <xf numFmtId="0" fontId="13" fillId="0" borderId="7" xfId="0" applyFont="1" applyBorder="1" applyAlignment="1"/>
    <xf numFmtId="164" fontId="13" fillId="0" borderId="7" xfId="0" applyNumberFormat="1" applyFont="1" applyBorder="1" applyAlignment="1">
      <alignment horizontal="right"/>
    </xf>
    <xf numFmtId="0" fontId="12" fillId="0" borderId="7" xfId="0" applyFont="1" applyBorder="1" applyAlignment="1"/>
    <xf numFmtId="0" fontId="13" fillId="28" borderId="10" xfId="0" applyFont="1" applyFill="1" applyBorder="1" applyAlignment="1"/>
    <xf numFmtId="0" fontId="1" fillId="28" borderId="7" xfId="0" applyFont="1" applyFill="1" applyBorder="1" applyAlignment="1"/>
    <xf numFmtId="164" fontId="13" fillId="28" borderId="7" xfId="0" applyNumberFormat="1" applyFont="1" applyFill="1" applyBorder="1" applyAlignment="1">
      <alignment horizontal="right"/>
    </xf>
    <xf numFmtId="164" fontId="12" fillId="0" borderId="7" xfId="0" applyNumberFormat="1" applyFont="1" applyBorder="1" applyAlignment="1"/>
    <xf numFmtId="0" fontId="14" fillId="2" borderId="7" xfId="0" applyFont="1" applyFill="1" applyBorder="1" applyAlignment="1"/>
    <xf numFmtId="0" fontId="12" fillId="0" borderId="7" xfId="0" applyFont="1" applyBorder="1" applyAlignment="1"/>
    <xf numFmtId="0" fontId="15" fillId="2" borderId="7" xfId="0" applyFont="1" applyFill="1" applyBorder="1" applyAlignment="1"/>
    <xf numFmtId="0" fontId="1" fillId="0" borderId="4" xfId="0" applyFont="1" applyBorder="1" applyAlignment="1"/>
    <xf numFmtId="164" fontId="1" fillId="0" borderId="4" xfId="0" applyNumberFormat="1" applyFont="1" applyBorder="1" applyAlignment="1"/>
    <xf numFmtId="0" fontId="1" fillId="0" borderId="11" xfId="0" applyFont="1" applyBorder="1" applyAlignment="1"/>
    <xf numFmtId="0" fontId="1" fillId="10" borderId="1" xfId="0" applyFont="1" applyFill="1" applyBorder="1" applyAlignment="1">
      <alignment horizontal="center"/>
    </xf>
    <xf numFmtId="0" fontId="2" fillId="0" borderId="3" xfId="0" applyFont="1" applyBorder="1"/>
    <xf numFmtId="0" fontId="9" fillId="11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4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2" fillId="0" borderId="10" xfId="0" applyFont="1" applyBorder="1"/>
    <xf numFmtId="10" fontId="5" fillId="0" borderId="8" xfId="0" applyNumberFormat="1" applyFont="1" applyBorder="1"/>
    <xf numFmtId="0" fontId="4" fillId="7" borderId="8" xfId="0" applyFont="1" applyFill="1" applyBorder="1" applyAlignment="1"/>
    <xf numFmtId="0" fontId="4" fillId="2" borderId="8" xfId="0" applyFont="1" applyFill="1" applyBorder="1" applyAlignment="1"/>
    <xf numFmtId="0" fontId="4" fillId="7" borderId="8" xfId="0" applyFont="1" applyFill="1" applyBorder="1" applyAlignment="1">
      <alignment wrapText="1"/>
    </xf>
    <xf numFmtId="10" fontId="5" fillId="0" borderId="8" xfId="0" applyNumberFormat="1" applyFont="1" applyBorder="1" applyAlignment="1"/>
    <xf numFmtId="10" fontId="5" fillId="0" borderId="9" xfId="0" applyNumberFormat="1" applyFont="1" applyBorder="1"/>
    <xf numFmtId="0" fontId="2" fillId="0" borderId="5" xfId="0" applyFont="1" applyBorder="1"/>
    <xf numFmtId="0" fontId="1" fillId="16" borderId="1" xfId="0" applyFont="1" applyFill="1" applyBorder="1" applyAlignment="1"/>
    <xf numFmtId="0" fontId="1" fillId="14" borderId="1" xfId="0" applyFont="1" applyFill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1" fillId="13" borderId="0" xfId="0" applyFont="1" applyFill="1" applyAlignment="1">
      <alignment horizontal="center"/>
    </xf>
    <xf numFmtId="0" fontId="9" fillId="13" borderId="5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O"/>
              <a:t>total ingresos, total egresos and utilidades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'Estado de resultados'!$B$16</c:f>
              <c:strCache>
                <c:ptCount val="1"/>
                <c:pt idx="0">
                  <c:v>utilidades</c:v>
                </c:pt>
              </c:strCache>
            </c:strRef>
          </c:tx>
          <c:spPr>
            <a:solidFill>
              <a:schemeClr val="accent1"/>
            </a:solidFill>
          </c:spPr>
          <c:invertIfNegative val="1"/>
          <c:cat>
            <c:strRef>
              <c:f>'Estado de resultados'!$C$15:$G$15</c:f>
              <c:strCache>
                <c:ptCount val="5"/>
                <c:pt idx="0">
                  <c:v>año1</c:v>
                </c:pt>
                <c:pt idx="1">
                  <c:v>año2</c:v>
                </c:pt>
                <c:pt idx="2">
                  <c:v>año3</c:v>
                </c:pt>
                <c:pt idx="3">
                  <c:v>año4</c:v>
                </c:pt>
                <c:pt idx="4">
                  <c:v>año5</c:v>
                </c:pt>
              </c:strCache>
            </c:strRef>
          </c:cat>
          <c:val>
            <c:numRef>
              <c:f>'Estado de resultados'!$C$16:$G$16</c:f>
              <c:numCache>
                <c:formatCode>[$ $]#,##0</c:formatCode>
                <c:ptCount val="5"/>
                <c:pt idx="0">
                  <c:v>778485583</c:v>
                </c:pt>
                <c:pt idx="1">
                  <c:v>1143588013.2360001</c:v>
                </c:pt>
                <c:pt idx="2">
                  <c:v>1647778731.7613835</c:v>
                </c:pt>
                <c:pt idx="3">
                  <c:v>2217948378.3521357</c:v>
                </c:pt>
                <c:pt idx="4">
                  <c:v>2844664922.711287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37-4878-89F4-9734CFE78BA1}"/>
            </c:ext>
          </c:extLst>
        </c:ser>
        <c:ser>
          <c:idx val="1"/>
          <c:order val="1"/>
          <c:tx>
            <c:strRef>
              <c:f>'Estado de resultados'!$B$17</c:f>
              <c:strCache>
                <c:ptCount val="1"/>
                <c:pt idx="0">
                  <c:v>total egresos</c:v>
                </c:pt>
              </c:strCache>
            </c:strRef>
          </c:tx>
          <c:spPr>
            <a:solidFill>
              <a:schemeClr val="accent2"/>
            </a:solidFill>
          </c:spPr>
          <c:invertIfNegative val="1"/>
          <c:cat>
            <c:strRef>
              <c:f>'Estado de resultados'!$C$15:$G$15</c:f>
              <c:strCache>
                <c:ptCount val="5"/>
                <c:pt idx="0">
                  <c:v>año1</c:v>
                </c:pt>
                <c:pt idx="1">
                  <c:v>año2</c:v>
                </c:pt>
                <c:pt idx="2">
                  <c:v>año3</c:v>
                </c:pt>
                <c:pt idx="3">
                  <c:v>año4</c:v>
                </c:pt>
                <c:pt idx="4">
                  <c:v>año5</c:v>
                </c:pt>
              </c:strCache>
            </c:strRef>
          </c:cat>
          <c:val>
            <c:numRef>
              <c:f>'Estado de resultados'!$C$17:$G$17</c:f>
              <c:numCache>
                <c:formatCode>[$ $]#,##0</c:formatCode>
                <c:ptCount val="5"/>
                <c:pt idx="0">
                  <c:v>1816379001</c:v>
                </c:pt>
                <c:pt idx="1">
                  <c:v>1902783008.3800001</c:v>
                </c:pt>
                <c:pt idx="2">
                  <c:v>1928660847.6158004</c:v>
                </c:pt>
                <c:pt idx="3">
                  <c:v>1980791687.8366776</c:v>
                </c:pt>
                <c:pt idx="4">
                  <c:v>2084655914.9943793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37-4878-89F4-9734CFE78BA1}"/>
            </c:ext>
          </c:extLst>
        </c:ser>
        <c:ser>
          <c:idx val="2"/>
          <c:order val="2"/>
          <c:tx>
            <c:strRef>
              <c:f>'Estado de resultados'!$B$18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3"/>
            </a:solidFill>
          </c:spPr>
          <c:invertIfNegative val="1"/>
          <c:cat>
            <c:strRef>
              <c:f>'Estado de resultados'!$C$15:$G$15</c:f>
              <c:strCache>
                <c:ptCount val="5"/>
                <c:pt idx="0">
                  <c:v>año1</c:v>
                </c:pt>
                <c:pt idx="1">
                  <c:v>año2</c:v>
                </c:pt>
                <c:pt idx="2">
                  <c:v>año3</c:v>
                </c:pt>
                <c:pt idx="3">
                  <c:v>año4</c:v>
                </c:pt>
                <c:pt idx="4">
                  <c:v>año5</c:v>
                </c:pt>
              </c:strCache>
            </c:strRef>
          </c:cat>
          <c:val>
            <c:numRef>
              <c:f>'Estado de resultados'!$C$18:$G$18</c:f>
              <c:numCache>
                <c:formatCode>[$ $]#,##0</c:formatCode>
                <c:ptCount val="5"/>
                <c:pt idx="0">
                  <c:v>2594864584</c:v>
                </c:pt>
                <c:pt idx="1">
                  <c:v>3046371021.6160002</c:v>
                </c:pt>
                <c:pt idx="2">
                  <c:v>3576439579.3771839</c:v>
                </c:pt>
                <c:pt idx="3">
                  <c:v>4198740066.1888132</c:v>
                </c:pt>
                <c:pt idx="4">
                  <c:v>4929320837.7056665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9D37-4878-89F4-9734CFE78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1977362"/>
        <c:axId val="1057948815"/>
      </c:barChart>
      <c:catAx>
        <c:axId val="19919773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057948815"/>
        <c:crosses val="autoZero"/>
        <c:auto val="1"/>
        <c:lblAlgn val="ctr"/>
        <c:lblOffset val="100"/>
        <c:noMultiLvlLbl val="1"/>
      </c:catAx>
      <c:valAx>
        <c:axId val="1057948815"/>
        <c:scaling>
          <c:orientation val="minMax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[$ $]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91977362"/>
        <c:crosses val="max"/>
        <c:crossBetween val="between"/>
      </c:valAx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1362075</xdr:colOff>
      <xdr:row>18</xdr:row>
      <xdr:rowOff>152400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nero.com/internacional/articulo/precio-de-la-marihuana-despues-la-legalizacion-en-canada/265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1"/>
  <sheetViews>
    <sheetView topLeftCell="A7" workbookViewId="0"/>
  </sheetViews>
  <sheetFormatPr baseColWidth="10" defaultColWidth="14.42578125" defaultRowHeight="15.75" customHeight="1" x14ac:dyDescent="0.2"/>
  <cols>
    <col min="1" max="2" width="54.5703125" customWidth="1"/>
    <col min="3" max="3" width="14.5703125" customWidth="1"/>
    <col min="4" max="6" width="15.5703125" customWidth="1"/>
    <col min="7" max="8" width="16.5703125" customWidth="1"/>
    <col min="10" max="10" width="15.5703125" customWidth="1"/>
    <col min="11" max="11" width="16.5703125" customWidth="1"/>
  </cols>
  <sheetData>
    <row r="1" spans="1:8" x14ac:dyDescent="0.2">
      <c r="A1" s="1"/>
    </row>
    <row r="2" spans="1:8" x14ac:dyDescent="0.2">
      <c r="A2" s="2"/>
      <c r="B2" s="111" t="s">
        <v>33</v>
      </c>
      <c r="C2" s="112"/>
    </row>
    <row r="3" spans="1:8" x14ac:dyDescent="0.2">
      <c r="A3" s="1"/>
      <c r="B3" s="3"/>
      <c r="C3" s="4" t="s">
        <v>34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</row>
    <row r="4" spans="1:8" x14ac:dyDescent="0.2">
      <c r="A4" s="24"/>
      <c r="B4" s="25" t="s">
        <v>35</v>
      </c>
      <c r="C4" s="5"/>
      <c r="D4" s="3"/>
      <c r="E4" s="3"/>
      <c r="F4" s="3"/>
      <c r="G4" s="3"/>
      <c r="H4" s="3"/>
    </row>
    <row r="5" spans="1:8" x14ac:dyDescent="0.2">
      <c r="A5" s="24"/>
      <c r="B5" s="4" t="s">
        <v>36</v>
      </c>
      <c r="C5" s="5"/>
      <c r="D5" s="3"/>
      <c r="E5" s="3"/>
      <c r="F5" s="3"/>
      <c r="G5" s="3"/>
      <c r="H5" s="3"/>
    </row>
    <row r="6" spans="1:8" x14ac:dyDescent="0.2">
      <c r="A6" s="24"/>
      <c r="B6" s="4" t="s">
        <v>37</v>
      </c>
      <c r="C6" s="5">
        <f>'Proyección de ingresos'!C7-presupuestos!D32-presupuestos!D65-presupuestos!D99-presupuestos!D133+C27</f>
        <v>0</v>
      </c>
      <c r="D6" s="5">
        <f>'Proyección de ingresos'!D7-presupuestos!E32-presupuestos!E65-presupuestos!E99-presupuestos!E133</f>
        <v>778485583</v>
      </c>
      <c r="E6" s="5">
        <f>'Proyección de ingresos'!E7-presupuestos!F32-presupuestos!F65-presupuestos!F99-presupuestos!F133+D6</f>
        <v>1922073596.2360001</v>
      </c>
      <c r="F6" s="5">
        <f>'Proyección de ingresos'!F7-presupuestos!G32-presupuestos!G65-presupuestos!G99-presupuestos!G133+E6</f>
        <v>3569852327.9973836</v>
      </c>
      <c r="G6" s="5">
        <f>'Proyección de ingresos'!G7-presupuestos!H32-presupuestos!H65-presupuestos!H99-presupuestos!H133+F6</f>
        <v>5787800706.3495188</v>
      </c>
      <c r="H6" s="5">
        <f>'Proyección de ingresos'!H7-presupuestos!I32-presupuestos!I65-presupuestos!I99-presupuestos!I133+G6</f>
        <v>8632465629.0608063</v>
      </c>
    </row>
    <row r="7" spans="1:8" x14ac:dyDescent="0.2">
      <c r="A7" s="24"/>
      <c r="B7" s="26" t="s">
        <v>38</v>
      </c>
      <c r="C7" s="5">
        <f t="shared" ref="C7:H7" si="0">C6</f>
        <v>0</v>
      </c>
      <c r="D7" s="5">
        <f t="shared" si="0"/>
        <v>778485583</v>
      </c>
      <c r="E7" s="5">
        <f t="shared" si="0"/>
        <v>1922073596.2360001</v>
      </c>
      <c r="F7" s="5">
        <f t="shared" si="0"/>
        <v>3569852327.9973836</v>
      </c>
      <c r="G7" s="5">
        <f t="shared" si="0"/>
        <v>5787800706.3495188</v>
      </c>
      <c r="H7" s="5">
        <f t="shared" si="0"/>
        <v>8632465629.0608063</v>
      </c>
    </row>
    <row r="8" spans="1:8" x14ac:dyDescent="0.2">
      <c r="A8" s="24"/>
      <c r="B8" s="4" t="s">
        <v>39</v>
      </c>
      <c r="C8" s="5"/>
      <c r="D8" s="3"/>
      <c r="E8" s="3"/>
      <c r="F8" s="3"/>
      <c r="G8" s="3"/>
      <c r="H8" s="3"/>
    </row>
    <row r="9" spans="1:8" x14ac:dyDescent="0.2">
      <c r="A9" s="24"/>
      <c r="B9" s="4" t="str">
        <f>presupuestos!C103</f>
        <v>4 hectareas (40.000 m2)</v>
      </c>
      <c r="C9" s="6">
        <f>presupuestos!D103</f>
        <v>80000000</v>
      </c>
      <c r="D9" s="6">
        <f>presupuestos!E103+C9</f>
        <v>80000000</v>
      </c>
      <c r="E9" s="6">
        <f>presupuestos!F103+D9</f>
        <v>80000000</v>
      </c>
      <c r="F9" s="6">
        <f>presupuestos!G103+E9</f>
        <v>80000000</v>
      </c>
      <c r="G9" s="6">
        <f>presupuestos!H103+F9</f>
        <v>80000000</v>
      </c>
      <c r="H9" s="6">
        <f>presupuestos!I103+G9</f>
        <v>80000000</v>
      </c>
    </row>
    <row r="10" spans="1:8" x14ac:dyDescent="0.2">
      <c r="A10" s="24"/>
      <c r="B10" s="4" t="str">
        <f>presupuestos!C104</f>
        <v>Sistema De 16 Canales Bnt 1080p Cámara De Seguridad Poe, 4</v>
      </c>
      <c r="C10" s="6">
        <f>presupuestos!D104</f>
        <v>4367300</v>
      </c>
      <c r="D10" s="6">
        <f>presupuestos!E104+C10</f>
        <v>4367300</v>
      </c>
      <c r="E10" s="6">
        <f>presupuestos!F104+D10</f>
        <v>4367300</v>
      </c>
      <c r="F10" s="6">
        <f>presupuestos!G104+E10</f>
        <v>4867300</v>
      </c>
      <c r="G10" s="6">
        <f>presupuestos!H104+F10</f>
        <v>4867300</v>
      </c>
      <c r="H10" s="6">
        <f>presupuestos!I104+G10</f>
        <v>4867300</v>
      </c>
    </row>
    <row r="11" spans="1:8" x14ac:dyDescent="0.2">
      <c r="A11" s="24"/>
      <c r="B11" s="4" t="str">
        <f>presupuestos!C105</f>
        <v>Chiglia Lona De Malla Sombra 10 X26 39 X</v>
      </c>
      <c r="C11" s="6">
        <f>presupuestos!D105</f>
        <v>110000000</v>
      </c>
      <c r="D11" s="6">
        <f>presupuestos!E105+C11</f>
        <v>110000000</v>
      </c>
      <c r="E11" s="6">
        <f>presupuestos!F105+D11</f>
        <v>110000000</v>
      </c>
      <c r="F11" s="6">
        <f>presupuestos!G105+E11</f>
        <v>110000000</v>
      </c>
      <c r="G11" s="6">
        <f>presupuestos!H105+F11</f>
        <v>110010000</v>
      </c>
      <c r="H11" s="6">
        <f>presupuestos!I105+G11</f>
        <v>110010000</v>
      </c>
    </row>
    <row r="12" spans="1:8" x14ac:dyDescent="0.2">
      <c r="A12" s="24"/>
      <c r="B12" s="4" t="str">
        <f>presupuestos!C106</f>
        <v>Ea Tanque De 250 Litros Negro Eternit Ea1182822tecsi Nuevo</v>
      </c>
      <c r="C12" s="6">
        <f>presupuestos!D106</f>
        <v>394200</v>
      </c>
      <c r="D12" s="6">
        <f>presupuestos!E106+C12</f>
        <v>394200</v>
      </c>
      <c r="E12" s="6">
        <f>presupuestos!F106+D12</f>
        <v>394200</v>
      </c>
      <c r="F12" s="6">
        <f>presupuestos!G106+E12</f>
        <v>394200</v>
      </c>
      <c r="G12" s="6">
        <f>presupuestos!H106+F12</f>
        <v>394200</v>
      </c>
      <c r="H12" s="6">
        <f>presupuestos!I106+G12</f>
        <v>394200</v>
      </c>
    </row>
    <row r="13" spans="1:8" x14ac:dyDescent="0.2">
      <c r="A13" s="24"/>
      <c r="B13" s="27" t="s">
        <v>41</v>
      </c>
      <c r="C13" s="5">
        <f t="shared" ref="C13:H13" si="1">SUM(C9:C12)</f>
        <v>194761500</v>
      </c>
      <c r="D13" s="5">
        <f t="shared" si="1"/>
        <v>194761500</v>
      </c>
      <c r="E13" s="5">
        <f t="shared" si="1"/>
        <v>194761500</v>
      </c>
      <c r="F13" s="5">
        <f t="shared" si="1"/>
        <v>195261500</v>
      </c>
      <c r="G13" s="5">
        <f t="shared" si="1"/>
        <v>195271500</v>
      </c>
      <c r="H13" s="5">
        <f t="shared" si="1"/>
        <v>195271500</v>
      </c>
    </row>
    <row r="14" spans="1:8" x14ac:dyDescent="0.2">
      <c r="A14" s="24"/>
      <c r="B14" s="25" t="s">
        <v>44</v>
      </c>
      <c r="C14" s="5">
        <f t="shared" ref="C14:H14" si="2">C13+C7</f>
        <v>194761500</v>
      </c>
      <c r="D14" s="5">
        <f t="shared" si="2"/>
        <v>973247083</v>
      </c>
      <c r="E14" s="5">
        <f t="shared" si="2"/>
        <v>2116835096.2360001</v>
      </c>
      <c r="F14" s="5">
        <f t="shared" si="2"/>
        <v>3765113827.9973836</v>
      </c>
      <c r="G14" s="5">
        <f t="shared" si="2"/>
        <v>5983072206.3495188</v>
      </c>
      <c r="H14" s="5">
        <f t="shared" si="2"/>
        <v>8827737129.0608063</v>
      </c>
    </row>
    <row r="15" spans="1:8" x14ac:dyDescent="0.2">
      <c r="A15" s="1"/>
      <c r="B15" s="3"/>
      <c r="C15" s="5"/>
      <c r="D15" s="3"/>
      <c r="E15" s="3"/>
      <c r="F15" s="3"/>
      <c r="G15" s="3"/>
      <c r="H15" s="3"/>
    </row>
    <row r="16" spans="1:8" x14ac:dyDescent="0.2">
      <c r="A16" s="24"/>
      <c r="B16" s="29" t="s">
        <v>47</v>
      </c>
      <c r="C16" s="5"/>
      <c r="D16" s="3"/>
      <c r="E16" s="3"/>
      <c r="F16" s="3"/>
      <c r="G16" s="3"/>
      <c r="H16" s="3"/>
    </row>
    <row r="17" spans="1:8" x14ac:dyDescent="0.2">
      <c r="A17" s="1"/>
      <c r="B17" s="3"/>
      <c r="C17" s="5"/>
      <c r="D17" s="3"/>
      <c r="E17" s="3"/>
      <c r="F17" s="3"/>
      <c r="G17" s="3"/>
      <c r="H17" s="3"/>
    </row>
    <row r="18" spans="1:8" x14ac:dyDescent="0.2">
      <c r="A18" s="24"/>
      <c r="B18" s="4" t="s">
        <v>48</v>
      </c>
      <c r="C18" s="6">
        <v>0</v>
      </c>
      <c r="D18" s="5">
        <f t="shared" ref="D18:H18" si="3">C18</f>
        <v>0</v>
      </c>
      <c r="E18" s="5">
        <f t="shared" si="3"/>
        <v>0</v>
      </c>
      <c r="F18" s="5">
        <f t="shared" si="3"/>
        <v>0</v>
      </c>
      <c r="G18" s="5">
        <f t="shared" si="3"/>
        <v>0</v>
      </c>
      <c r="H18" s="5">
        <f t="shared" si="3"/>
        <v>0</v>
      </c>
    </row>
    <row r="19" spans="1:8" x14ac:dyDescent="0.2">
      <c r="A19" s="24"/>
      <c r="B19" s="4" t="s">
        <v>49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 x14ac:dyDescent="0.2">
      <c r="A20" s="24"/>
      <c r="B20" s="29" t="s">
        <v>50</v>
      </c>
      <c r="C20" s="5">
        <f t="shared" ref="C20:H20" si="4">C18+C19</f>
        <v>0</v>
      </c>
      <c r="D20" s="5">
        <f t="shared" si="4"/>
        <v>0</v>
      </c>
      <c r="E20" s="5">
        <f t="shared" si="4"/>
        <v>0</v>
      </c>
      <c r="F20" s="5">
        <f t="shared" si="4"/>
        <v>0</v>
      </c>
      <c r="G20" s="5">
        <f t="shared" si="4"/>
        <v>0</v>
      </c>
      <c r="H20" s="5">
        <f t="shared" si="4"/>
        <v>0</v>
      </c>
    </row>
    <row r="21" spans="1:8" x14ac:dyDescent="0.2">
      <c r="A21" s="1"/>
      <c r="B21" s="3"/>
      <c r="C21" s="5"/>
      <c r="D21" s="3"/>
      <c r="E21" s="3"/>
      <c r="F21" s="3"/>
      <c r="G21" s="3"/>
      <c r="H21" s="3"/>
    </row>
    <row r="22" spans="1:8" x14ac:dyDescent="0.2">
      <c r="A22" s="24"/>
      <c r="B22" s="31" t="s">
        <v>29</v>
      </c>
      <c r="C22" s="5"/>
      <c r="D22" s="3"/>
      <c r="E22" s="3"/>
      <c r="F22" s="3"/>
      <c r="G22" s="3"/>
      <c r="H22" s="3"/>
    </row>
    <row r="23" spans="1:8" x14ac:dyDescent="0.2">
      <c r="A23" s="24"/>
      <c r="B23" s="4" t="s">
        <v>54</v>
      </c>
      <c r="C23" s="6">
        <f t="shared" ref="C23:H23" si="5">C9</f>
        <v>80000000</v>
      </c>
      <c r="D23" s="6">
        <f t="shared" si="5"/>
        <v>80000000</v>
      </c>
      <c r="E23" s="6">
        <f t="shared" si="5"/>
        <v>80000000</v>
      </c>
      <c r="F23" s="6">
        <f t="shared" si="5"/>
        <v>80000000</v>
      </c>
      <c r="G23" s="6">
        <f t="shared" si="5"/>
        <v>80000000</v>
      </c>
      <c r="H23" s="6">
        <f t="shared" si="5"/>
        <v>80000000</v>
      </c>
    </row>
    <row r="24" spans="1:8" x14ac:dyDescent="0.2">
      <c r="A24" s="24"/>
      <c r="B24" s="4" t="s">
        <v>55</v>
      </c>
      <c r="C24" s="6">
        <f t="shared" ref="C24:H24" si="6">C10</f>
        <v>4367300</v>
      </c>
      <c r="D24" s="6">
        <f t="shared" si="6"/>
        <v>4367300</v>
      </c>
      <c r="E24" s="6">
        <f t="shared" si="6"/>
        <v>4367300</v>
      </c>
      <c r="F24" s="6">
        <f t="shared" si="6"/>
        <v>4867300</v>
      </c>
      <c r="G24" s="6">
        <f t="shared" si="6"/>
        <v>4867300</v>
      </c>
      <c r="H24" s="6">
        <f t="shared" si="6"/>
        <v>4867300</v>
      </c>
    </row>
    <row r="25" spans="1:8" x14ac:dyDescent="0.2">
      <c r="A25" s="24"/>
      <c r="B25" s="4" t="s">
        <v>57</v>
      </c>
      <c r="C25" s="6">
        <f t="shared" ref="C25:H25" si="7">C11</f>
        <v>110000000</v>
      </c>
      <c r="D25" s="6">
        <f t="shared" si="7"/>
        <v>110000000</v>
      </c>
      <c r="E25" s="6">
        <f t="shared" si="7"/>
        <v>110000000</v>
      </c>
      <c r="F25" s="6">
        <f t="shared" si="7"/>
        <v>110000000</v>
      </c>
      <c r="G25" s="6">
        <f t="shared" si="7"/>
        <v>110010000</v>
      </c>
      <c r="H25" s="6">
        <f t="shared" si="7"/>
        <v>110010000</v>
      </c>
    </row>
    <row r="26" spans="1:8" x14ac:dyDescent="0.2">
      <c r="A26" s="24"/>
      <c r="B26" s="4" t="s">
        <v>58</v>
      </c>
      <c r="C26" s="6">
        <f t="shared" ref="C26:H26" si="8">C12</f>
        <v>394200</v>
      </c>
      <c r="D26" s="6">
        <f t="shared" si="8"/>
        <v>394200</v>
      </c>
      <c r="E26" s="6">
        <f t="shared" si="8"/>
        <v>394200</v>
      </c>
      <c r="F26" s="6">
        <f t="shared" si="8"/>
        <v>394200</v>
      </c>
      <c r="G26" s="6">
        <f t="shared" si="8"/>
        <v>394200</v>
      </c>
      <c r="H26" s="6">
        <f t="shared" si="8"/>
        <v>394200</v>
      </c>
    </row>
    <row r="27" spans="1:8" x14ac:dyDescent="0.2">
      <c r="A27" s="33"/>
      <c r="B27" s="34" t="s">
        <v>59</v>
      </c>
      <c r="C27" s="6">
        <f>-'Flujo de caja'!C30</f>
        <v>334137511</v>
      </c>
      <c r="D27" s="5"/>
      <c r="E27" s="6"/>
      <c r="F27" s="5"/>
      <c r="G27" s="5"/>
      <c r="H27" s="5"/>
    </row>
    <row r="28" spans="1:8" x14ac:dyDescent="0.2">
      <c r="A28" s="33"/>
      <c r="B28" s="34" t="s">
        <v>60</v>
      </c>
      <c r="C28" s="5">
        <f>'Estado de resultados'!C11</f>
        <v>-334137511</v>
      </c>
      <c r="D28" s="5">
        <f>'Estado de resultados'!D11</f>
        <v>778485583</v>
      </c>
      <c r="E28" s="5">
        <f>'Estado de resultados'!E11</f>
        <v>1143588013.2360001</v>
      </c>
      <c r="F28" s="5">
        <f>'Estado de resultados'!F11</f>
        <v>1647778731.7613835</v>
      </c>
      <c r="G28" s="5">
        <f>'Estado de resultados'!G11</f>
        <v>2217948378.3521357</v>
      </c>
      <c r="H28" s="5">
        <f>'Estado de resultados'!H11</f>
        <v>2844664922.711287</v>
      </c>
    </row>
    <row r="29" spans="1:8" x14ac:dyDescent="0.2">
      <c r="A29" s="33"/>
      <c r="B29" s="34" t="s">
        <v>61</v>
      </c>
      <c r="C29" s="5"/>
      <c r="D29" s="4">
        <v>0</v>
      </c>
      <c r="E29" s="5">
        <f t="shared" ref="E29:H29" si="9">D28+D29</f>
        <v>778485583</v>
      </c>
      <c r="F29" s="5">
        <f t="shared" si="9"/>
        <v>1922073596.2360001</v>
      </c>
      <c r="G29" s="5">
        <f t="shared" si="9"/>
        <v>3569852327.9973836</v>
      </c>
      <c r="H29" s="5">
        <f t="shared" si="9"/>
        <v>5787800706.3495197</v>
      </c>
    </row>
    <row r="30" spans="1:8" x14ac:dyDescent="0.2">
      <c r="A30" s="24"/>
      <c r="B30" s="31" t="s">
        <v>62</v>
      </c>
      <c r="C30" s="5">
        <f t="shared" ref="C30:H30" si="10">SUM(C23:C29)</f>
        <v>194761500</v>
      </c>
      <c r="D30" s="5">
        <f t="shared" si="10"/>
        <v>973247083</v>
      </c>
      <c r="E30" s="5">
        <f t="shared" si="10"/>
        <v>2116835096.2360001</v>
      </c>
      <c r="F30" s="5">
        <f t="shared" si="10"/>
        <v>3765113827.9973836</v>
      </c>
      <c r="G30" s="5">
        <f t="shared" si="10"/>
        <v>5983072206.3495197</v>
      </c>
      <c r="H30" s="5">
        <f t="shared" si="10"/>
        <v>8827737129.0608063</v>
      </c>
    </row>
    <row r="31" spans="1:8" x14ac:dyDescent="0.2">
      <c r="A31" s="24"/>
      <c r="B31" s="4"/>
      <c r="C31" s="5"/>
      <c r="D31" s="3"/>
      <c r="E31" s="3"/>
      <c r="F31" s="3"/>
      <c r="G31" s="3"/>
      <c r="H31" s="3"/>
    </row>
    <row r="32" spans="1:8" x14ac:dyDescent="0.2">
      <c r="A32" s="24"/>
      <c r="B32" s="26" t="s">
        <v>63</v>
      </c>
      <c r="C32" s="5">
        <f t="shared" ref="C32:H32" si="11">C30+C20</f>
        <v>194761500</v>
      </c>
      <c r="D32" s="5">
        <f t="shared" si="11"/>
        <v>973247083</v>
      </c>
      <c r="E32" s="5">
        <f t="shared" si="11"/>
        <v>2116835096.2360001</v>
      </c>
      <c r="F32" s="5">
        <f t="shared" si="11"/>
        <v>3765113827.9973836</v>
      </c>
      <c r="G32" s="5">
        <f t="shared" si="11"/>
        <v>5983072206.3495197</v>
      </c>
      <c r="H32" s="5">
        <f t="shared" si="11"/>
        <v>8827737129.0608063</v>
      </c>
    </row>
    <row r="33" spans="1:8" x14ac:dyDescent="0.2">
      <c r="A33" s="1"/>
    </row>
    <row r="34" spans="1:8" x14ac:dyDescent="0.2">
      <c r="A34" s="33"/>
      <c r="B34" s="36" t="s">
        <v>65</v>
      </c>
      <c r="C34" s="37">
        <f t="shared" ref="C34:H34" si="12">C14-C32</f>
        <v>0</v>
      </c>
      <c r="D34" s="37">
        <f t="shared" si="12"/>
        <v>0</v>
      </c>
      <c r="E34" s="37">
        <f t="shared" si="12"/>
        <v>0</v>
      </c>
      <c r="F34" s="37">
        <f t="shared" si="12"/>
        <v>0</v>
      </c>
      <c r="G34" s="37">
        <f t="shared" si="12"/>
        <v>0</v>
      </c>
      <c r="H34" s="37">
        <f t="shared" si="12"/>
        <v>0</v>
      </c>
    </row>
    <row r="35" spans="1:8" x14ac:dyDescent="0.2">
      <c r="A35" s="1"/>
    </row>
    <row r="36" spans="1:8" x14ac:dyDescent="0.2">
      <c r="A36" s="1"/>
    </row>
    <row r="37" spans="1:8" x14ac:dyDescent="0.2">
      <c r="A37" s="1"/>
    </row>
    <row r="38" spans="1:8" x14ac:dyDescent="0.2">
      <c r="A38" s="1"/>
    </row>
    <row r="39" spans="1:8" x14ac:dyDescent="0.2">
      <c r="A39" s="1"/>
    </row>
    <row r="40" spans="1:8" x14ac:dyDescent="0.2">
      <c r="A40" s="1"/>
    </row>
    <row r="41" spans="1:8" x14ac:dyDescent="0.2">
      <c r="A41" s="1"/>
    </row>
    <row r="42" spans="1:8" x14ac:dyDescent="0.2">
      <c r="A42" s="1"/>
    </row>
    <row r="43" spans="1:8" x14ac:dyDescent="0.2">
      <c r="A43" s="1"/>
    </row>
    <row r="44" spans="1:8" x14ac:dyDescent="0.2">
      <c r="A44" s="1"/>
    </row>
    <row r="45" spans="1:8" x14ac:dyDescent="0.2">
      <c r="A45" s="1"/>
    </row>
    <row r="46" spans="1:8" x14ac:dyDescent="0.2">
      <c r="A46" s="1"/>
    </row>
    <row r="47" spans="1:8" x14ac:dyDescent="0.2">
      <c r="A47" s="1"/>
    </row>
    <row r="48" spans="1:8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baseColWidth="10" defaultColWidth="14.42578125" defaultRowHeight="15.75" customHeight="1" x14ac:dyDescent="0.2"/>
  <cols>
    <col min="1" max="2" width="24.85546875" customWidth="1"/>
    <col min="3" max="8" width="14.5703125" customWidth="1"/>
    <col min="9" max="12" width="15.5703125" customWidth="1"/>
  </cols>
  <sheetData>
    <row r="1" spans="1:8" x14ac:dyDescent="0.2">
      <c r="A1" s="1"/>
    </row>
    <row r="2" spans="1:8" x14ac:dyDescent="0.2">
      <c r="A2" s="35"/>
      <c r="B2" s="113" t="s">
        <v>64</v>
      </c>
      <c r="C2" s="114"/>
      <c r="D2" s="114"/>
      <c r="E2" s="114"/>
      <c r="F2" s="114"/>
      <c r="G2" s="114"/>
      <c r="H2" s="112"/>
    </row>
    <row r="3" spans="1:8" x14ac:dyDescent="0.2">
      <c r="A3" s="1"/>
      <c r="B3" s="3"/>
      <c r="C3" s="29" t="s">
        <v>19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</row>
    <row r="4" spans="1:8" x14ac:dyDescent="0.2">
      <c r="A4" s="24"/>
      <c r="B4" s="4" t="s">
        <v>66</v>
      </c>
      <c r="C4" s="5">
        <f>'Proyección de ingresos'!C5</f>
        <v>0</v>
      </c>
      <c r="D4" s="5">
        <f>'Proyección de ingresos'!D5</f>
        <v>2594864584</v>
      </c>
      <c r="E4" s="5">
        <f>'Proyección de ingresos'!E5</f>
        <v>3046371021.6160002</v>
      </c>
      <c r="F4" s="5">
        <f>'Proyección de ingresos'!F5</f>
        <v>3576439579.3771839</v>
      </c>
      <c r="G4" s="5">
        <f>'Proyección de ingresos'!G5</f>
        <v>4198740066.1888132</v>
      </c>
      <c r="H4" s="5">
        <f>'Proyección de ingresos'!H5</f>
        <v>4929320837.7056665</v>
      </c>
    </row>
    <row r="5" spans="1:8" x14ac:dyDescent="0.2">
      <c r="A5" s="24"/>
      <c r="B5" s="4" t="s">
        <v>67</v>
      </c>
      <c r="C5" s="5">
        <f>presupuestos!D65+presupuestos!D133</f>
        <v>279163511</v>
      </c>
      <c r="D5" s="5">
        <f>presupuestos!E65+presupuestos!E133</f>
        <v>1454222506</v>
      </c>
      <c r="E5" s="5">
        <f>presupuestos!F65+presupuestos!F133</f>
        <v>1519576398</v>
      </c>
      <c r="F5" s="5">
        <f>presupuestos!G65+presupuestos!G133</f>
        <v>1534093802.7600002</v>
      </c>
      <c r="G5" s="5">
        <f>presupuestos!H65+presupuestos!H133</f>
        <v>1579574033.6627996</v>
      </c>
      <c r="H5" s="5">
        <f>presupuestos!I65+presupuestos!I133</f>
        <v>1674901478.4926844</v>
      </c>
    </row>
    <row r="6" spans="1:8" x14ac:dyDescent="0.2">
      <c r="A6" s="24"/>
      <c r="B6" s="38" t="s">
        <v>68</v>
      </c>
      <c r="C6" s="5">
        <f t="shared" ref="C6:H6" si="0">C4-C5</f>
        <v>-279163511</v>
      </c>
      <c r="D6" s="5">
        <f t="shared" si="0"/>
        <v>1140642078</v>
      </c>
      <c r="E6" s="5">
        <f t="shared" si="0"/>
        <v>1526794623.6160002</v>
      </c>
      <c r="F6" s="5">
        <f t="shared" si="0"/>
        <v>2042345776.6171837</v>
      </c>
      <c r="G6" s="5">
        <f t="shared" si="0"/>
        <v>2619166032.5260134</v>
      </c>
      <c r="H6" s="5">
        <f t="shared" si="0"/>
        <v>3254419359.2129822</v>
      </c>
    </row>
    <row r="7" spans="1:8" x14ac:dyDescent="0.2">
      <c r="A7" s="24"/>
      <c r="B7" s="4" t="s">
        <v>69</v>
      </c>
      <c r="C7" s="5">
        <f>presupuestos!D99</f>
        <v>0</v>
      </c>
      <c r="D7" s="5">
        <f>presupuestos!E99</f>
        <v>324321345</v>
      </c>
      <c r="E7" s="5">
        <f>presupuestos!F99</f>
        <v>335243602.88</v>
      </c>
      <c r="F7" s="5">
        <f>presupuestos!G99</f>
        <v>347254152.98080003</v>
      </c>
      <c r="G7" s="5">
        <f>presupuestos!H99</f>
        <v>359098569.69512802</v>
      </c>
      <c r="H7" s="5">
        <f>presupuestos!I99</f>
        <v>371637688.96585739</v>
      </c>
    </row>
    <row r="8" spans="1:8" x14ac:dyDescent="0.2">
      <c r="A8" s="24"/>
      <c r="B8" s="4" t="s">
        <v>70</v>
      </c>
      <c r="C8" s="5">
        <f>presupuestos!D32</f>
        <v>54974000</v>
      </c>
      <c r="D8" s="5">
        <f>presupuestos!E32</f>
        <v>37835150</v>
      </c>
      <c r="E8" s="5">
        <f>presupuestos!F32</f>
        <v>47963007.5</v>
      </c>
      <c r="F8" s="5">
        <f>presupuestos!G32</f>
        <v>47312891.875</v>
      </c>
      <c r="G8" s="5">
        <f>presupuestos!H32</f>
        <v>42119084.47874999</v>
      </c>
      <c r="H8" s="5">
        <f>presupuestos!I32</f>
        <v>38116747.535837486</v>
      </c>
    </row>
    <row r="9" spans="1:8" x14ac:dyDescent="0.2">
      <c r="A9" s="24"/>
      <c r="B9" s="38" t="s">
        <v>71</v>
      </c>
      <c r="C9" s="5">
        <f t="shared" ref="C9:H9" si="1">C6-C7-C8</f>
        <v>-334137511</v>
      </c>
      <c r="D9" s="5">
        <f t="shared" si="1"/>
        <v>778485583</v>
      </c>
      <c r="E9" s="5">
        <f t="shared" si="1"/>
        <v>1143588013.2360001</v>
      </c>
      <c r="F9" s="5">
        <f t="shared" si="1"/>
        <v>1647778731.7613835</v>
      </c>
      <c r="G9" s="5">
        <f t="shared" si="1"/>
        <v>2217948378.3521357</v>
      </c>
      <c r="H9" s="5">
        <f t="shared" si="1"/>
        <v>2844664922.711287</v>
      </c>
    </row>
    <row r="10" spans="1:8" x14ac:dyDescent="0.2">
      <c r="A10" s="24"/>
      <c r="B10" s="4" t="s">
        <v>72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x14ac:dyDescent="0.2">
      <c r="A11" s="24"/>
      <c r="B11" s="38" t="s">
        <v>73</v>
      </c>
      <c r="C11" s="5">
        <f t="shared" ref="C11:H11" si="2">C9+C10</f>
        <v>-334137511</v>
      </c>
      <c r="D11" s="5">
        <f t="shared" si="2"/>
        <v>778485583</v>
      </c>
      <c r="E11" s="5">
        <f t="shared" si="2"/>
        <v>1143588013.2360001</v>
      </c>
      <c r="F11" s="5">
        <f t="shared" si="2"/>
        <v>1647778731.7613835</v>
      </c>
      <c r="G11" s="5">
        <f t="shared" si="2"/>
        <v>2217948378.3521357</v>
      </c>
      <c r="H11" s="5">
        <f t="shared" si="2"/>
        <v>2844664922.711287</v>
      </c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  <c r="B15" s="3"/>
      <c r="C15" s="4" t="s">
        <v>74</v>
      </c>
      <c r="D15" s="4" t="s">
        <v>75</v>
      </c>
      <c r="E15" s="4" t="s">
        <v>76</v>
      </c>
      <c r="F15" s="4" t="s">
        <v>77</v>
      </c>
      <c r="G15" s="4" t="s">
        <v>78</v>
      </c>
    </row>
    <row r="16" spans="1:8" x14ac:dyDescent="0.2">
      <c r="A16" s="1"/>
      <c r="B16" s="4" t="s">
        <v>79</v>
      </c>
      <c r="C16" s="5">
        <f t="shared" ref="C16:G16" si="3">D9</f>
        <v>778485583</v>
      </c>
      <c r="D16" s="5">
        <f t="shared" si="3"/>
        <v>1143588013.2360001</v>
      </c>
      <c r="E16" s="5">
        <f t="shared" si="3"/>
        <v>1647778731.7613835</v>
      </c>
      <c r="F16" s="5">
        <f t="shared" si="3"/>
        <v>2217948378.3521357</v>
      </c>
      <c r="G16" s="5">
        <f t="shared" si="3"/>
        <v>2844664922.711287</v>
      </c>
    </row>
    <row r="17" spans="1:7" x14ac:dyDescent="0.2">
      <c r="A17" s="1"/>
      <c r="B17" s="4" t="s">
        <v>80</v>
      </c>
      <c r="C17" s="5">
        <f t="shared" ref="C17:G17" si="4">D5+D7+D8</f>
        <v>1816379001</v>
      </c>
      <c r="D17" s="5">
        <f t="shared" si="4"/>
        <v>1902783008.3800001</v>
      </c>
      <c r="E17" s="5">
        <f t="shared" si="4"/>
        <v>1928660847.6158004</v>
      </c>
      <c r="F17" s="5">
        <f t="shared" si="4"/>
        <v>1980791687.8366776</v>
      </c>
      <c r="G17" s="5">
        <f t="shared" si="4"/>
        <v>2084655914.9943793</v>
      </c>
    </row>
    <row r="18" spans="1:7" x14ac:dyDescent="0.2">
      <c r="A18" s="1"/>
      <c r="B18" s="4" t="s">
        <v>81</v>
      </c>
      <c r="C18" s="5">
        <f t="shared" ref="C18:G18" si="5">D4</f>
        <v>2594864584</v>
      </c>
      <c r="D18" s="5">
        <f t="shared" si="5"/>
        <v>3046371021.6160002</v>
      </c>
      <c r="E18" s="5">
        <f t="shared" si="5"/>
        <v>3576439579.3771839</v>
      </c>
      <c r="F18" s="5">
        <f t="shared" si="5"/>
        <v>4198740066.1888132</v>
      </c>
      <c r="G18" s="5">
        <f t="shared" si="5"/>
        <v>4929320837.7056665</v>
      </c>
    </row>
    <row r="19" spans="1:7" x14ac:dyDescent="0.2">
      <c r="A19" s="1"/>
    </row>
    <row r="20" spans="1:7" x14ac:dyDescent="0.2">
      <c r="A20" s="1"/>
    </row>
    <row r="21" spans="1:7" x14ac:dyDescent="0.2">
      <c r="A21" s="1"/>
    </row>
    <row r="22" spans="1:7" x14ac:dyDescent="0.2">
      <c r="A22" s="1"/>
    </row>
    <row r="23" spans="1:7" x14ac:dyDescent="0.2">
      <c r="A23" s="1"/>
    </row>
    <row r="24" spans="1:7" x14ac:dyDescent="0.2">
      <c r="A24" s="1"/>
    </row>
    <row r="25" spans="1:7" x14ac:dyDescent="0.2">
      <c r="A25" s="1"/>
    </row>
    <row r="26" spans="1:7" x14ac:dyDescent="0.2">
      <c r="A26" s="1"/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mergeCells count="1">
    <mergeCell ref="B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30"/>
  <sheetViews>
    <sheetView workbookViewId="0"/>
  </sheetViews>
  <sheetFormatPr baseColWidth="10" defaultColWidth="14.42578125" defaultRowHeight="15.75" customHeight="1" x14ac:dyDescent="0.2"/>
  <cols>
    <col min="2" max="2" width="54.5703125" customWidth="1"/>
  </cols>
  <sheetData>
    <row r="2" spans="2:8" x14ac:dyDescent="0.2">
      <c r="B2" s="115" t="s">
        <v>0</v>
      </c>
      <c r="C2" s="114"/>
      <c r="D2" s="114"/>
      <c r="E2" s="114"/>
      <c r="F2" s="114"/>
      <c r="G2" s="114"/>
      <c r="H2" s="112"/>
    </row>
    <row r="3" spans="2:8" x14ac:dyDescent="0.2"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x14ac:dyDescent="0.2">
      <c r="B4" s="4" t="s">
        <v>7</v>
      </c>
      <c r="C4" s="5">
        <f>'Estado de resultados'!C4</f>
        <v>0</v>
      </c>
      <c r="D4" s="5">
        <f>'Estado de resultados'!D4</f>
        <v>2594864584</v>
      </c>
      <c r="E4" s="5">
        <f>'Estado de resultados'!E4</f>
        <v>3046371021.6160002</v>
      </c>
      <c r="F4" s="5">
        <f>'Estado de resultados'!F4</f>
        <v>3576439579.3771839</v>
      </c>
      <c r="G4" s="5">
        <f>'Estado de resultados'!G4</f>
        <v>4198740066.1888132</v>
      </c>
      <c r="H4" s="5">
        <f>'Estado de resultados'!H4</f>
        <v>4929320837.7056665</v>
      </c>
    </row>
    <row r="5" spans="2:8" x14ac:dyDescent="0.2">
      <c r="B5" s="4" t="s">
        <v>8</v>
      </c>
      <c r="C5" s="5">
        <f>'Estado de resultados'!C5</f>
        <v>279163511</v>
      </c>
      <c r="D5" s="5">
        <f>'Estado de resultados'!D5</f>
        <v>1454222506</v>
      </c>
      <c r="E5" s="5">
        <f>'Estado de resultados'!E5</f>
        <v>1519576398</v>
      </c>
      <c r="F5" s="5">
        <f>'Estado de resultados'!F5</f>
        <v>1534093802.7600002</v>
      </c>
      <c r="G5" s="5">
        <f>'Estado de resultados'!G5</f>
        <v>1579574033.6627996</v>
      </c>
      <c r="H5" s="5">
        <f>'Estado de resultados'!H5</f>
        <v>1674901478.4926844</v>
      </c>
    </row>
    <row r="6" spans="2:8" x14ac:dyDescent="0.2">
      <c r="B6" s="4" t="s">
        <v>9</v>
      </c>
      <c r="C6" s="5">
        <f t="shared" ref="C6:H6" si="0">C4-C5</f>
        <v>-279163511</v>
      </c>
      <c r="D6" s="5">
        <f t="shared" si="0"/>
        <v>1140642078</v>
      </c>
      <c r="E6" s="5">
        <f t="shared" si="0"/>
        <v>1526794623.6160002</v>
      </c>
      <c r="F6" s="5">
        <f t="shared" si="0"/>
        <v>2042345776.6171837</v>
      </c>
      <c r="G6" s="5">
        <f t="shared" si="0"/>
        <v>2619166032.5260134</v>
      </c>
      <c r="H6" s="5">
        <f t="shared" si="0"/>
        <v>3254419359.2129822</v>
      </c>
    </row>
    <row r="7" spans="2:8" x14ac:dyDescent="0.2">
      <c r="B7" s="4" t="s">
        <v>10</v>
      </c>
      <c r="C7" s="5">
        <f>C6</f>
        <v>-279163511</v>
      </c>
      <c r="D7" s="5">
        <f t="shared" ref="D7:H7" si="1">D6+C7</f>
        <v>861478567</v>
      </c>
      <c r="E7" s="5">
        <f t="shared" si="1"/>
        <v>2388273190.6160002</v>
      </c>
      <c r="F7" s="5">
        <f t="shared" si="1"/>
        <v>4430618967.2331839</v>
      </c>
      <c r="G7" s="5">
        <f t="shared" si="1"/>
        <v>7049784999.7591972</v>
      </c>
      <c r="H7" s="5">
        <f t="shared" si="1"/>
        <v>10304204358.972179</v>
      </c>
    </row>
    <row r="9" spans="2:8" x14ac:dyDescent="0.2">
      <c r="B9" s="120" t="s">
        <v>11</v>
      </c>
      <c r="C9" s="114"/>
      <c r="D9" s="114"/>
      <c r="E9" s="114"/>
      <c r="F9" s="114"/>
      <c r="G9" s="114"/>
      <c r="H9" s="112"/>
    </row>
    <row r="10" spans="2:8" x14ac:dyDescent="0.2">
      <c r="B10" s="3"/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</row>
    <row r="11" spans="2:8" x14ac:dyDescent="0.2">
      <c r="B11" s="4"/>
      <c r="C11" s="3"/>
      <c r="D11" s="3"/>
      <c r="E11" s="3"/>
      <c r="F11" s="3"/>
      <c r="G11" s="3"/>
      <c r="H11" s="3"/>
    </row>
    <row r="12" spans="2:8" x14ac:dyDescent="0.2">
      <c r="B12" s="4"/>
      <c r="C12" s="3"/>
      <c r="D12" s="3"/>
      <c r="E12" s="3"/>
      <c r="F12" s="3"/>
      <c r="G12" s="3"/>
      <c r="H12" s="3"/>
    </row>
    <row r="13" spans="2:8" x14ac:dyDescent="0.2">
      <c r="B13" s="4"/>
      <c r="C13" s="3"/>
      <c r="D13" s="3"/>
      <c r="E13" s="3"/>
      <c r="F13" s="3"/>
      <c r="G13" s="3"/>
      <c r="H13" s="3"/>
    </row>
    <row r="14" spans="2:8" x14ac:dyDescent="0.2">
      <c r="B14" s="2"/>
      <c r="C14" s="2"/>
      <c r="D14" s="2"/>
      <c r="E14" s="2"/>
      <c r="F14" s="2"/>
      <c r="G14" s="2"/>
      <c r="H14" s="2"/>
    </row>
    <row r="15" spans="2:8" x14ac:dyDescent="0.2">
      <c r="B15" s="117" t="s">
        <v>12</v>
      </c>
      <c r="C15" s="118"/>
      <c r="D15" s="118"/>
      <c r="E15" s="118"/>
      <c r="F15" s="118"/>
      <c r="G15" s="118"/>
      <c r="H15" s="119"/>
    </row>
    <row r="16" spans="2:8" x14ac:dyDescent="0.2">
      <c r="B16" s="3"/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</row>
    <row r="17" spans="2:8" x14ac:dyDescent="0.2">
      <c r="B17" s="3" t="str">
        <f>presupuestos!C103</f>
        <v>4 hectareas (40.000 m2)</v>
      </c>
      <c r="C17" s="5">
        <f>presupuestos!D103</f>
        <v>80000000</v>
      </c>
      <c r="D17" s="5">
        <f>presupuestos!E103</f>
        <v>0</v>
      </c>
      <c r="E17" s="5">
        <f>presupuestos!F103</f>
        <v>0</v>
      </c>
      <c r="F17" s="5">
        <f>presupuestos!G103</f>
        <v>0</v>
      </c>
      <c r="G17" s="5">
        <f>presupuestos!H103</f>
        <v>0</v>
      </c>
      <c r="H17" s="5">
        <f>presupuestos!I103</f>
        <v>0</v>
      </c>
    </row>
    <row r="18" spans="2:8" x14ac:dyDescent="0.2">
      <c r="B18" s="3" t="str">
        <f>presupuestos!C104</f>
        <v>Sistema De 16 Canales Bnt 1080p Cámara De Seguridad Poe, 4</v>
      </c>
      <c r="C18" s="5">
        <f>presupuestos!D104</f>
        <v>4367300</v>
      </c>
      <c r="D18" s="5">
        <f>presupuestos!E104</f>
        <v>0</v>
      </c>
      <c r="E18" s="5">
        <f>presupuestos!F104</f>
        <v>0</v>
      </c>
      <c r="F18" s="5">
        <f>presupuestos!G104</f>
        <v>500000</v>
      </c>
      <c r="G18" s="5">
        <f>presupuestos!H104</f>
        <v>0</v>
      </c>
      <c r="H18" s="5">
        <f>presupuestos!I104</f>
        <v>0</v>
      </c>
    </row>
    <row r="19" spans="2:8" x14ac:dyDescent="0.2">
      <c r="B19" s="3" t="str">
        <f>presupuestos!C105</f>
        <v>Chiglia Lona De Malla Sombra 10 X26 39 X</v>
      </c>
      <c r="C19" s="5">
        <f>presupuestos!D105</f>
        <v>110000000</v>
      </c>
      <c r="D19" s="3">
        <f>presupuestos!E105</f>
        <v>0</v>
      </c>
      <c r="E19" s="3">
        <f>presupuestos!F105</f>
        <v>0</v>
      </c>
      <c r="F19" s="3">
        <f>presupuestos!G105</f>
        <v>0</v>
      </c>
      <c r="G19" s="3">
        <f>presupuestos!H105</f>
        <v>10000</v>
      </c>
      <c r="H19" s="3">
        <f>presupuestos!I105</f>
        <v>0</v>
      </c>
    </row>
    <row r="20" spans="2:8" x14ac:dyDescent="0.2">
      <c r="B20" s="3" t="str">
        <f>presupuestos!C106</f>
        <v>Ea Tanque De 250 Litros Negro Eternit Ea1182822tecsi Nuevo</v>
      </c>
      <c r="C20" s="5">
        <f>presupuestos!D106</f>
        <v>394200</v>
      </c>
      <c r="D20" s="5">
        <f>presupuestos!E106</f>
        <v>0</v>
      </c>
      <c r="E20" s="5">
        <f>presupuestos!F106</f>
        <v>0</v>
      </c>
      <c r="F20" s="5">
        <f>presupuestos!G106</f>
        <v>0</v>
      </c>
      <c r="G20" s="5">
        <f>presupuestos!H106</f>
        <v>0</v>
      </c>
      <c r="H20" s="5">
        <f>presupuestos!I106</f>
        <v>0</v>
      </c>
    </row>
    <row r="21" spans="2:8" x14ac:dyDescent="0.2">
      <c r="B21" s="4" t="s">
        <v>9</v>
      </c>
      <c r="C21" s="5">
        <f t="shared" ref="C21:H21" si="2">SUM(C17:C20)</f>
        <v>194761500</v>
      </c>
      <c r="D21" s="5">
        <f t="shared" si="2"/>
        <v>0</v>
      </c>
      <c r="E21" s="5">
        <f t="shared" si="2"/>
        <v>0</v>
      </c>
      <c r="F21" s="5">
        <f t="shared" si="2"/>
        <v>500000</v>
      </c>
      <c r="G21" s="5">
        <f t="shared" si="2"/>
        <v>10000</v>
      </c>
      <c r="H21" s="5">
        <f t="shared" si="2"/>
        <v>0</v>
      </c>
    </row>
    <row r="22" spans="2:8" x14ac:dyDescent="0.2">
      <c r="B22" s="4" t="s">
        <v>10</v>
      </c>
      <c r="C22" s="6">
        <f>C21</f>
        <v>194761500</v>
      </c>
      <c r="D22" s="5">
        <f t="shared" ref="D22:H22" si="3">D21+C22</f>
        <v>194761500</v>
      </c>
      <c r="E22" s="5">
        <f t="shared" si="3"/>
        <v>194761500</v>
      </c>
      <c r="F22" s="5">
        <f t="shared" si="3"/>
        <v>195261500</v>
      </c>
      <c r="G22" s="5">
        <f t="shared" si="3"/>
        <v>195271500</v>
      </c>
      <c r="H22" s="5">
        <f t="shared" si="3"/>
        <v>195271500</v>
      </c>
    </row>
    <row r="23" spans="2:8" x14ac:dyDescent="0.2">
      <c r="B23" s="3"/>
      <c r="C23" s="3"/>
      <c r="D23" s="3"/>
      <c r="E23" s="3"/>
      <c r="F23" s="3"/>
      <c r="G23" s="3"/>
      <c r="H23" s="3"/>
    </row>
    <row r="27" spans="2:8" x14ac:dyDescent="0.2">
      <c r="B27" s="116" t="s">
        <v>13</v>
      </c>
      <c r="C27" s="114"/>
      <c r="D27" s="114"/>
      <c r="E27" s="114"/>
      <c r="F27" s="114"/>
      <c r="G27" s="114"/>
      <c r="H27" s="112"/>
    </row>
    <row r="28" spans="2:8" x14ac:dyDescent="0.2">
      <c r="B28" s="3"/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</row>
    <row r="29" spans="2:8" x14ac:dyDescent="0.2">
      <c r="B29" s="4" t="s">
        <v>14</v>
      </c>
      <c r="C29" s="6">
        <f>'Estado de resultados'!C11</f>
        <v>-334137511</v>
      </c>
      <c r="D29" s="6">
        <f>'Estado de resultados'!D11</f>
        <v>778485583</v>
      </c>
      <c r="E29" s="6">
        <f>'Estado de resultados'!E11</f>
        <v>1143588013.2360001</v>
      </c>
      <c r="F29" s="6">
        <f>'Estado de resultados'!F11</f>
        <v>1647778731.7613835</v>
      </c>
      <c r="G29" s="6">
        <f>'Estado de resultados'!G11</f>
        <v>2217948378.3521357</v>
      </c>
      <c r="H29" s="6">
        <f>'Estado de resultados'!H11</f>
        <v>2844664922.711287</v>
      </c>
    </row>
    <row r="30" spans="2:8" x14ac:dyDescent="0.2">
      <c r="B30" s="4" t="s">
        <v>15</v>
      </c>
      <c r="C30" s="5">
        <f>C29</f>
        <v>-334137511</v>
      </c>
      <c r="D30" s="5">
        <f t="shared" ref="D30:H30" si="4">C30+D29</f>
        <v>444348072</v>
      </c>
      <c r="E30" s="5">
        <f t="shared" si="4"/>
        <v>1587936085.2360001</v>
      </c>
      <c r="F30" s="5">
        <f t="shared" si="4"/>
        <v>3235714816.9973836</v>
      </c>
      <c r="G30" s="5">
        <f t="shared" si="4"/>
        <v>5453663195.3495197</v>
      </c>
      <c r="H30" s="5">
        <f t="shared" si="4"/>
        <v>8298328118.0608063</v>
      </c>
    </row>
  </sheetData>
  <mergeCells count="4">
    <mergeCell ref="B2:H2"/>
    <mergeCell ref="B27:H27"/>
    <mergeCell ref="B15:H15"/>
    <mergeCell ref="B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34"/>
  <sheetViews>
    <sheetView workbookViewId="0"/>
  </sheetViews>
  <sheetFormatPr baseColWidth="10" defaultColWidth="14.42578125" defaultRowHeight="15.75" customHeight="1" x14ac:dyDescent="0.2"/>
  <cols>
    <col min="1" max="27" width="36" customWidth="1"/>
  </cols>
  <sheetData>
    <row r="1" spans="1:12" x14ac:dyDescent="0.2">
      <c r="F1" s="39"/>
      <c r="G1" s="39"/>
      <c r="H1" s="39"/>
      <c r="I1" s="39"/>
      <c r="J1" s="39"/>
      <c r="K1" s="39"/>
      <c r="L1" s="39"/>
    </row>
    <row r="2" spans="1:12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2">
      <c r="A3" s="39"/>
      <c r="B3" s="131" t="s">
        <v>82</v>
      </c>
      <c r="C3" s="114"/>
      <c r="D3" s="114"/>
      <c r="E3" s="114"/>
      <c r="F3" s="114"/>
      <c r="G3" s="114"/>
      <c r="H3" s="112"/>
      <c r="I3" s="39"/>
      <c r="J3" s="39"/>
      <c r="K3" s="39"/>
      <c r="L3" s="39"/>
    </row>
    <row r="4" spans="1:12" x14ac:dyDescent="0.2">
      <c r="B4" s="40"/>
      <c r="C4" s="41" t="s">
        <v>19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6</v>
      </c>
    </row>
    <row r="5" spans="1:12" x14ac:dyDescent="0.2">
      <c r="A5" s="42"/>
      <c r="B5" s="41" t="s">
        <v>66</v>
      </c>
      <c r="C5" s="3"/>
      <c r="D5" s="5">
        <f t="shared" ref="D5:H5" si="0">$C$19*C28</f>
        <v>2594864584</v>
      </c>
      <c r="E5" s="5">
        <f t="shared" si="0"/>
        <v>3046371021.6160002</v>
      </c>
      <c r="F5" s="5">
        <f t="shared" si="0"/>
        <v>3576439579.3771839</v>
      </c>
      <c r="G5" s="5">
        <f t="shared" si="0"/>
        <v>4198740066.1888132</v>
      </c>
      <c r="H5" s="5">
        <f t="shared" si="0"/>
        <v>4929320837.7056665</v>
      </c>
    </row>
    <row r="6" spans="1:12" x14ac:dyDescent="0.2">
      <c r="A6" s="42"/>
      <c r="B6" s="4" t="s">
        <v>83</v>
      </c>
      <c r="C6" s="3"/>
      <c r="D6" s="3"/>
      <c r="E6" s="3"/>
      <c r="F6" s="3"/>
      <c r="G6" s="3"/>
      <c r="H6" s="3"/>
    </row>
    <row r="7" spans="1:12" x14ac:dyDescent="0.2">
      <c r="A7" s="42"/>
      <c r="B7" s="4" t="s">
        <v>84</v>
      </c>
      <c r="C7" s="3">
        <f t="shared" ref="C7:H7" si="1">C5+C6</f>
        <v>0</v>
      </c>
      <c r="D7" s="5">
        <f t="shared" si="1"/>
        <v>2594864584</v>
      </c>
      <c r="E7" s="5">
        <f t="shared" si="1"/>
        <v>3046371021.6160002</v>
      </c>
      <c r="F7" s="5">
        <f t="shared" si="1"/>
        <v>3576439579.3771839</v>
      </c>
      <c r="G7" s="5">
        <f t="shared" si="1"/>
        <v>4198740066.1888132</v>
      </c>
      <c r="H7" s="5">
        <f t="shared" si="1"/>
        <v>4929320837.7056665</v>
      </c>
    </row>
    <row r="14" spans="1:12" x14ac:dyDescent="0.2">
      <c r="A14" s="42"/>
      <c r="B14" s="130" t="s">
        <v>85</v>
      </c>
      <c r="C14" s="114"/>
      <c r="D14" s="112"/>
    </row>
    <row r="15" spans="1:12" x14ac:dyDescent="0.2">
      <c r="A15" s="43"/>
      <c r="B15" s="44" t="s">
        <v>86</v>
      </c>
      <c r="C15" s="45">
        <v>40000</v>
      </c>
      <c r="D15" s="46" t="s">
        <v>87</v>
      </c>
    </row>
    <row r="16" spans="1:12" x14ac:dyDescent="0.2">
      <c r="A16" s="43"/>
      <c r="B16" s="44" t="s">
        <v>88</v>
      </c>
      <c r="C16" s="47">
        <f>35000</f>
        <v>35000</v>
      </c>
      <c r="D16" s="46" t="s">
        <v>89</v>
      </c>
    </row>
    <row r="17" spans="1:7" x14ac:dyDescent="0.2">
      <c r="A17" s="43"/>
      <c r="B17" s="44" t="s">
        <v>90</v>
      </c>
      <c r="C17" s="46">
        <v>1.5</v>
      </c>
      <c r="D17" s="46" t="s">
        <v>87</v>
      </c>
    </row>
    <row r="18" spans="1:7" x14ac:dyDescent="0.2">
      <c r="A18" s="36"/>
      <c r="B18" s="48" t="s">
        <v>91</v>
      </c>
      <c r="C18" s="49">
        <v>23333</v>
      </c>
      <c r="D18" s="4" t="s">
        <v>92</v>
      </c>
      <c r="E18" s="50">
        <f>12*4</f>
        <v>48</v>
      </c>
      <c r="F18" s="42" t="s">
        <v>93</v>
      </c>
    </row>
    <row r="19" spans="1:7" x14ac:dyDescent="0.2">
      <c r="A19" s="42"/>
      <c r="B19" s="51" t="s">
        <v>94</v>
      </c>
      <c r="C19" s="52">
        <v>124442</v>
      </c>
      <c r="D19" s="3"/>
    </row>
    <row r="24" spans="1:7" x14ac:dyDescent="0.2">
      <c r="A24" s="42"/>
      <c r="B24" s="53" t="s">
        <v>95</v>
      </c>
      <c r="C24" s="54"/>
      <c r="D24" s="54"/>
      <c r="F24" s="42" t="s">
        <v>96</v>
      </c>
      <c r="G24" s="55">
        <v>0.17399999999999999</v>
      </c>
    </row>
    <row r="25" spans="1:7" x14ac:dyDescent="0.2">
      <c r="A25" s="42"/>
      <c r="B25" s="56" t="s">
        <v>97</v>
      </c>
      <c r="C25" s="4">
        <v>8.02</v>
      </c>
      <c r="D25" s="4" t="s">
        <v>98</v>
      </c>
    </row>
    <row r="26" spans="1:7" x14ac:dyDescent="0.2">
      <c r="A26" s="42"/>
      <c r="B26" s="56" t="s">
        <v>99</v>
      </c>
      <c r="C26" s="4">
        <v>2600</v>
      </c>
      <c r="D26" s="3"/>
    </row>
    <row r="27" spans="1:7" x14ac:dyDescent="0.2">
      <c r="A27" s="42"/>
      <c r="B27" s="57"/>
      <c r="C27" s="58" t="s">
        <v>20</v>
      </c>
      <c r="D27" s="58" t="s">
        <v>21</v>
      </c>
      <c r="E27" s="58" t="s">
        <v>22</v>
      </c>
      <c r="F27" s="58" t="s">
        <v>23</v>
      </c>
      <c r="G27" s="58" t="s">
        <v>24</v>
      </c>
    </row>
    <row r="28" spans="1:7" x14ac:dyDescent="0.2">
      <c r="A28" s="42"/>
      <c r="B28" s="58" t="s">
        <v>100</v>
      </c>
      <c r="C28" s="5">
        <f>C25*C26</f>
        <v>20852</v>
      </c>
      <c r="D28" s="5">
        <f t="shared" ref="D28:G28" si="2">C28*(1+$G$24)</f>
        <v>24480.248</v>
      </c>
      <c r="E28" s="5">
        <f t="shared" si="2"/>
        <v>28739.811151999998</v>
      </c>
      <c r="F28" s="5">
        <f t="shared" si="2"/>
        <v>33740.538292447993</v>
      </c>
      <c r="G28" s="5">
        <f t="shared" si="2"/>
        <v>39611.391955333944</v>
      </c>
    </row>
    <row r="33" spans="1:4" x14ac:dyDescent="0.2">
      <c r="A33" s="42"/>
      <c r="B33" s="42" t="s">
        <v>101</v>
      </c>
    </row>
    <row r="34" spans="1:4" x14ac:dyDescent="0.2">
      <c r="A34" s="42"/>
      <c r="B34" s="132" t="s">
        <v>102</v>
      </c>
      <c r="C34" s="133"/>
      <c r="D34" s="133"/>
    </row>
  </sheetData>
  <mergeCells count="3">
    <mergeCell ref="B14:D14"/>
    <mergeCell ref="B3:H3"/>
    <mergeCell ref="B34:D34"/>
  </mergeCells>
  <hyperlinks>
    <hyperlink ref="B34" r:id="rId1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J22"/>
  <sheetViews>
    <sheetView tabSelected="1" workbookViewId="0"/>
  </sheetViews>
  <sheetFormatPr baseColWidth="10" defaultColWidth="14.42578125" defaultRowHeight="15.75" customHeight="1" x14ac:dyDescent="0.2"/>
  <cols>
    <col min="1" max="2" width="20.28515625" customWidth="1"/>
    <col min="3" max="3" width="16.5703125" customWidth="1"/>
    <col min="5" max="5" width="23.5703125" customWidth="1"/>
    <col min="6" max="6" width="15.5703125" customWidth="1"/>
    <col min="7" max="8" width="14.5703125" customWidth="1"/>
  </cols>
  <sheetData>
    <row r="2" spans="1:10" x14ac:dyDescent="0.2">
      <c r="A2" s="36"/>
      <c r="B2" s="59" t="s">
        <v>103</v>
      </c>
      <c r="C2" s="5">
        <f t="array" ref="C2">NPV(11%,'Flujo de caja'!C30:H30)</f>
        <v>11025277581.000103</v>
      </c>
      <c r="E2" s="60" t="s">
        <v>104</v>
      </c>
      <c r="F2" s="5">
        <f>'Balance General'!C30</f>
        <v>194761500</v>
      </c>
      <c r="H2" s="61" t="s">
        <v>105</v>
      </c>
      <c r="I2" s="62">
        <f>IRR('Flujo de caja'!C30:H30)</f>
        <v>2.7360709558817669</v>
      </c>
    </row>
    <row r="3" spans="1:10" x14ac:dyDescent="0.2">
      <c r="A3" s="42"/>
      <c r="B3" s="63" t="s">
        <v>106</v>
      </c>
      <c r="C3" s="64">
        <v>1000000</v>
      </c>
      <c r="E3" s="65" t="s">
        <v>107</v>
      </c>
      <c r="F3" s="5">
        <f>F2/C3</f>
        <v>194.76150000000001</v>
      </c>
      <c r="H3" s="66" t="s">
        <v>108</v>
      </c>
      <c r="I3" s="62">
        <f>MIRR('Flujo de caja'!C30:H30,0.11,0)</f>
        <v>1.2441765062164216</v>
      </c>
    </row>
    <row r="4" spans="1:10" x14ac:dyDescent="0.2">
      <c r="A4" s="42"/>
      <c r="B4" s="67" t="s">
        <v>109</v>
      </c>
      <c r="C4" s="5">
        <f>C2/C3</f>
        <v>11025.277581000102</v>
      </c>
    </row>
    <row r="5" spans="1:10" x14ac:dyDescent="0.2">
      <c r="E5" s="69" t="s">
        <v>111</v>
      </c>
      <c r="F5" s="71" t="s">
        <v>20</v>
      </c>
      <c r="G5" s="71" t="s">
        <v>21</v>
      </c>
      <c r="H5" s="71" t="s">
        <v>22</v>
      </c>
      <c r="I5" s="71" t="s">
        <v>23</v>
      </c>
      <c r="J5" s="71" t="s">
        <v>24</v>
      </c>
    </row>
    <row r="6" spans="1:10" x14ac:dyDescent="0.2">
      <c r="A6" s="42"/>
      <c r="B6" s="73" t="s">
        <v>113</v>
      </c>
      <c r="C6" s="73" t="s">
        <v>115</v>
      </c>
      <c r="E6" s="75">
        <v>0.09</v>
      </c>
      <c r="F6" s="5">
        <f>'Estado de resultados'!D11*$E$6</f>
        <v>70063702.469999999</v>
      </c>
      <c r="G6" s="5">
        <f>'Estado de resultados'!E11*$E$6</f>
        <v>102922921.19124</v>
      </c>
      <c r="H6" s="5">
        <f>'Estado de resultados'!F11*$E$6</f>
        <v>148300085.8585245</v>
      </c>
      <c r="I6" s="5">
        <f>'Estado de resultados'!G11*$E$6</f>
        <v>199615354.05169219</v>
      </c>
      <c r="J6" s="5">
        <f>'Estado de resultados'!H11*$E$6</f>
        <v>256019843.04401582</v>
      </c>
    </row>
    <row r="7" spans="1:10" x14ac:dyDescent="0.2">
      <c r="A7" s="80"/>
      <c r="B7" s="81">
        <v>1</v>
      </c>
      <c r="C7" s="5">
        <f t="shared" ref="C7:C22" si="0">$C$2*B7</f>
        <v>11025277581.000103</v>
      </c>
      <c r="F7" s="80"/>
    </row>
    <row r="8" spans="1:10" x14ac:dyDescent="0.2">
      <c r="A8" s="80"/>
      <c r="B8" s="81">
        <v>0.75</v>
      </c>
      <c r="C8" s="5">
        <f t="shared" si="0"/>
        <v>8268958185.7500772</v>
      </c>
      <c r="E8" s="83" t="s">
        <v>123</v>
      </c>
      <c r="F8" s="5">
        <f>SUM(F6:J6)</f>
        <v>776921906.61547256</v>
      </c>
    </row>
    <row r="9" spans="1:10" x14ac:dyDescent="0.2">
      <c r="A9" s="80"/>
      <c r="B9" s="81">
        <v>0.5</v>
      </c>
      <c r="C9" s="5">
        <f t="shared" si="0"/>
        <v>5512638790.5000515</v>
      </c>
      <c r="E9" s="42"/>
    </row>
    <row r="10" spans="1:10" x14ac:dyDescent="0.2">
      <c r="A10" s="80"/>
      <c r="B10" s="81">
        <v>0.3</v>
      </c>
      <c r="C10" s="5">
        <f t="shared" si="0"/>
        <v>3307583274.3000307</v>
      </c>
    </row>
    <row r="11" spans="1:10" x14ac:dyDescent="0.2">
      <c r="A11" s="80"/>
      <c r="B11" s="81">
        <v>0.2</v>
      </c>
      <c r="C11" s="5">
        <f t="shared" si="0"/>
        <v>2205055516.2000208</v>
      </c>
      <c r="E11" s="73" t="s">
        <v>128</v>
      </c>
      <c r="F11" s="85">
        <f>F12/C2</f>
        <v>3.0306494194379311E-2</v>
      </c>
    </row>
    <row r="12" spans="1:10" x14ac:dyDescent="0.2">
      <c r="A12" s="80"/>
      <c r="B12" s="81">
        <v>0.15</v>
      </c>
      <c r="C12" s="5">
        <f t="shared" si="0"/>
        <v>1653791637.1500154</v>
      </c>
      <c r="E12" s="73" t="s">
        <v>130</v>
      </c>
      <c r="F12" s="5">
        <f>'Balance General'!C27</f>
        <v>334137511</v>
      </c>
    </row>
    <row r="13" spans="1:10" x14ac:dyDescent="0.2">
      <c r="A13" s="80"/>
      <c r="B13" s="81">
        <v>0.1</v>
      </c>
      <c r="C13" s="5">
        <f t="shared" si="0"/>
        <v>1102527758.1000104</v>
      </c>
    </row>
    <row r="14" spans="1:10" x14ac:dyDescent="0.2">
      <c r="A14" s="80"/>
      <c r="B14" s="81">
        <v>0.09</v>
      </c>
      <c r="C14" s="5">
        <f t="shared" si="0"/>
        <v>992274982.29000926</v>
      </c>
      <c r="E14" s="86" t="s">
        <v>131</v>
      </c>
      <c r="F14" s="3">
        <v>5</v>
      </c>
    </row>
    <row r="15" spans="1:10" x14ac:dyDescent="0.2">
      <c r="A15" s="80"/>
      <c r="B15" s="81">
        <v>0.08</v>
      </c>
      <c r="C15" s="5">
        <f t="shared" si="0"/>
        <v>882022206.48000824</v>
      </c>
    </row>
    <row r="16" spans="1:10" x14ac:dyDescent="0.2">
      <c r="A16" s="80"/>
      <c r="B16" s="81">
        <v>7.0000000000000007E-2</v>
      </c>
      <c r="C16" s="5">
        <f t="shared" si="0"/>
        <v>771769430.67000723</v>
      </c>
      <c r="E16" s="86" t="s">
        <v>133</v>
      </c>
      <c r="F16" s="5">
        <f>F8-F12</f>
        <v>442784395.61547256</v>
      </c>
    </row>
    <row r="17" spans="1:6" x14ac:dyDescent="0.2">
      <c r="A17" s="80"/>
      <c r="B17" s="81">
        <v>0.06</v>
      </c>
      <c r="C17" s="5">
        <f t="shared" si="0"/>
        <v>661516654.86000621</v>
      </c>
      <c r="E17" s="87" t="s">
        <v>135</v>
      </c>
      <c r="F17" s="88">
        <f>F16/F12</f>
        <v>1.3251562037746565</v>
      </c>
    </row>
    <row r="18" spans="1:6" x14ac:dyDescent="0.2">
      <c r="A18" s="80"/>
      <c r="B18" s="81">
        <v>0.05</v>
      </c>
      <c r="C18" s="5">
        <f t="shared" si="0"/>
        <v>551263879.0500052</v>
      </c>
    </row>
    <row r="19" spans="1:6" x14ac:dyDescent="0.2">
      <c r="A19" s="80"/>
      <c r="B19" s="81">
        <v>0.04</v>
      </c>
      <c r="C19" s="5">
        <f t="shared" si="0"/>
        <v>441011103.24000412</v>
      </c>
    </row>
    <row r="20" spans="1:6" x14ac:dyDescent="0.2">
      <c r="A20" s="80"/>
      <c r="B20" s="81">
        <v>0.03</v>
      </c>
      <c r="C20" s="5">
        <f t="shared" si="0"/>
        <v>330758327.43000311</v>
      </c>
    </row>
    <row r="21" spans="1:6" x14ac:dyDescent="0.2">
      <c r="A21" s="80"/>
      <c r="B21" s="81">
        <v>0.02</v>
      </c>
      <c r="C21" s="5">
        <f t="shared" si="0"/>
        <v>220505551.62000206</v>
      </c>
    </row>
    <row r="22" spans="1:6" x14ac:dyDescent="0.2">
      <c r="A22" s="80"/>
      <c r="B22" s="81">
        <v>0.01</v>
      </c>
      <c r="C22" s="5">
        <f t="shared" si="0"/>
        <v>110252775.81000103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7"/>
  <sheetViews>
    <sheetView workbookViewId="0"/>
  </sheetViews>
  <sheetFormatPr baseColWidth="10" defaultColWidth="14.42578125" defaultRowHeight="15.75" customHeight="1" x14ac:dyDescent="0.2"/>
  <cols>
    <col min="1" max="2" width="15" customWidth="1"/>
    <col min="3" max="3" width="21.140625" customWidth="1"/>
    <col min="4" max="4" width="85.85546875" customWidth="1"/>
    <col min="5" max="5" width="42" customWidth="1"/>
    <col min="7" max="8" width="15.5703125" customWidth="1"/>
    <col min="9" max="10" width="16.5703125" customWidth="1"/>
    <col min="12" max="13" width="42" customWidth="1"/>
    <col min="14" max="15" width="15.5703125" customWidth="1"/>
  </cols>
  <sheetData>
    <row r="1" spans="1:26" x14ac:dyDescent="0.2">
      <c r="A1" s="7"/>
      <c r="C1" s="8" t="s">
        <v>16</v>
      </c>
      <c r="D1" s="9" t="s">
        <v>17</v>
      </c>
      <c r="E1" s="10" t="s">
        <v>18</v>
      </c>
      <c r="F1" s="10" t="s">
        <v>19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1"/>
      <c r="M1" s="12"/>
      <c r="N1" s="13" t="s">
        <v>20</v>
      </c>
      <c r="O1" s="13" t="s">
        <v>21</v>
      </c>
      <c r="P1" s="13" t="s">
        <v>22</v>
      </c>
      <c r="Q1" s="13" t="s">
        <v>23</v>
      </c>
      <c r="R1" s="13" t="s">
        <v>24</v>
      </c>
      <c r="S1" s="14"/>
      <c r="T1" s="14"/>
      <c r="U1" s="14"/>
      <c r="V1" s="14"/>
      <c r="W1" s="14"/>
      <c r="X1" s="14"/>
      <c r="Y1" s="14"/>
    </row>
    <row r="2" spans="1:26" ht="15.75" customHeight="1" x14ac:dyDescent="0.25">
      <c r="A2" s="15"/>
      <c r="B2" s="125"/>
      <c r="C2" s="126" t="s">
        <v>25</v>
      </c>
      <c r="D2" s="16" t="s">
        <v>26</v>
      </c>
      <c r="E2" s="121" t="s">
        <v>27</v>
      </c>
      <c r="F2" s="123">
        <f>'Estado de resultados'!C11/'Balance General'!C30</f>
        <v>-1.7156240376049681</v>
      </c>
      <c r="G2" s="123">
        <f>'Estado de resultados'!D11/'Balance General'!D30</f>
        <v>0.79988483561681534</v>
      </c>
      <c r="H2" s="123">
        <f>'Estado de resultados'!E11/'Balance General'!E30</f>
        <v>0.54023481341056934</v>
      </c>
      <c r="I2" s="123">
        <f>'Estado de resultados'!F11/'Balance General'!F30</f>
        <v>0.43764380229583022</v>
      </c>
      <c r="J2" s="123">
        <f>'Estado de resultados'!G11/'Balance General'!G30</f>
        <v>0.37070392966314925</v>
      </c>
      <c r="K2" s="128">
        <f>'Estado de resultados'!H11/'Balance General'!H30</f>
        <v>0.32224168902205796</v>
      </c>
      <c r="L2" s="17"/>
      <c r="M2" s="18" t="s">
        <v>28</v>
      </c>
      <c r="N2" s="19">
        <f>'Estado de resultados'!D11/'Estado de resultados'!D4</f>
        <v>0.30001009987193999</v>
      </c>
      <c r="O2" s="19">
        <f>'Estado de resultados'!E11/'Estado de resultados'!E4</f>
        <v>0.3753935437021601</v>
      </c>
      <c r="P2" s="19">
        <f>'Estado de resultados'!F11/'Estado de resultados'!F4</f>
        <v>0.46073160057364498</v>
      </c>
      <c r="Q2" s="19">
        <f>'Estado de resultados'!G11/'Estado de resultados'!G4</f>
        <v>0.5282414113254128</v>
      </c>
      <c r="R2" s="19">
        <f>'Estado de resultados'!H11/'Estado de resultados'!H4</f>
        <v>0.57709064115926478</v>
      </c>
      <c r="S2" s="14"/>
      <c r="T2" s="14"/>
      <c r="U2" s="14"/>
      <c r="V2" s="14"/>
      <c r="W2" s="14"/>
      <c r="X2" s="14"/>
      <c r="Y2" s="14"/>
    </row>
    <row r="3" spans="1:26" ht="15.75" customHeight="1" x14ac:dyDescent="0.25">
      <c r="A3" s="15"/>
      <c r="B3" s="122"/>
      <c r="C3" s="122"/>
      <c r="D3" s="20" t="s">
        <v>29</v>
      </c>
      <c r="E3" s="122"/>
      <c r="F3" s="122"/>
      <c r="G3" s="122"/>
      <c r="H3" s="122"/>
      <c r="I3" s="122"/>
      <c r="J3" s="122"/>
      <c r="K3" s="129"/>
      <c r="L3" s="21"/>
      <c r="M3" s="18" t="s">
        <v>30</v>
      </c>
      <c r="N3" s="22">
        <f>'Estado de resultados'!D4/'Balance General'!D14</f>
        <v>2.6661930246956622</v>
      </c>
      <c r="O3" s="22">
        <f>'Estado de resultados'!E4/'Balance General'!E14</f>
        <v>1.4391158891086189</v>
      </c>
      <c r="P3" s="22">
        <f>'Estado de resultados'!F4/'Balance General'!F14</f>
        <v>0.94988883278449165</v>
      </c>
      <c r="Q3" s="22">
        <f>'Estado de resultados'!G4/'Balance General'!G14</f>
        <v>0.70176991374647157</v>
      </c>
      <c r="R3" s="22">
        <f>'Estado de resultados'!H4/'Balance General'!H14</f>
        <v>0.558390079545799</v>
      </c>
      <c r="S3" s="14"/>
      <c r="T3" s="14"/>
      <c r="U3" s="14"/>
      <c r="V3" s="14"/>
      <c r="W3" s="14"/>
      <c r="X3" s="14"/>
      <c r="Y3" s="14"/>
    </row>
    <row r="4" spans="1:26" ht="15.75" customHeight="1" x14ac:dyDescent="0.25">
      <c r="A4" s="23"/>
      <c r="C4" s="124" t="s">
        <v>31</v>
      </c>
      <c r="D4" s="16" t="s">
        <v>26</v>
      </c>
      <c r="E4" s="121" t="s">
        <v>32</v>
      </c>
      <c r="F4" s="123">
        <f>'Estado de resultados'!C11/'Balance General'!C14</f>
        <v>-1.7156240376049681</v>
      </c>
      <c r="G4" s="123">
        <f>'Estado de resultados'!D11/'Balance General'!D14</f>
        <v>0.79988483561681534</v>
      </c>
      <c r="H4" s="123">
        <f>'Estado de resultados'!E11/'Balance General'!E14</f>
        <v>0.54023481341056934</v>
      </c>
      <c r="I4" s="123">
        <f>'Estado de resultados'!F11/'Balance General'!F14</f>
        <v>0.43764380229583022</v>
      </c>
      <c r="J4" s="123">
        <f>'Estado de resultados'!G11/'Balance General'!G14</f>
        <v>0.3707039296631493</v>
      </c>
      <c r="K4" s="128">
        <f>'Estado de resultados'!H11/'Balance General'!H14</f>
        <v>0.32224168902205796</v>
      </c>
      <c r="L4" s="21"/>
      <c r="M4" s="18" t="s">
        <v>40</v>
      </c>
      <c r="N4" s="19">
        <f>'Balance General'!D14/'Balance General'!D30</f>
        <v>1</v>
      </c>
      <c r="O4" s="19">
        <f>'Balance General'!E14/'Balance General'!E30</f>
        <v>1</v>
      </c>
      <c r="P4" s="19">
        <f>'Balance General'!F14/'Balance General'!F30</f>
        <v>1</v>
      </c>
      <c r="Q4" s="19">
        <f>'Balance General'!G14/'Balance General'!G30</f>
        <v>0.99999999999999989</v>
      </c>
      <c r="R4" s="19">
        <f>'Balance General'!H14/'Balance General'!H30</f>
        <v>1</v>
      </c>
      <c r="S4" s="14"/>
      <c r="T4" s="14"/>
      <c r="U4" s="14"/>
      <c r="V4" s="14"/>
      <c r="W4" s="14"/>
      <c r="X4" s="14"/>
      <c r="Y4" s="14"/>
    </row>
    <row r="5" spans="1:26" ht="15.75" customHeight="1" x14ac:dyDescent="0.25">
      <c r="A5" s="23"/>
      <c r="C5" s="122"/>
      <c r="D5" s="20" t="s">
        <v>42</v>
      </c>
      <c r="E5" s="122"/>
      <c r="F5" s="122"/>
      <c r="G5" s="122"/>
      <c r="H5" s="122"/>
      <c r="I5" s="122"/>
      <c r="J5" s="122"/>
      <c r="K5" s="129"/>
      <c r="L5" s="21"/>
      <c r="M5" s="28" t="s">
        <v>43</v>
      </c>
      <c r="N5" s="19">
        <f t="shared" ref="N5:R5" si="0">N2*N3*N4</f>
        <v>0.79988483561681545</v>
      </c>
      <c r="O5" s="19">
        <f t="shared" si="0"/>
        <v>0.54023481341056934</v>
      </c>
      <c r="P5" s="19">
        <f t="shared" si="0"/>
        <v>0.43764380229583028</v>
      </c>
      <c r="Q5" s="19">
        <f t="shared" si="0"/>
        <v>0.3707039296631493</v>
      </c>
      <c r="R5" s="19">
        <f t="shared" si="0"/>
        <v>0.32224168902205802</v>
      </c>
      <c r="S5" s="14"/>
      <c r="T5" s="14"/>
      <c r="U5" s="14"/>
      <c r="V5" s="14"/>
      <c r="W5" s="14"/>
      <c r="X5" s="14"/>
      <c r="Y5" s="14"/>
    </row>
    <row r="6" spans="1:26" ht="15.75" customHeight="1" x14ac:dyDescent="0.25">
      <c r="A6" s="15"/>
      <c r="C6" s="124" t="s">
        <v>45</v>
      </c>
      <c r="D6" s="16" t="s">
        <v>26</v>
      </c>
      <c r="E6" s="121" t="s">
        <v>46</v>
      </c>
      <c r="F6" s="123">
        <f>'Estado de resultados'!C11/'Balance General'!$C$27</f>
        <v>-1</v>
      </c>
      <c r="G6" s="123">
        <f>'Estado de resultados'!D11/'Balance General'!$C$27</f>
        <v>2.3298359429031601</v>
      </c>
      <c r="H6" s="123">
        <f>'Estado de resultados'!E11/'Balance General'!$C$27</f>
        <v>3.4225071283181974</v>
      </c>
      <c r="I6" s="123">
        <f>'Estado de resultados'!F11/'Balance General'!$C$27</f>
        <v>4.9314389361132926</v>
      </c>
      <c r="J6" s="123">
        <f>'Estado de resultados'!G11/'Balance General'!$C$27</f>
        <v>6.6378311483625545</v>
      </c>
      <c r="K6" s="128">
        <f>'Estado de resultados'!H11/'Balance General'!$C$27</f>
        <v>8.5134557751323143</v>
      </c>
      <c r="L6" s="21"/>
      <c r="M6" s="30"/>
      <c r="N6" s="30"/>
      <c r="O6" s="30"/>
      <c r="P6" s="30"/>
      <c r="Q6" s="30"/>
      <c r="R6" s="14"/>
      <c r="S6" s="14"/>
      <c r="T6" s="14"/>
      <c r="U6" s="14"/>
      <c r="V6" s="14"/>
      <c r="W6" s="14"/>
      <c r="X6" s="14"/>
      <c r="Y6" s="14"/>
    </row>
    <row r="7" spans="1:26" x14ac:dyDescent="0.2">
      <c r="A7" s="15"/>
      <c r="C7" s="122"/>
      <c r="D7" s="20" t="s">
        <v>51</v>
      </c>
      <c r="E7" s="122"/>
      <c r="F7" s="122"/>
      <c r="G7" s="122"/>
      <c r="H7" s="122"/>
      <c r="I7" s="122"/>
      <c r="J7" s="122"/>
      <c r="K7" s="129"/>
      <c r="R7" s="14"/>
      <c r="S7" s="14"/>
      <c r="T7" s="14"/>
      <c r="U7" s="14"/>
      <c r="V7" s="14"/>
      <c r="W7" s="14"/>
      <c r="X7" s="14"/>
      <c r="Y7" s="14"/>
    </row>
    <row r="8" spans="1:26" x14ac:dyDescent="0.2">
      <c r="A8" s="15"/>
      <c r="C8" s="124" t="s">
        <v>52</v>
      </c>
      <c r="D8" s="16" t="s">
        <v>26</v>
      </c>
      <c r="E8" s="121" t="s">
        <v>53</v>
      </c>
      <c r="F8" s="121">
        <v>0</v>
      </c>
      <c r="G8" s="127">
        <f>'Estado de resultados'!D11/'Estado de resultados'!D4</f>
        <v>0.30001009987193999</v>
      </c>
      <c r="H8" s="127">
        <f>'Estado de resultados'!E11/'Estado de resultados'!E4</f>
        <v>0.3753935437021601</v>
      </c>
      <c r="I8" s="127">
        <f>'Estado de resultados'!F11/'Estado de resultados'!F4</f>
        <v>0.46073160057364498</v>
      </c>
      <c r="J8" s="127">
        <f>'Estado de resultados'!G11/'Estado de resultados'!G4</f>
        <v>0.5282414113254128</v>
      </c>
      <c r="K8" s="127">
        <f>'Estado de resultados'!H11/'Estado de resultados'!H4</f>
        <v>0.57709064115926478</v>
      </c>
      <c r="R8" s="14"/>
      <c r="S8" s="14"/>
      <c r="T8" s="14"/>
      <c r="U8" s="14"/>
      <c r="V8" s="14"/>
      <c r="W8" s="14"/>
      <c r="X8" s="14"/>
      <c r="Y8" s="14"/>
    </row>
    <row r="9" spans="1:26" x14ac:dyDescent="0.2">
      <c r="A9" s="15"/>
      <c r="C9" s="122"/>
      <c r="D9" s="20" t="s">
        <v>56</v>
      </c>
      <c r="E9" s="122"/>
      <c r="F9" s="122"/>
      <c r="G9" s="122"/>
      <c r="H9" s="122"/>
      <c r="I9" s="122"/>
      <c r="J9" s="122"/>
      <c r="K9" s="122"/>
      <c r="R9" s="14"/>
      <c r="S9" s="14"/>
      <c r="T9" s="14"/>
      <c r="U9" s="14"/>
      <c r="V9" s="14"/>
      <c r="W9" s="14"/>
      <c r="X9" s="14"/>
      <c r="Y9" s="14"/>
    </row>
    <row r="10" spans="1:26" x14ac:dyDescent="0.2">
      <c r="A10" s="15"/>
      <c r="K10" s="14"/>
      <c r="R10" s="14"/>
      <c r="S10" s="14"/>
      <c r="T10" s="14"/>
      <c r="U10" s="14"/>
      <c r="V10" s="14"/>
      <c r="W10" s="14"/>
      <c r="X10" s="14"/>
      <c r="Y10" s="14"/>
    </row>
    <row r="11" spans="1:26" x14ac:dyDescent="0.2">
      <c r="A11" s="15"/>
      <c r="K11" s="14"/>
      <c r="R11" s="14"/>
      <c r="S11" s="14"/>
      <c r="T11" s="14"/>
      <c r="U11" s="14"/>
      <c r="V11" s="14"/>
      <c r="W11" s="14"/>
      <c r="X11" s="14"/>
      <c r="Y11" s="14"/>
    </row>
    <row r="12" spans="1:26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5"/>
      <c r="B13" s="15"/>
      <c r="C13" s="15"/>
      <c r="D13" s="15"/>
      <c r="K13" s="15"/>
      <c r="L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5"/>
      <c r="B14" s="15"/>
      <c r="C14" s="15"/>
      <c r="D14" s="15"/>
      <c r="K14" s="15"/>
      <c r="L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5"/>
      <c r="B15" s="15"/>
      <c r="C15" s="15"/>
      <c r="D15" s="15"/>
      <c r="K15" s="15"/>
      <c r="L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32"/>
      <c r="B16" s="14"/>
      <c r="C16" s="14"/>
      <c r="D16" s="14"/>
      <c r="K16" s="14"/>
      <c r="L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32"/>
      <c r="B17" s="14"/>
      <c r="C17" s="14"/>
      <c r="D17" s="14"/>
      <c r="K17" s="14"/>
      <c r="L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"/>
      <c r="D18" s="14"/>
      <c r="K18" s="14"/>
      <c r="L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"/>
      <c r="D19" s="14"/>
      <c r="K19" s="14"/>
      <c r="L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"/>
      <c r="D20" s="14"/>
      <c r="K20" s="14"/>
      <c r="L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"/>
      <c r="D21" s="14"/>
      <c r="K21" s="14"/>
      <c r="L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"/>
      <c r="D22" s="14"/>
      <c r="K22" s="14"/>
      <c r="L22" s="14"/>
      <c r="S22" s="14"/>
      <c r="T22" s="14"/>
      <c r="U22" s="14"/>
      <c r="V22" s="14"/>
      <c r="W22" s="14"/>
      <c r="X22" s="14"/>
      <c r="Y22" s="14"/>
      <c r="Z22" s="14"/>
    </row>
    <row r="23" spans="1:26" ht="12.75" x14ac:dyDescent="0.2">
      <c r="A23" s="1"/>
      <c r="D23" s="14"/>
      <c r="K23" s="14"/>
      <c r="L23" s="14"/>
      <c r="S23" s="14"/>
      <c r="T23" s="14"/>
      <c r="U23" s="14"/>
      <c r="V23" s="14"/>
      <c r="W23" s="14"/>
      <c r="X23" s="14"/>
      <c r="Y23" s="14"/>
      <c r="Z23" s="14"/>
    </row>
    <row r="24" spans="1:26" ht="12.75" x14ac:dyDescent="0.2">
      <c r="A24" s="1"/>
      <c r="D24" s="14"/>
      <c r="K24" s="14"/>
      <c r="L24" s="14"/>
      <c r="S24" s="14"/>
      <c r="T24" s="14"/>
      <c r="U24" s="14"/>
      <c r="V24" s="14"/>
      <c r="W24" s="14"/>
      <c r="X24" s="14"/>
      <c r="Y24" s="14"/>
      <c r="Z24" s="14"/>
    </row>
    <row r="25" spans="1:26" ht="12.75" x14ac:dyDescent="0.2">
      <c r="A25" s="1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x14ac:dyDescent="0.2">
      <c r="A26" s="1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x14ac:dyDescent="0.2">
      <c r="A27" s="1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x14ac:dyDescent="0.2">
      <c r="A28" s="1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x14ac:dyDescent="0.2">
      <c r="A29" s="1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x14ac:dyDescent="0.2">
      <c r="A30" s="3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x14ac:dyDescent="0.2">
      <c r="A31" s="3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x14ac:dyDescent="0.2">
      <c r="A32" s="3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x14ac:dyDescent="0.2">
      <c r="A33" s="3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x14ac:dyDescent="0.2">
      <c r="A34" s="3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x14ac:dyDescent="0.2">
      <c r="A35" s="3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x14ac:dyDescent="0.2">
      <c r="A36" s="3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x14ac:dyDescent="0.2">
      <c r="A37" s="3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x14ac:dyDescent="0.2">
      <c r="A38" s="3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x14ac:dyDescent="0.2">
      <c r="A39" s="3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x14ac:dyDescent="0.2">
      <c r="A40" s="3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x14ac:dyDescent="0.2">
      <c r="A41" s="3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x14ac:dyDescent="0.2">
      <c r="A42" s="3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x14ac:dyDescent="0.2">
      <c r="A43" s="3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x14ac:dyDescent="0.2">
      <c r="A44" s="32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x14ac:dyDescent="0.2">
      <c r="A45" s="32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x14ac:dyDescent="0.2">
      <c r="A46" s="32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x14ac:dyDescent="0.2">
      <c r="A47" s="32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x14ac:dyDescent="0.2">
      <c r="A48" s="32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x14ac:dyDescent="0.2">
      <c r="A49" s="32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x14ac:dyDescent="0.2">
      <c r="A50" s="32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x14ac:dyDescent="0.2">
      <c r="A51" s="32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x14ac:dyDescent="0.2">
      <c r="A52" s="32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x14ac:dyDescent="0.2">
      <c r="A53" s="3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x14ac:dyDescent="0.2">
      <c r="A54" s="3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x14ac:dyDescent="0.2">
      <c r="A55" s="32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x14ac:dyDescent="0.2">
      <c r="A56" s="3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x14ac:dyDescent="0.2">
      <c r="A57" s="32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x14ac:dyDescent="0.2">
      <c r="A58" s="32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x14ac:dyDescent="0.2">
      <c r="A59" s="3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x14ac:dyDescent="0.2">
      <c r="A60" s="32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x14ac:dyDescent="0.2">
      <c r="A61" s="32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x14ac:dyDescent="0.2">
      <c r="A62" s="32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x14ac:dyDescent="0.2">
      <c r="A63" s="32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x14ac:dyDescent="0.2">
      <c r="A64" s="32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x14ac:dyDescent="0.2">
      <c r="A65" s="32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x14ac:dyDescent="0.2">
      <c r="A66" s="32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x14ac:dyDescent="0.2">
      <c r="A67" s="32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x14ac:dyDescent="0.2">
      <c r="A68" s="32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x14ac:dyDescent="0.2">
      <c r="A69" s="32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x14ac:dyDescent="0.2">
      <c r="A70" s="3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x14ac:dyDescent="0.2">
      <c r="A71" s="32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x14ac:dyDescent="0.2">
      <c r="A72" s="32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x14ac:dyDescent="0.2">
      <c r="A73" s="32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x14ac:dyDescent="0.2">
      <c r="A74" s="32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x14ac:dyDescent="0.2">
      <c r="A75" s="32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x14ac:dyDescent="0.2">
      <c r="A76" s="32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x14ac:dyDescent="0.2">
      <c r="A77" s="32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x14ac:dyDescent="0.2">
      <c r="A78" s="32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x14ac:dyDescent="0.2">
      <c r="A79" s="32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x14ac:dyDescent="0.2">
      <c r="A80" s="32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x14ac:dyDescent="0.2">
      <c r="A81" s="32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x14ac:dyDescent="0.2">
      <c r="A82" s="32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x14ac:dyDescent="0.2">
      <c r="A83" s="32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x14ac:dyDescent="0.2">
      <c r="A84" s="3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x14ac:dyDescent="0.2">
      <c r="A85" s="32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x14ac:dyDescent="0.2">
      <c r="A86" s="32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x14ac:dyDescent="0.2">
      <c r="A87" s="32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x14ac:dyDescent="0.2">
      <c r="A88" s="32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x14ac:dyDescent="0.2">
      <c r="A89" s="32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x14ac:dyDescent="0.2">
      <c r="A90" s="32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x14ac:dyDescent="0.2">
      <c r="A91" s="32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x14ac:dyDescent="0.2">
      <c r="A92" s="32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x14ac:dyDescent="0.2">
      <c r="A93" s="32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x14ac:dyDescent="0.2">
      <c r="A94" s="32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x14ac:dyDescent="0.2">
      <c r="A95" s="32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x14ac:dyDescent="0.2">
      <c r="A96" s="32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x14ac:dyDescent="0.2">
      <c r="A97" s="32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x14ac:dyDescent="0.2">
      <c r="A98" s="32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x14ac:dyDescent="0.2">
      <c r="A99" s="32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x14ac:dyDescent="0.2">
      <c r="A100" s="32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x14ac:dyDescent="0.2">
      <c r="A101" s="32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x14ac:dyDescent="0.2">
      <c r="A102" s="32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x14ac:dyDescent="0.2">
      <c r="A103" s="32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x14ac:dyDescent="0.2">
      <c r="A104" s="32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x14ac:dyDescent="0.2">
      <c r="A105" s="32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x14ac:dyDescent="0.2">
      <c r="A106" s="32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x14ac:dyDescent="0.2">
      <c r="A107" s="32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x14ac:dyDescent="0.2">
      <c r="A108" s="32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x14ac:dyDescent="0.2">
      <c r="A109" s="32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x14ac:dyDescent="0.2">
      <c r="A110" s="3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x14ac:dyDescent="0.2">
      <c r="A111" s="3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x14ac:dyDescent="0.2">
      <c r="A112" s="32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x14ac:dyDescent="0.2">
      <c r="A113" s="32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x14ac:dyDescent="0.2">
      <c r="A114" s="32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x14ac:dyDescent="0.2">
      <c r="A115" s="32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x14ac:dyDescent="0.2">
      <c r="A116" s="32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x14ac:dyDescent="0.2">
      <c r="A117" s="32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x14ac:dyDescent="0.2">
      <c r="A118" s="32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x14ac:dyDescent="0.2">
      <c r="A119" s="32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x14ac:dyDescent="0.2">
      <c r="A120" s="3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x14ac:dyDescent="0.2">
      <c r="A121" s="32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x14ac:dyDescent="0.2">
      <c r="A122" s="32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x14ac:dyDescent="0.2">
      <c r="A123" s="32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x14ac:dyDescent="0.2">
      <c r="A124" s="32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x14ac:dyDescent="0.2">
      <c r="A125" s="32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x14ac:dyDescent="0.2">
      <c r="A126" s="32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x14ac:dyDescent="0.2">
      <c r="A127" s="32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x14ac:dyDescent="0.2">
      <c r="A128" s="32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x14ac:dyDescent="0.2">
      <c r="A129" s="32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x14ac:dyDescent="0.2">
      <c r="A130" s="32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x14ac:dyDescent="0.2">
      <c r="A131" s="32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x14ac:dyDescent="0.2">
      <c r="A132" s="32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x14ac:dyDescent="0.2">
      <c r="A133" s="32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x14ac:dyDescent="0.2">
      <c r="A134" s="32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x14ac:dyDescent="0.2">
      <c r="A135" s="32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x14ac:dyDescent="0.2">
      <c r="A136" s="32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x14ac:dyDescent="0.2">
      <c r="A137" s="32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x14ac:dyDescent="0.2">
      <c r="A138" s="32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x14ac:dyDescent="0.2">
      <c r="A139" s="32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x14ac:dyDescent="0.2">
      <c r="A140" s="32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x14ac:dyDescent="0.2">
      <c r="A141" s="32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x14ac:dyDescent="0.2">
      <c r="A142" s="32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x14ac:dyDescent="0.2">
      <c r="A143" s="32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x14ac:dyDescent="0.2">
      <c r="A144" s="32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x14ac:dyDescent="0.2">
      <c r="A145" s="32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x14ac:dyDescent="0.2">
      <c r="A146" s="32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x14ac:dyDescent="0.2">
      <c r="A147" s="32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x14ac:dyDescent="0.2">
      <c r="A148" s="32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x14ac:dyDescent="0.2">
      <c r="A149" s="32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x14ac:dyDescent="0.2">
      <c r="A150" s="32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x14ac:dyDescent="0.2">
      <c r="A151" s="32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x14ac:dyDescent="0.2">
      <c r="A152" s="32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x14ac:dyDescent="0.2">
      <c r="A153" s="32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x14ac:dyDescent="0.2">
      <c r="A154" s="32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x14ac:dyDescent="0.2">
      <c r="A155" s="32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x14ac:dyDescent="0.2">
      <c r="A156" s="32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x14ac:dyDescent="0.2">
      <c r="A157" s="32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x14ac:dyDescent="0.2">
      <c r="A158" s="32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x14ac:dyDescent="0.2">
      <c r="A159" s="32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x14ac:dyDescent="0.2">
      <c r="A160" s="32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x14ac:dyDescent="0.2">
      <c r="A161" s="32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x14ac:dyDescent="0.2">
      <c r="A162" s="32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x14ac:dyDescent="0.2">
      <c r="A163" s="32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x14ac:dyDescent="0.2">
      <c r="A164" s="32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x14ac:dyDescent="0.2">
      <c r="A165" s="32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x14ac:dyDescent="0.2">
      <c r="A166" s="32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x14ac:dyDescent="0.2">
      <c r="A167" s="32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x14ac:dyDescent="0.2">
      <c r="A168" s="32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x14ac:dyDescent="0.2">
      <c r="A169" s="32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x14ac:dyDescent="0.2">
      <c r="A170" s="32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x14ac:dyDescent="0.2">
      <c r="A171" s="32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x14ac:dyDescent="0.2">
      <c r="A172" s="32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x14ac:dyDescent="0.2">
      <c r="A173" s="32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x14ac:dyDescent="0.2">
      <c r="A174" s="32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x14ac:dyDescent="0.2">
      <c r="A175" s="32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x14ac:dyDescent="0.2">
      <c r="A176" s="32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x14ac:dyDescent="0.2">
      <c r="A177" s="32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x14ac:dyDescent="0.2">
      <c r="A178" s="32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x14ac:dyDescent="0.2">
      <c r="A179" s="32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x14ac:dyDescent="0.2">
      <c r="A180" s="32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x14ac:dyDescent="0.2">
      <c r="A181" s="32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x14ac:dyDescent="0.2">
      <c r="A182" s="32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x14ac:dyDescent="0.2">
      <c r="A183" s="32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x14ac:dyDescent="0.2">
      <c r="A184" s="32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x14ac:dyDescent="0.2">
      <c r="A185" s="32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x14ac:dyDescent="0.2">
      <c r="A186" s="32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x14ac:dyDescent="0.2">
      <c r="A187" s="32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x14ac:dyDescent="0.2">
      <c r="A188" s="32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x14ac:dyDescent="0.2">
      <c r="A189" s="32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x14ac:dyDescent="0.2">
      <c r="A190" s="32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x14ac:dyDescent="0.2">
      <c r="A191" s="32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x14ac:dyDescent="0.2">
      <c r="A192" s="32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x14ac:dyDescent="0.2">
      <c r="A193" s="32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x14ac:dyDescent="0.2">
      <c r="A194" s="32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x14ac:dyDescent="0.2">
      <c r="A195" s="32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x14ac:dyDescent="0.2">
      <c r="A196" s="32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x14ac:dyDescent="0.2">
      <c r="A197" s="32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x14ac:dyDescent="0.2">
      <c r="A198" s="32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x14ac:dyDescent="0.2">
      <c r="A199" s="32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x14ac:dyDescent="0.2">
      <c r="A200" s="32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x14ac:dyDescent="0.2">
      <c r="A201" s="3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x14ac:dyDescent="0.2">
      <c r="A202" s="32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x14ac:dyDescent="0.2">
      <c r="A203" s="32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x14ac:dyDescent="0.2">
      <c r="A204" s="32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x14ac:dyDescent="0.2">
      <c r="A205" s="32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x14ac:dyDescent="0.2">
      <c r="A206" s="32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x14ac:dyDescent="0.2">
      <c r="A207" s="32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x14ac:dyDescent="0.2">
      <c r="A208" s="32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x14ac:dyDescent="0.2">
      <c r="A209" s="32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x14ac:dyDescent="0.2">
      <c r="A210" s="32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x14ac:dyDescent="0.2">
      <c r="A211" s="32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x14ac:dyDescent="0.2">
      <c r="A212" s="32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x14ac:dyDescent="0.2">
      <c r="A213" s="32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x14ac:dyDescent="0.2">
      <c r="A214" s="32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x14ac:dyDescent="0.2">
      <c r="A215" s="32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x14ac:dyDescent="0.2">
      <c r="A216" s="32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x14ac:dyDescent="0.2">
      <c r="A217" s="32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x14ac:dyDescent="0.2">
      <c r="A218" s="32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x14ac:dyDescent="0.2">
      <c r="A219" s="32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x14ac:dyDescent="0.2">
      <c r="A220" s="32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x14ac:dyDescent="0.2">
      <c r="A221" s="32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x14ac:dyDescent="0.2">
      <c r="A222" s="32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x14ac:dyDescent="0.2">
      <c r="A223" s="32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x14ac:dyDescent="0.2">
      <c r="A224" s="32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x14ac:dyDescent="0.2">
      <c r="A225" s="32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x14ac:dyDescent="0.2">
      <c r="A226" s="32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x14ac:dyDescent="0.2">
      <c r="A227" s="32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x14ac:dyDescent="0.2">
      <c r="A228" s="32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x14ac:dyDescent="0.2">
      <c r="A229" s="32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x14ac:dyDescent="0.2">
      <c r="A230" s="32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x14ac:dyDescent="0.2">
      <c r="A231" s="32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x14ac:dyDescent="0.2">
      <c r="A232" s="32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x14ac:dyDescent="0.2">
      <c r="A233" s="32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x14ac:dyDescent="0.2">
      <c r="A234" s="32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x14ac:dyDescent="0.2">
      <c r="A235" s="32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x14ac:dyDescent="0.2">
      <c r="A236" s="32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x14ac:dyDescent="0.2">
      <c r="A237" s="32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x14ac:dyDescent="0.2">
      <c r="A238" s="32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x14ac:dyDescent="0.2">
      <c r="A239" s="32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x14ac:dyDescent="0.2">
      <c r="A240" s="32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x14ac:dyDescent="0.2">
      <c r="A241" s="32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x14ac:dyDescent="0.2">
      <c r="A242" s="32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x14ac:dyDescent="0.2">
      <c r="A243" s="32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x14ac:dyDescent="0.2">
      <c r="A244" s="32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x14ac:dyDescent="0.2">
      <c r="A245" s="32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x14ac:dyDescent="0.2">
      <c r="A246" s="32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x14ac:dyDescent="0.2">
      <c r="A247" s="32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x14ac:dyDescent="0.2">
      <c r="A248" s="32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x14ac:dyDescent="0.2">
      <c r="A249" s="32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x14ac:dyDescent="0.2">
      <c r="A250" s="32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x14ac:dyDescent="0.2">
      <c r="A251" s="32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x14ac:dyDescent="0.2">
      <c r="A252" s="32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x14ac:dyDescent="0.2">
      <c r="A253" s="32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x14ac:dyDescent="0.2">
      <c r="A254" s="32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x14ac:dyDescent="0.2">
      <c r="A255" s="32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x14ac:dyDescent="0.2">
      <c r="A256" s="32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x14ac:dyDescent="0.2">
      <c r="A257" s="32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x14ac:dyDescent="0.2">
      <c r="A258" s="32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x14ac:dyDescent="0.2">
      <c r="A259" s="32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x14ac:dyDescent="0.2">
      <c r="A260" s="32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x14ac:dyDescent="0.2">
      <c r="A261" s="32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x14ac:dyDescent="0.2">
      <c r="A262" s="32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x14ac:dyDescent="0.2">
      <c r="A263" s="32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x14ac:dyDescent="0.2">
      <c r="A264" s="32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x14ac:dyDescent="0.2">
      <c r="A265" s="32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x14ac:dyDescent="0.2">
      <c r="A266" s="32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x14ac:dyDescent="0.2">
      <c r="A267" s="32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x14ac:dyDescent="0.2">
      <c r="A268" s="32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x14ac:dyDescent="0.2">
      <c r="A269" s="32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x14ac:dyDescent="0.2">
      <c r="A270" s="32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x14ac:dyDescent="0.2">
      <c r="A271" s="32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x14ac:dyDescent="0.2">
      <c r="A272" s="32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x14ac:dyDescent="0.2">
      <c r="A273" s="32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x14ac:dyDescent="0.2">
      <c r="A274" s="32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x14ac:dyDescent="0.2">
      <c r="A275" s="32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x14ac:dyDescent="0.2">
      <c r="A276" s="32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x14ac:dyDescent="0.2">
      <c r="A277" s="32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x14ac:dyDescent="0.2">
      <c r="A278" s="32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x14ac:dyDescent="0.2">
      <c r="A279" s="32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x14ac:dyDescent="0.2">
      <c r="A280" s="32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x14ac:dyDescent="0.2">
      <c r="A281" s="32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x14ac:dyDescent="0.2">
      <c r="A282" s="32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x14ac:dyDescent="0.2">
      <c r="A283" s="32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x14ac:dyDescent="0.2">
      <c r="A284" s="32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x14ac:dyDescent="0.2">
      <c r="A285" s="32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x14ac:dyDescent="0.2">
      <c r="A286" s="32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x14ac:dyDescent="0.2">
      <c r="A287" s="32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x14ac:dyDescent="0.2">
      <c r="A288" s="32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x14ac:dyDescent="0.2">
      <c r="A289" s="32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x14ac:dyDescent="0.2">
      <c r="A290" s="32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x14ac:dyDescent="0.2">
      <c r="A291" s="32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x14ac:dyDescent="0.2">
      <c r="A292" s="32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x14ac:dyDescent="0.2">
      <c r="A293" s="32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x14ac:dyDescent="0.2">
      <c r="A294" s="32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x14ac:dyDescent="0.2">
      <c r="A295" s="32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x14ac:dyDescent="0.2">
      <c r="A296" s="32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x14ac:dyDescent="0.2">
      <c r="A297" s="32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x14ac:dyDescent="0.2">
      <c r="A298" s="32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x14ac:dyDescent="0.2">
      <c r="A299" s="32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x14ac:dyDescent="0.2">
      <c r="A300" s="32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x14ac:dyDescent="0.2">
      <c r="A301" s="32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x14ac:dyDescent="0.2">
      <c r="A302" s="32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x14ac:dyDescent="0.2">
      <c r="A303" s="32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x14ac:dyDescent="0.2">
      <c r="A304" s="32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x14ac:dyDescent="0.2">
      <c r="A305" s="32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x14ac:dyDescent="0.2">
      <c r="A306" s="32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x14ac:dyDescent="0.2">
      <c r="A307" s="32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x14ac:dyDescent="0.2">
      <c r="A308" s="32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x14ac:dyDescent="0.2">
      <c r="A309" s="32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x14ac:dyDescent="0.2">
      <c r="A310" s="32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x14ac:dyDescent="0.2">
      <c r="A311" s="32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x14ac:dyDescent="0.2">
      <c r="A312" s="32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x14ac:dyDescent="0.2">
      <c r="A313" s="32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x14ac:dyDescent="0.2">
      <c r="A314" s="32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x14ac:dyDescent="0.2">
      <c r="A315" s="32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x14ac:dyDescent="0.2">
      <c r="A316" s="32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x14ac:dyDescent="0.2">
      <c r="A317" s="32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x14ac:dyDescent="0.2">
      <c r="A318" s="32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x14ac:dyDescent="0.2">
      <c r="A319" s="32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x14ac:dyDescent="0.2">
      <c r="A320" s="32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x14ac:dyDescent="0.2">
      <c r="A321" s="32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x14ac:dyDescent="0.2">
      <c r="A322" s="32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x14ac:dyDescent="0.2">
      <c r="A323" s="32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x14ac:dyDescent="0.2">
      <c r="A324" s="32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x14ac:dyDescent="0.2">
      <c r="A325" s="32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x14ac:dyDescent="0.2">
      <c r="A326" s="32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x14ac:dyDescent="0.2">
      <c r="A327" s="32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x14ac:dyDescent="0.2">
      <c r="A328" s="32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x14ac:dyDescent="0.2">
      <c r="A329" s="32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x14ac:dyDescent="0.2">
      <c r="A330" s="32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x14ac:dyDescent="0.2">
      <c r="A331" s="32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x14ac:dyDescent="0.2">
      <c r="A332" s="32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x14ac:dyDescent="0.2">
      <c r="A333" s="32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x14ac:dyDescent="0.2">
      <c r="A334" s="32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x14ac:dyDescent="0.2">
      <c r="A335" s="32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x14ac:dyDescent="0.2">
      <c r="A336" s="32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x14ac:dyDescent="0.2">
      <c r="A337" s="32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x14ac:dyDescent="0.2">
      <c r="A338" s="32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x14ac:dyDescent="0.2">
      <c r="A339" s="32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x14ac:dyDescent="0.2">
      <c r="A340" s="32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x14ac:dyDescent="0.2">
      <c r="A341" s="32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x14ac:dyDescent="0.2">
      <c r="A342" s="32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x14ac:dyDescent="0.2">
      <c r="A343" s="32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x14ac:dyDescent="0.2">
      <c r="A344" s="32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x14ac:dyDescent="0.2">
      <c r="A345" s="32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x14ac:dyDescent="0.2">
      <c r="A346" s="32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x14ac:dyDescent="0.2">
      <c r="A347" s="32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x14ac:dyDescent="0.2">
      <c r="A348" s="32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x14ac:dyDescent="0.2">
      <c r="A349" s="32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x14ac:dyDescent="0.2">
      <c r="A350" s="32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x14ac:dyDescent="0.2">
      <c r="A351" s="32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x14ac:dyDescent="0.2">
      <c r="A352" s="32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x14ac:dyDescent="0.2">
      <c r="A353" s="32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x14ac:dyDescent="0.2">
      <c r="A354" s="32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x14ac:dyDescent="0.2">
      <c r="A355" s="32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x14ac:dyDescent="0.2">
      <c r="A356" s="32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x14ac:dyDescent="0.2">
      <c r="A357" s="32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x14ac:dyDescent="0.2">
      <c r="A358" s="32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x14ac:dyDescent="0.2">
      <c r="A359" s="32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x14ac:dyDescent="0.2">
      <c r="A360" s="32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x14ac:dyDescent="0.2">
      <c r="A361" s="32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x14ac:dyDescent="0.2">
      <c r="A362" s="32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x14ac:dyDescent="0.2">
      <c r="A363" s="32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x14ac:dyDescent="0.2">
      <c r="A364" s="32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x14ac:dyDescent="0.2">
      <c r="A365" s="32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x14ac:dyDescent="0.2">
      <c r="A366" s="32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x14ac:dyDescent="0.2">
      <c r="A367" s="32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x14ac:dyDescent="0.2">
      <c r="A368" s="32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x14ac:dyDescent="0.2">
      <c r="A369" s="32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x14ac:dyDescent="0.2">
      <c r="A370" s="32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x14ac:dyDescent="0.2">
      <c r="A371" s="32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x14ac:dyDescent="0.2">
      <c r="A372" s="32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x14ac:dyDescent="0.2">
      <c r="A373" s="32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x14ac:dyDescent="0.2">
      <c r="A374" s="32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x14ac:dyDescent="0.2">
      <c r="A375" s="32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x14ac:dyDescent="0.2">
      <c r="A376" s="32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x14ac:dyDescent="0.2">
      <c r="A377" s="32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x14ac:dyDescent="0.2">
      <c r="A378" s="32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x14ac:dyDescent="0.2">
      <c r="A379" s="32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x14ac:dyDescent="0.2">
      <c r="A380" s="32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x14ac:dyDescent="0.2">
      <c r="A381" s="32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x14ac:dyDescent="0.2">
      <c r="A382" s="32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x14ac:dyDescent="0.2">
      <c r="A383" s="32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x14ac:dyDescent="0.2">
      <c r="A384" s="32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x14ac:dyDescent="0.2">
      <c r="A385" s="32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x14ac:dyDescent="0.2">
      <c r="A386" s="32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x14ac:dyDescent="0.2">
      <c r="A387" s="32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x14ac:dyDescent="0.2">
      <c r="A388" s="32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x14ac:dyDescent="0.2">
      <c r="A389" s="32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x14ac:dyDescent="0.2">
      <c r="A390" s="32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x14ac:dyDescent="0.2">
      <c r="A391" s="32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x14ac:dyDescent="0.2">
      <c r="A392" s="32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x14ac:dyDescent="0.2">
      <c r="A393" s="32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x14ac:dyDescent="0.2">
      <c r="A394" s="32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x14ac:dyDescent="0.2">
      <c r="A395" s="32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x14ac:dyDescent="0.2">
      <c r="A396" s="32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x14ac:dyDescent="0.2">
      <c r="A397" s="32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x14ac:dyDescent="0.2">
      <c r="A398" s="32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x14ac:dyDescent="0.2">
      <c r="A399" s="32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x14ac:dyDescent="0.2">
      <c r="A400" s="32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x14ac:dyDescent="0.2">
      <c r="A401" s="32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x14ac:dyDescent="0.2">
      <c r="A402" s="32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x14ac:dyDescent="0.2">
      <c r="A403" s="32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x14ac:dyDescent="0.2">
      <c r="A404" s="32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x14ac:dyDescent="0.2">
      <c r="A405" s="32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x14ac:dyDescent="0.2">
      <c r="A406" s="32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x14ac:dyDescent="0.2">
      <c r="A407" s="32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x14ac:dyDescent="0.2">
      <c r="A408" s="32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x14ac:dyDescent="0.2">
      <c r="A409" s="32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x14ac:dyDescent="0.2">
      <c r="A410" s="32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x14ac:dyDescent="0.2">
      <c r="A411" s="32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x14ac:dyDescent="0.2">
      <c r="A412" s="32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x14ac:dyDescent="0.2">
      <c r="A413" s="32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x14ac:dyDescent="0.2">
      <c r="A414" s="32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x14ac:dyDescent="0.2">
      <c r="A415" s="32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x14ac:dyDescent="0.2">
      <c r="A416" s="32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x14ac:dyDescent="0.2">
      <c r="A417" s="32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x14ac:dyDescent="0.2">
      <c r="A418" s="32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x14ac:dyDescent="0.2">
      <c r="A419" s="32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x14ac:dyDescent="0.2">
      <c r="A420" s="32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x14ac:dyDescent="0.2">
      <c r="A421" s="32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x14ac:dyDescent="0.2">
      <c r="A422" s="32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x14ac:dyDescent="0.2">
      <c r="A423" s="32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x14ac:dyDescent="0.2">
      <c r="A424" s="32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x14ac:dyDescent="0.2">
      <c r="A425" s="32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x14ac:dyDescent="0.2">
      <c r="A426" s="32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x14ac:dyDescent="0.2">
      <c r="A427" s="32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x14ac:dyDescent="0.2">
      <c r="A428" s="32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x14ac:dyDescent="0.2">
      <c r="A429" s="32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x14ac:dyDescent="0.2">
      <c r="A430" s="32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x14ac:dyDescent="0.2">
      <c r="A431" s="32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x14ac:dyDescent="0.2">
      <c r="A432" s="32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x14ac:dyDescent="0.2">
      <c r="A433" s="32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x14ac:dyDescent="0.2">
      <c r="A434" s="32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x14ac:dyDescent="0.2">
      <c r="A435" s="32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x14ac:dyDescent="0.2">
      <c r="A436" s="32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x14ac:dyDescent="0.2">
      <c r="A437" s="32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x14ac:dyDescent="0.2">
      <c r="A438" s="32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x14ac:dyDescent="0.2">
      <c r="A439" s="32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x14ac:dyDescent="0.2">
      <c r="A440" s="32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x14ac:dyDescent="0.2">
      <c r="A441" s="32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x14ac:dyDescent="0.2">
      <c r="A442" s="32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x14ac:dyDescent="0.2">
      <c r="A443" s="32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x14ac:dyDescent="0.2">
      <c r="A444" s="32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x14ac:dyDescent="0.2">
      <c r="A445" s="32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x14ac:dyDescent="0.2">
      <c r="A446" s="32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x14ac:dyDescent="0.2">
      <c r="A447" s="32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x14ac:dyDescent="0.2">
      <c r="A448" s="32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x14ac:dyDescent="0.2">
      <c r="A449" s="32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x14ac:dyDescent="0.2">
      <c r="A450" s="32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x14ac:dyDescent="0.2">
      <c r="A451" s="32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x14ac:dyDescent="0.2">
      <c r="A452" s="32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x14ac:dyDescent="0.2">
      <c r="A453" s="32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x14ac:dyDescent="0.2">
      <c r="A454" s="32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x14ac:dyDescent="0.2">
      <c r="A455" s="32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x14ac:dyDescent="0.2">
      <c r="A456" s="32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x14ac:dyDescent="0.2">
      <c r="A457" s="32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x14ac:dyDescent="0.2">
      <c r="A458" s="32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x14ac:dyDescent="0.2">
      <c r="A459" s="32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x14ac:dyDescent="0.2">
      <c r="A460" s="32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x14ac:dyDescent="0.2">
      <c r="A461" s="32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x14ac:dyDescent="0.2">
      <c r="A462" s="32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x14ac:dyDescent="0.2">
      <c r="A463" s="32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x14ac:dyDescent="0.2">
      <c r="A464" s="32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x14ac:dyDescent="0.2">
      <c r="A465" s="32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x14ac:dyDescent="0.2">
      <c r="A466" s="32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x14ac:dyDescent="0.2">
      <c r="A467" s="32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x14ac:dyDescent="0.2">
      <c r="A468" s="32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x14ac:dyDescent="0.2">
      <c r="A469" s="32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x14ac:dyDescent="0.2">
      <c r="A470" s="32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x14ac:dyDescent="0.2">
      <c r="A471" s="32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x14ac:dyDescent="0.2">
      <c r="A472" s="32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x14ac:dyDescent="0.2">
      <c r="A473" s="32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x14ac:dyDescent="0.2">
      <c r="A474" s="32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x14ac:dyDescent="0.2">
      <c r="A475" s="32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x14ac:dyDescent="0.2">
      <c r="A476" s="32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x14ac:dyDescent="0.2">
      <c r="A477" s="32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x14ac:dyDescent="0.2">
      <c r="A478" s="32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x14ac:dyDescent="0.2">
      <c r="A479" s="32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x14ac:dyDescent="0.2">
      <c r="A480" s="32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x14ac:dyDescent="0.2">
      <c r="A481" s="32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x14ac:dyDescent="0.2">
      <c r="A482" s="32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x14ac:dyDescent="0.2">
      <c r="A483" s="32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x14ac:dyDescent="0.2">
      <c r="A484" s="32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x14ac:dyDescent="0.2">
      <c r="A485" s="32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x14ac:dyDescent="0.2">
      <c r="A486" s="32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x14ac:dyDescent="0.2">
      <c r="A487" s="32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x14ac:dyDescent="0.2">
      <c r="A488" s="32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x14ac:dyDescent="0.2">
      <c r="A489" s="32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x14ac:dyDescent="0.2">
      <c r="A490" s="32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x14ac:dyDescent="0.2">
      <c r="A491" s="32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x14ac:dyDescent="0.2">
      <c r="A492" s="32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x14ac:dyDescent="0.2">
      <c r="A493" s="32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x14ac:dyDescent="0.2">
      <c r="A494" s="32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x14ac:dyDescent="0.2">
      <c r="A495" s="32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x14ac:dyDescent="0.2">
      <c r="A496" s="32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x14ac:dyDescent="0.2">
      <c r="A497" s="32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x14ac:dyDescent="0.2">
      <c r="A498" s="32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x14ac:dyDescent="0.2">
      <c r="A499" s="32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x14ac:dyDescent="0.2">
      <c r="A500" s="32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x14ac:dyDescent="0.2">
      <c r="A501" s="32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x14ac:dyDescent="0.2">
      <c r="A502" s="32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x14ac:dyDescent="0.2">
      <c r="A503" s="32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x14ac:dyDescent="0.2">
      <c r="A504" s="32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x14ac:dyDescent="0.2">
      <c r="A505" s="32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x14ac:dyDescent="0.2">
      <c r="A506" s="32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x14ac:dyDescent="0.2">
      <c r="A507" s="32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x14ac:dyDescent="0.2">
      <c r="A508" s="32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x14ac:dyDescent="0.2">
      <c r="A509" s="32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x14ac:dyDescent="0.2">
      <c r="A510" s="32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x14ac:dyDescent="0.2">
      <c r="A511" s="32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x14ac:dyDescent="0.2">
      <c r="A512" s="32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x14ac:dyDescent="0.2">
      <c r="A513" s="32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x14ac:dyDescent="0.2">
      <c r="A514" s="32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x14ac:dyDescent="0.2">
      <c r="A515" s="32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x14ac:dyDescent="0.2">
      <c r="A516" s="32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x14ac:dyDescent="0.2">
      <c r="A517" s="32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x14ac:dyDescent="0.2">
      <c r="A518" s="32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x14ac:dyDescent="0.2">
      <c r="A519" s="32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x14ac:dyDescent="0.2">
      <c r="A520" s="32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x14ac:dyDescent="0.2">
      <c r="A521" s="32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x14ac:dyDescent="0.2">
      <c r="A522" s="32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x14ac:dyDescent="0.2">
      <c r="A523" s="32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x14ac:dyDescent="0.2">
      <c r="A524" s="32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x14ac:dyDescent="0.2">
      <c r="A525" s="32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x14ac:dyDescent="0.2">
      <c r="A526" s="32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x14ac:dyDescent="0.2">
      <c r="A527" s="32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x14ac:dyDescent="0.2">
      <c r="A528" s="32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x14ac:dyDescent="0.2">
      <c r="A529" s="32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x14ac:dyDescent="0.2">
      <c r="A530" s="32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x14ac:dyDescent="0.2">
      <c r="A531" s="32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x14ac:dyDescent="0.2">
      <c r="A532" s="32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x14ac:dyDescent="0.2">
      <c r="A533" s="32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x14ac:dyDescent="0.2">
      <c r="A534" s="32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x14ac:dyDescent="0.2">
      <c r="A535" s="32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x14ac:dyDescent="0.2">
      <c r="A536" s="32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x14ac:dyDescent="0.2">
      <c r="A537" s="32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x14ac:dyDescent="0.2">
      <c r="A538" s="32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x14ac:dyDescent="0.2">
      <c r="A539" s="32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x14ac:dyDescent="0.2">
      <c r="A540" s="32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x14ac:dyDescent="0.2">
      <c r="A541" s="32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x14ac:dyDescent="0.2">
      <c r="A542" s="32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x14ac:dyDescent="0.2">
      <c r="A543" s="32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x14ac:dyDescent="0.2">
      <c r="A544" s="32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x14ac:dyDescent="0.2">
      <c r="A545" s="32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x14ac:dyDescent="0.2">
      <c r="A546" s="32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x14ac:dyDescent="0.2">
      <c r="A547" s="32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x14ac:dyDescent="0.2">
      <c r="A548" s="32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x14ac:dyDescent="0.2">
      <c r="A549" s="32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x14ac:dyDescent="0.2">
      <c r="A550" s="32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x14ac:dyDescent="0.2">
      <c r="A551" s="32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x14ac:dyDescent="0.2">
      <c r="A552" s="32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x14ac:dyDescent="0.2">
      <c r="A553" s="32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x14ac:dyDescent="0.2">
      <c r="A554" s="32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x14ac:dyDescent="0.2">
      <c r="A555" s="32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x14ac:dyDescent="0.2">
      <c r="A556" s="32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x14ac:dyDescent="0.2">
      <c r="A557" s="32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x14ac:dyDescent="0.2">
      <c r="A558" s="32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x14ac:dyDescent="0.2">
      <c r="A559" s="32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x14ac:dyDescent="0.2">
      <c r="A560" s="32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x14ac:dyDescent="0.2">
      <c r="A561" s="32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x14ac:dyDescent="0.2">
      <c r="A562" s="32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x14ac:dyDescent="0.2">
      <c r="A563" s="32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x14ac:dyDescent="0.2">
      <c r="A564" s="32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x14ac:dyDescent="0.2">
      <c r="A565" s="32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x14ac:dyDescent="0.2">
      <c r="A566" s="32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x14ac:dyDescent="0.2">
      <c r="A567" s="32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x14ac:dyDescent="0.2">
      <c r="A568" s="32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x14ac:dyDescent="0.2">
      <c r="A569" s="32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x14ac:dyDescent="0.2">
      <c r="A570" s="32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x14ac:dyDescent="0.2">
      <c r="A571" s="32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x14ac:dyDescent="0.2">
      <c r="A572" s="32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x14ac:dyDescent="0.2">
      <c r="A573" s="32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x14ac:dyDescent="0.2">
      <c r="A574" s="32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x14ac:dyDescent="0.2">
      <c r="A575" s="32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x14ac:dyDescent="0.2">
      <c r="A576" s="32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x14ac:dyDescent="0.2">
      <c r="A577" s="32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x14ac:dyDescent="0.2">
      <c r="A578" s="32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x14ac:dyDescent="0.2">
      <c r="A579" s="32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x14ac:dyDescent="0.2">
      <c r="A580" s="32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x14ac:dyDescent="0.2">
      <c r="A581" s="32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x14ac:dyDescent="0.2">
      <c r="A582" s="32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x14ac:dyDescent="0.2">
      <c r="A583" s="32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x14ac:dyDescent="0.2">
      <c r="A584" s="32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x14ac:dyDescent="0.2">
      <c r="A585" s="32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x14ac:dyDescent="0.2">
      <c r="A586" s="32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x14ac:dyDescent="0.2">
      <c r="A587" s="32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x14ac:dyDescent="0.2">
      <c r="A588" s="32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x14ac:dyDescent="0.2">
      <c r="A589" s="32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x14ac:dyDescent="0.2">
      <c r="A590" s="32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x14ac:dyDescent="0.2">
      <c r="A591" s="32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x14ac:dyDescent="0.2">
      <c r="A592" s="32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x14ac:dyDescent="0.2">
      <c r="A593" s="32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x14ac:dyDescent="0.2">
      <c r="A594" s="32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x14ac:dyDescent="0.2">
      <c r="A595" s="32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x14ac:dyDescent="0.2">
      <c r="A596" s="32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x14ac:dyDescent="0.2">
      <c r="A597" s="32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x14ac:dyDescent="0.2">
      <c r="A598" s="32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x14ac:dyDescent="0.2">
      <c r="A599" s="32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x14ac:dyDescent="0.2">
      <c r="A600" s="32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x14ac:dyDescent="0.2">
      <c r="A601" s="32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x14ac:dyDescent="0.2">
      <c r="A602" s="32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x14ac:dyDescent="0.2">
      <c r="A603" s="32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x14ac:dyDescent="0.2">
      <c r="A604" s="32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x14ac:dyDescent="0.2">
      <c r="A605" s="32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x14ac:dyDescent="0.2">
      <c r="A606" s="32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x14ac:dyDescent="0.2">
      <c r="A607" s="32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x14ac:dyDescent="0.2">
      <c r="A608" s="32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x14ac:dyDescent="0.2">
      <c r="A609" s="32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x14ac:dyDescent="0.2">
      <c r="A610" s="32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x14ac:dyDescent="0.2">
      <c r="A611" s="32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x14ac:dyDescent="0.2">
      <c r="A612" s="32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x14ac:dyDescent="0.2">
      <c r="A613" s="32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x14ac:dyDescent="0.2">
      <c r="A614" s="32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x14ac:dyDescent="0.2">
      <c r="A615" s="32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x14ac:dyDescent="0.2">
      <c r="A616" s="32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x14ac:dyDescent="0.2">
      <c r="A617" s="32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x14ac:dyDescent="0.2">
      <c r="A618" s="32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x14ac:dyDescent="0.2">
      <c r="A619" s="32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x14ac:dyDescent="0.2">
      <c r="A620" s="32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x14ac:dyDescent="0.2">
      <c r="A621" s="32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x14ac:dyDescent="0.2">
      <c r="A622" s="32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x14ac:dyDescent="0.2">
      <c r="A623" s="32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x14ac:dyDescent="0.2">
      <c r="A624" s="32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x14ac:dyDescent="0.2">
      <c r="A625" s="32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x14ac:dyDescent="0.2">
      <c r="A626" s="32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x14ac:dyDescent="0.2">
      <c r="A627" s="32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x14ac:dyDescent="0.2">
      <c r="A628" s="32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x14ac:dyDescent="0.2">
      <c r="A629" s="32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x14ac:dyDescent="0.2">
      <c r="A630" s="32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x14ac:dyDescent="0.2">
      <c r="A631" s="32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x14ac:dyDescent="0.2">
      <c r="A632" s="32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x14ac:dyDescent="0.2">
      <c r="A633" s="32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x14ac:dyDescent="0.2">
      <c r="A634" s="32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x14ac:dyDescent="0.2">
      <c r="A635" s="32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x14ac:dyDescent="0.2">
      <c r="A636" s="32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x14ac:dyDescent="0.2">
      <c r="A637" s="32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x14ac:dyDescent="0.2">
      <c r="A638" s="32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x14ac:dyDescent="0.2">
      <c r="A639" s="32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x14ac:dyDescent="0.2">
      <c r="A640" s="32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x14ac:dyDescent="0.2">
      <c r="A641" s="32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x14ac:dyDescent="0.2">
      <c r="A642" s="32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x14ac:dyDescent="0.2">
      <c r="A643" s="32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x14ac:dyDescent="0.2">
      <c r="A644" s="32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x14ac:dyDescent="0.2">
      <c r="A645" s="32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x14ac:dyDescent="0.2">
      <c r="A646" s="32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x14ac:dyDescent="0.2">
      <c r="A647" s="32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x14ac:dyDescent="0.2">
      <c r="A648" s="32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x14ac:dyDescent="0.2">
      <c r="A649" s="32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x14ac:dyDescent="0.2">
      <c r="A650" s="32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x14ac:dyDescent="0.2">
      <c r="A651" s="32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x14ac:dyDescent="0.2">
      <c r="A652" s="32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x14ac:dyDescent="0.2">
      <c r="A653" s="32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x14ac:dyDescent="0.2">
      <c r="A654" s="32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x14ac:dyDescent="0.2">
      <c r="A655" s="32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x14ac:dyDescent="0.2">
      <c r="A656" s="32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x14ac:dyDescent="0.2">
      <c r="A657" s="32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x14ac:dyDescent="0.2">
      <c r="A658" s="32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x14ac:dyDescent="0.2">
      <c r="A659" s="32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x14ac:dyDescent="0.2">
      <c r="A660" s="32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x14ac:dyDescent="0.2">
      <c r="A661" s="32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x14ac:dyDescent="0.2">
      <c r="A662" s="32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x14ac:dyDescent="0.2">
      <c r="A663" s="32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x14ac:dyDescent="0.2">
      <c r="A664" s="32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x14ac:dyDescent="0.2">
      <c r="A665" s="32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x14ac:dyDescent="0.2">
      <c r="A666" s="32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x14ac:dyDescent="0.2">
      <c r="A667" s="32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x14ac:dyDescent="0.2">
      <c r="A668" s="32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x14ac:dyDescent="0.2">
      <c r="A669" s="32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x14ac:dyDescent="0.2">
      <c r="A670" s="32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x14ac:dyDescent="0.2">
      <c r="A671" s="32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x14ac:dyDescent="0.2">
      <c r="A672" s="32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x14ac:dyDescent="0.2">
      <c r="A673" s="32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x14ac:dyDescent="0.2">
      <c r="A674" s="32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x14ac:dyDescent="0.2">
      <c r="A675" s="32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x14ac:dyDescent="0.2">
      <c r="A676" s="32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x14ac:dyDescent="0.2">
      <c r="A677" s="32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x14ac:dyDescent="0.2">
      <c r="A678" s="32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x14ac:dyDescent="0.2">
      <c r="A679" s="32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x14ac:dyDescent="0.2">
      <c r="A680" s="32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x14ac:dyDescent="0.2">
      <c r="A681" s="32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x14ac:dyDescent="0.2">
      <c r="A682" s="32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x14ac:dyDescent="0.2">
      <c r="A683" s="32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x14ac:dyDescent="0.2">
      <c r="A684" s="32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x14ac:dyDescent="0.2">
      <c r="A685" s="32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x14ac:dyDescent="0.2">
      <c r="A686" s="32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x14ac:dyDescent="0.2">
      <c r="A687" s="32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x14ac:dyDescent="0.2">
      <c r="A688" s="32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x14ac:dyDescent="0.2">
      <c r="A689" s="32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x14ac:dyDescent="0.2">
      <c r="A690" s="32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x14ac:dyDescent="0.2">
      <c r="A691" s="32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x14ac:dyDescent="0.2">
      <c r="A692" s="32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x14ac:dyDescent="0.2">
      <c r="A693" s="32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x14ac:dyDescent="0.2">
      <c r="A694" s="32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x14ac:dyDescent="0.2">
      <c r="A695" s="32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x14ac:dyDescent="0.2">
      <c r="A696" s="32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x14ac:dyDescent="0.2">
      <c r="A697" s="32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x14ac:dyDescent="0.2">
      <c r="A698" s="32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x14ac:dyDescent="0.2">
      <c r="A699" s="32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x14ac:dyDescent="0.2">
      <c r="A700" s="32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x14ac:dyDescent="0.2">
      <c r="A701" s="32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x14ac:dyDescent="0.2">
      <c r="A702" s="32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x14ac:dyDescent="0.2">
      <c r="A703" s="32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x14ac:dyDescent="0.2">
      <c r="A704" s="32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x14ac:dyDescent="0.2">
      <c r="A705" s="32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x14ac:dyDescent="0.2">
      <c r="A706" s="32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x14ac:dyDescent="0.2">
      <c r="A707" s="32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x14ac:dyDescent="0.2">
      <c r="A708" s="32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x14ac:dyDescent="0.2">
      <c r="A709" s="32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x14ac:dyDescent="0.2">
      <c r="A710" s="32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x14ac:dyDescent="0.2">
      <c r="A711" s="32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x14ac:dyDescent="0.2">
      <c r="A712" s="32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x14ac:dyDescent="0.2">
      <c r="A713" s="32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x14ac:dyDescent="0.2">
      <c r="A714" s="32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x14ac:dyDescent="0.2">
      <c r="A715" s="32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x14ac:dyDescent="0.2">
      <c r="A716" s="32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x14ac:dyDescent="0.2">
      <c r="A717" s="32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x14ac:dyDescent="0.2">
      <c r="A718" s="32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x14ac:dyDescent="0.2">
      <c r="A719" s="32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x14ac:dyDescent="0.2">
      <c r="A720" s="32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x14ac:dyDescent="0.2">
      <c r="A721" s="32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x14ac:dyDescent="0.2">
      <c r="A722" s="32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x14ac:dyDescent="0.2">
      <c r="A723" s="32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x14ac:dyDescent="0.2">
      <c r="A724" s="32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x14ac:dyDescent="0.2">
      <c r="A725" s="32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x14ac:dyDescent="0.2">
      <c r="A726" s="32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x14ac:dyDescent="0.2">
      <c r="A727" s="32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x14ac:dyDescent="0.2">
      <c r="A728" s="32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x14ac:dyDescent="0.2">
      <c r="A729" s="32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x14ac:dyDescent="0.2">
      <c r="A730" s="32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x14ac:dyDescent="0.2">
      <c r="A731" s="32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x14ac:dyDescent="0.2">
      <c r="A732" s="32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x14ac:dyDescent="0.2">
      <c r="A733" s="32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x14ac:dyDescent="0.2">
      <c r="A734" s="32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x14ac:dyDescent="0.2">
      <c r="A735" s="32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x14ac:dyDescent="0.2">
      <c r="A736" s="32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x14ac:dyDescent="0.2">
      <c r="A737" s="32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x14ac:dyDescent="0.2">
      <c r="A738" s="32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x14ac:dyDescent="0.2">
      <c r="A739" s="32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x14ac:dyDescent="0.2">
      <c r="A740" s="32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x14ac:dyDescent="0.2">
      <c r="A741" s="32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x14ac:dyDescent="0.2">
      <c r="A742" s="32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x14ac:dyDescent="0.2">
      <c r="A743" s="32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x14ac:dyDescent="0.2">
      <c r="A744" s="32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x14ac:dyDescent="0.2">
      <c r="A745" s="32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x14ac:dyDescent="0.2">
      <c r="A746" s="32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x14ac:dyDescent="0.2">
      <c r="A747" s="32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x14ac:dyDescent="0.2">
      <c r="A748" s="32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x14ac:dyDescent="0.2">
      <c r="A749" s="32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x14ac:dyDescent="0.2">
      <c r="A750" s="32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x14ac:dyDescent="0.2">
      <c r="A751" s="32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x14ac:dyDescent="0.2">
      <c r="A752" s="32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x14ac:dyDescent="0.2">
      <c r="A753" s="32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x14ac:dyDescent="0.2">
      <c r="A754" s="32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x14ac:dyDescent="0.2">
      <c r="A755" s="32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x14ac:dyDescent="0.2">
      <c r="A756" s="32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x14ac:dyDescent="0.2">
      <c r="A757" s="32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x14ac:dyDescent="0.2">
      <c r="A758" s="32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x14ac:dyDescent="0.2">
      <c r="A759" s="32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x14ac:dyDescent="0.2">
      <c r="A760" s="32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x14ac:dyDescent="0.2">
      <c r="A761" s="32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x14ac:dyDescent="0.2">
      <c r="A762" s="32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x14ac:dyDescent="0.2">
      <c r="A763" s="32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x14ac:dyDescent="0.2">
      <c r="A764" s="32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x14ac:dyDescent="0.2">
      <c r="A765" s="32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x14ac:dyDescent="0.2">
      <c r="A766" s="32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x14ac:dyDescent="0.2">
      <c r="A767" s="32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x14ac:dyDescent="0.2">
      <c r="A768" s="32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x14ac:dyDescent="0.2">
      <c r="A769" s="32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x14ac:dyDescent="0.2">
      <c r="A770" s="32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x14ac:dyDescent="0.2">
      <c r="A771" s="32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x14ac:dyDescent="0.2">
      <c r="A772" s="32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x14ac:dyDescent="0.2">
      <c r="A773" s="32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x14ac:dyDescent="0.2">
      <c r="A774" s="32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x14ac:dyDescent="0.2">
      <c r="A775" s="32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x14ac:dyDescent="0.2">
      <c r="A776" s="32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x14ac:dyDescent="0.2">
      <c r="A777" s="32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x14ac:dyDescent="0.2">
      <c r="A778" s="32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x14ac:dyDescent="0.2">
      <c r="A779" s="32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x14ac:dyDescent="0.2">
      <c r="A780" s="32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x14ac:dyDescent="0.2">
      <c r="A781" s="32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x14ac:dyDescent="0.2">
      <c r="A782" s="32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x14ac:dyDescent="0.2">
      <c r="A783" s="32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x14ac:dyDescent="0.2">
      <c r="A784" s="32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x14ac:dyDescent="0.2">
      <c r="A785" s="32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x14ac:dyDescent="0.2">
      <c r="A786" s="32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x14ac:dyDescent="0.2">
      <c r="A787" s="32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x14ac:dyDescent="0.2">
      <c r="A788" s="32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x14ac:dyDescent="0.2">
      <c r="A789" s="32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x14ac:dyDescent="0.2">
      <c r="A790" s="32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x14ac:dyDescent="0.2">
      <c r="A791" s="32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x14ac:dyDescent="0.2">
      <c r="A792" s="32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x14ac:dyDescent="0.2">
      <c r="A793" s="32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x14ac:dyDescent="0.2">
      <c r="A794" s="32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x14ac:dyDescent="0.2">
      <c r="A795" s="32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x14ac:dyDescent="0.2">
      <c r="A796" s="32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x14ac:dyDescent="0.2">
      <c r="A797" s="32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x14ac:dyDescent="0.2">
      <c r="A798" s="32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x14ac:dyDescent="0.2">
      <c r="A799" s="32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x14ac:dyDescent="0.2">
      <c r="A800" s="32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x14ac:dyDescent="0.2">
      <c r="A801" s="32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x14ac:dyDescent="0.2">
      <c r="A802" s="32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x14ac:dyDescent="0.2">
      <c r="A803" s="32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x14ac:dyDescent="0.2">
      <c r="A804" s="32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x14ac:dyDescent="0.2">
      <c r="A805" s="32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x14ac:dyDescent="0.2">
      <c r="A806" s="32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x14ac:dyDescent="0.2">
      <c r="A807" s="32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x14ac:dyDescent="0.2">
      <c r="A808" s="32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x14ac:dyDescent="0.2">
      <c r="A809" s="32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x14ac:dyDescent="0.2">
      <c r="A810" s="32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x14ac:dyDescent="0.2">
      <c r="A811" s="32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x14ac:dyDescent="0.2">
      <c r="A812" s="32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x14ac:dyDescent="0.2">
      <c r="A813" s="32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x14ac:dyDescent="0.2">
      <c r="A814" s="32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x14ac:dyDescent="0.2">
      <c r="A815" s="32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x14ac:dyDescent="0.2">
      <c r="A816" s="32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x14ac:dyDescent="0.2">
      <c r="A817" s="32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x14ac:dyDescent="0.2">
      <c r="A818" s="32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x14ac:dyDescent="0.2">
      <c r="A819" s="32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x14ac:dyDescent="0.2">
      <c r="A820" s="32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x14ac:dyDescent="0.2">
      <c r="A821" s="32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x14ac:dyDescent="0.2">
      <c r="A822" s="32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x14ac:dyDescent="0.2">
      <c r="A823" s="32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x14ac:dyDescent="0.2">
      <c r="A824" s="32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x14ac:dyDescent="0.2">
      <c r="A825" s="32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x14ac:dyDescent="0.2">
      <c r="A826" s="32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x14ac:dyDescent="0.2">
      <c r="A827" s="32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x14ac:dyDescent="0.2">
      <c r="A828" s="32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x14ac:dyDescent="0.2">
      <c r="A829" s="32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x14ac:dyDescent="0.2">
      <c r="A830" s="32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x14ac:dyDescent="0.2">
      <c r="A831" s="32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x14ac:dyDescent="0.2">
      <c r="A832" s="32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x14ac:dyDescent="0.2">
      <c r="A833" s="32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x14ac:dyDescent="0.2">
      <c r="A834" s="32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x14ac:dyDescent="0.2">
      <c r="A835" s="32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x14ac:dyDescent="0.2">
      <c r="A836" s="32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x14ac:dyDescent="0.2">
      <c r="A837" s="32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x14ac:dyDescent="0.2">
      <c r="A838" s="32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x14ac:dyDescent="0.2">
      <c r="A839" s="32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x14ac:dyDescent="0.2">
      <c r="A840" s="32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x14ac:dyDescent="0.2">
      <c r="A841" s="32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x14ac:dyDescent="0.2">
      <c r="A842" s="32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x14ac:dyDescent="0.2">
      <c r="A843" s="32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x14ac:dyDescent="0.2">
      <c r="A844" s="32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x14ac:dyDescent="0.2">
      <c r="A845" s="32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x14ac:dyDescent="0.2">
      <c r="A846" s="32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x14ac:dyDescent="0.2">
      <c r="A847" s="32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x14ac:dyDescent="0.2">
      <c r="A848" s="32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x14ac:dyDescent="0.2">
      <c r="A849" s="32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x14ac:dyDescent="0.2">
      <c r="A850" s="32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x14ac:dyDescent="0.2">
      <c r="A851" s="32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x14ac:dyDescent="0.2">
      <c r="A852" s="32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x14ac:dyDescent="0.2">
      <c r="A853" s="32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x14ac:dyDescent="0.2">
      <c r="A854" s="32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x14ac:dyDescent="0.2">
      <c r="A855" s="32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x14ac:dyDescent="0.2">
      <c r="A856" s="32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x14ac:dyDescent="0.2">
      <c r="A857" s="32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x14ac:dyDescent="0.2">
      <c r="A858" s="32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x14ac:dyDescent="0.2">
      <c r="A859" s="32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x14ac:dyDescent="0.2">
      <c r="A860" s="32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x14ac:dyDescent="0.2">
      <c r="A861" s="32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x14ac:dyDescent="0.2">
      <c r="A862" s="32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x14ac:dyDescent="0.2">
      <c r="A863" s="32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x14ac:dyDescent="0.2">
      <c r="A864" s="32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x14ac:dyDescent="0.2">
      <c r="A865" s="32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x14ac:dyDescent="0.2">
      <c r="A866" s="32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x14ac:dyDescent="0.2">
      <c r="A867" s="32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x14ac:dyDescent="0.2">
      <c r="A868" s="32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x14ac:dyDescent="0.2">
      <c r="A869" s="32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x14ac:dyDescent="0.2">
      <c r="A870" s="32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x14ac:dyDescent="0.2">
      <c r="A871" s="32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x14ac:dyDescent="0.2">
      <c r="A872" s="32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x14ac:dyDescent="0.2">
      <c r="A873" s="32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x14ac:dyDescent="0.2">
      <c r="A874" s="32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x14ac:dyDescent="0.2">
      <c r="A875" s="32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x14ac:dyDescent="0.2">
      <c r="A876" s="32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x14ac:dyDescent="0.2">
      <c r="A877" s="32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x14ac:dyDescent="0.2">
      <c r="A878" s="32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x14ac:dyDescent="0.2">
      <c r="A879" s="32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x14ac:dyDescent="0.2">
      <c r="A880" s="32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x14ac:dyDescent="0.2">
      <c r="A881" s="32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x14ac:dyDescent="0.2">
      <c r="A882" s="32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x14ac:dyDescent="0.2">
      <c r="A883" s="32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x14ac:dyDescent="0.2">
      <c r="A884" s="32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x14ac:dyDescent="0.2">
      <c r="A885" s="32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x14ac:dyDescent="0.2">
      <c r="A886" s="32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x14ac:dyDescent="0.2">
      <c r="A887" s="32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x14ac:dyDescent="0.2">
      <c r="A888" s="32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x14ac:dyDescent="0.2">
      <c r="A889" s="32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x14ac:dyDescent="0.2">
      <c r="A890" s="32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x14ac:dyDescent="0.2">
      <c r="A891" s="32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x14ac:dyDescent="0.2">
      <c r="A892" s="32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x14ac:dyDescent="0.2">
      <c r="A893" s="32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x14ac:dyDescent="0.2">
      <c r="A894" s="32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x14ac:dyDescent="0.2">
      <c r="A895" s="32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x14ac:dyDescent="0.2">
      <c r="A896" s="32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x14ac:dyDescent="0.2">
      <c r="A897" s="32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x14ac:dyDescent="0.2">
      <c r="A898" s="32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x14ac:dyDescent="0.2">
      <c r="A899" s="32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x14ac:dyDescent="0.2">
      <c r="A900" s="32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x14ac:dyDescent="0.2">
      <c r="A901" s="32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x14ac:dyDescent="0.2">
      <c r="A902" s="32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x14ac:dyDescent="0.2">
      <c r="A903" s="32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x14ac:dyDescent="0.2">
      <c r="A904" s="32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x14ac:dyDescent="0.2">
      <c r="A905" s="32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x14ac:dyDescent="0.2">
      <c r="A906" s="32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x14ac:dyDescent="0.2">
      <c r="A907" s="32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x14ac:dyDescent="0.2">
      <c r="A908" s="32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x14ac:dyDescent="0.2">
      <c r="A909" s="32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x14ac:dyDescent="0.2">
      <c r="A910" s="32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x14ac:dyDescent="0.2">
      <c r="A911" s="32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x14ac:dyDescent="0.2">
      <c r="A912" s="32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x14ac:dyDescent="0.2">
      <c r="A913" s="32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x14ac:dyDescent="0.2">
      <c r="A914" s="32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x14ac:dyDescent="0.2">
      <c r="A915" s="32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x14ac:dyDescent="0.2">
      <c r="A916" s="32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x14ac:dyDescent="0.2">
      <c r="A917" s="32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x14ac:dyDescent="0.2">
      <c r="A918" s="32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x14ac:dyDescent="0.2">
      <c r="A919" s="32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x14ac:dyDescent="0.2">
      <c r="A920" s="32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x14ac:dyDescent="0.2">
      <c r="A921" s="32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x14ac:dyDescent="0.2">
      <c r="A922" s="32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x14ac:dyDescent="0.2">
      <c r="A923" s="32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x14ac:dyDescent="0.2">
      <c r="A924" s="32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x14ac:dyDescent="0.2">
      <c r="A925" s="32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x14ac:dyDescent="0.2">
      <c r="A926" s="32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x14ac:dyDescent="0.2">
      <c r="A927" s="32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x14ac:dyDescent="0.2">
      <c r="A928" s="32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x14ac:dyDescent="0.2">
      <c r="A929" s="32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x14ac:dyDescent="0.2">
      <c r="A930" s="32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x14ac:dyDescent="0.2">
      <c r="A931" s="32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x14ac:dyDescent="0.2">
      <c r="A932" s="32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x14ac:dyDescent="0.2">
      <c r="A933" s="32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x14ac:dyDescent="0.2">
      <c r="A934" s="32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x14ac:dyDescent="0.2">
      <c r="A935" s="32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x14ac:dyDescent="0.2">
      <c r="A936" s="32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x14ac:dyDescent="0.2">
      <c r="A937" s="32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x14ac:dyDescent="0.2">
      <c r="A938" s="32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x14ac:dyDescent="0.2">
      <c r="A939" s="32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x14ac:dyDescent="0.2">
      <c r="A940" s="32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x14ac:dyDescent="0.2">
      <c r="A941" s="32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x14ac:dyDescent="0.2">
      <c r="A942" s="32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x14ac:dyDescent="0.2">
      <c r="A943" s="32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x14ac:dyDescent="0.2">
      <c r="A944" s="32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x14ac:dyDescent="0.2">
      <c r="A945" s="32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x14ac:dyDescent="0.2">
      <c r="A946" s="32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x14ac:dyDescent="0.2">
      <c r="A947" s="32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x14ac:dyDescent="0.2">
      <c r="A948" s="32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x14ac:dyDescent="0.2">
      <c r="A949" s="32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x14ac:dyDescent="0.2">
      <c r="A950" s="32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x14ac:dyDescent="0.2">
      <c r="A951" s="32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x14ac:dyDescent="0.2">
      <c r="A952" s="32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x14ac:dyDescent="0.2">
      <c r="A953" s="32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x14ac:dyDescent="0.2">
      <c r="A954" s="32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x14ac:dyDescent="0.2">
      <c r="A955" s="32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x14ac:dyDescent="0.2">
      <c r="A956" s="32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x14ac:dyDescent="0.2">
      <c r="A957" s="32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x14ac:dyDescent="0.2">
      <c r="A958" s="32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x14ac:dyDescent="0.2">
      <c r="A959" s="32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x14ac:dyDescent="0.2">
      <c r="A960" s="32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x14ac:dyDescent="0.2">
      <c r="A961" s="32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x14ac:dyDescent="0.2">
      <c r="A962" s="32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x14ac:dyDescent="0.2">
      <c r="A963" s="32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x14ac:dyDescent="0.2">
      <c r="A964" s="32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x14ac:dyDescent="0.2">
      <c r="A965" s="32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x14ac:dyDescent="0.2">
      <c r="A966" s="32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x14ac:dyDescent="0.2">
      <c r="A967" s="32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x14ac:dyDescent="0.2">
      <c r="A968" s="32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x14ac:dyDescent="0.2">
      <c r="A969" s="32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x14ac:dyDescent="0.2">
      <c r="A970" s="32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x14ac:dyDescent="0.2">
      <c r="A971" s="32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x14ac:dyDescent="0.2">
      <c r="A972" s="32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x14ac:dyDescent="0.2">
      <c r="A973" s="32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x14ac:dyDescent="0.2">
      <c r="A974" s="32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x14ac:dyDescent="0.2">
      <c r="A975" s="32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x14ac:dyDescent="0.2">
      <c r="A976" s="32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x14ac:dyDescent="0.2">
      <c r="A977" s="32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x14ac:dyDescent="0.2">
      <c r="A978" s="32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x14ac:dyDescent="0.2">
      <c r="A979" s="32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x14ac:dyDescent="0.2">
      <c r="A980" s="32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x14ac:dyDescent="0.2">
      <c r="A981" s="32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x14ac:dyDescent="0.2">
      <c r="A982" s="32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x14ac:dyDescent="0.2">
      <c r="A983" s="32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x14ac:dyDescent="0.2">
      <c r="A984" s="32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x14ac:dyDescent="0.2">
      <c r="A985" s="32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x14ac:dyDescent="0.2">
      <c r="A986" s="32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x14ac:dyDescent="0.2">
      <c r="A987" s="32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x14ac:dyDescent="0.2">
      <c r="A988" s="32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x14ac:dyDescent="0.2">
      <c r="A989" s="32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x14ac:dyDescent="0.2">
      <c r="A990" s="32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x14ac:dyDescent="0.2">
      <c r="A991" s="32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x14ac:dyDescent="0.2">
      <c r="A992" s="32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x14ac:dyDescent="0.2">
      <c r="A993" s="32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x14ac:dyDescent="0.2">
      <c r="A994" s="32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x14ac:dyDescent="0.2">
      <c r="A995" s="32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x14ac:dyDescent="0.2">
      <c r="A996" s="32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x14ac:dyDescent="0.2">
      <c r="A997" s="32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mergeCells count="33">
    <mergeCell ref="H6:H7"/>
    <mergeCell ref="H8:H9"/>
    <mergeCell ref="I8:I9"/>
    <mergeCell ref="I6:I7"/>
    <mergeCell ref="H2:H3"/>
    <mergeCell ref="F4:F5"/>
    <mergeCell ref="E4:E5"/>
    <mergeCell ref="I2:I3"/>
    <mergeCell ref="I4:I5"/>
    <mergeCell ref="H4:H5"/>
    <mergeCell ref="J8:J9"/>
    <mergeCell ref="J2:J3"/>
    <mergeCell ref="J4:J5"/>
    <mergeCell ref="K8:K9"/>
    <mergeCell ref="J6:J7"/>
    <mergeCell ref="K6:K7"/>
    <mergeCell ref="K4:K5"/>
    <mergeCell ref="K2:K3"/>
    <mergeCell ref="C4:C5"/>
    <mergeCell ref="B2:B3"/>
    <mergeCell ref="C2:C3"/>
    <mergeCell ref="G4:G5"/>
    <mergeCell ref="F8:F9"/>
    <mergeCell ref="G8:G9"/>
    <mergeCell ref="E2:E3"/>
    <mergeCell ref="F2:F3"/>
    <mergeCell ref="G2:G3"/>
    <mergeCell ref="E6:E7"/>
    <mergeCell ref="E8:E9"/>
    <mergeCell ref="F6:F7"/>
    <mergeCell ref="G6:G7"/>
    <mergeCell ref="C6:C7"/>
    <mergeCell ref="C8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C78D8"/>
    <outlinePr summaryBelow="0" summaryRight="0"/>
  </sheetPr>
  <dimension ref="A1:I1002"/>
  <sheetViews>
    <sheetView workbookViewId="0"/>
  </sheetViews>
  <sheetFormatPr baseColWidth="10" defaultColWidth="14.42578125" defaultRowHeight="15.75" customHeight="1" x14ac:dyDescent="0.2"/>
  <cols>
    <col min="3" max="3" width="35.85546875" customWidth="1"/>
  </cols>
  <sheetData>
    <row r="1" spans="1:9" x14ac:dyDescent="0.2">
      <c r="A1" s="68"/>
      <c r="B1" s="134" t="s">
        <v>110</v>
      </c>
      <c r="C1" s="133"/>
      <c r="D1" s="133"/>
      <c r="E1" s="133"/>
      <c r="F1" s="133"/>
      <c r="G1" s="133"/>
      <c r="H1" s="133"/>
      <c r="I1" s="133"/>
    </row>
    <row r="2" spans="1:9" x14ac:dyDescent="0.2">
      <c r="A2" s="70"/>
      <c r="B2" s="72" t="s">
        <v>112</v>
      </c>
      <c r="C2" s="74" t="s">
        <v>114</v>
      </c>
      <c r="D2" s="74" t="s">
        <v>116</v>
      </c>
      <c r="E2" s="74" t="s">
        <v>117</v>
      </c>
      <c r="F2" s="74" t="s">
        <v>118</v>
      </c>
      <c r="G2" s="74" t="s">
        <v>119</v>
      </c>
      <c r="H2" s="74" t="s">
        <v>120</v>
      </c>
      <c r="I2" s="74" t="s">
        <v>121</v>
      </c>
    </row>
    <row r="3" spans="1:9" x14ac:dyDescent="0.2">
      <c r="A3" s="76"/>
      <c r="B3" s="77">
        <v>1</v>
      </c>
      <c r="C3" s="78" t="s">
        <v>122</v>
      </c>
      <c r="D3" s="79">
        <v>0</v>
      </c>
      <c r="E3" s="82">
        <f>1000000*12</f>
        <v>12000000</v>
      </c>
      <c r="F3" s="79">
        <f t="shared" ref="F3:I3" si="0">E3*(1+3.5%)</f>
        <v>12419999.999999998</v>
      </c>
      <c r="G3" s="79">
        <f t="shared" si="0"/>
        <v>12854699.999999996</v>
      </c>
      <c r="H3" s="79">
        <f t="shared" si="0"/>
        <v>13304614.499999994</v>
      </c>
      <c r="I3" s="79">
        <f t="shared" si="0"/>
        <v>13770276.007499993</v>
      </c>
    </row>
    <row r="4" spans="1:9" x14ac:dyDescent="0.2">
      <c r="A4" s="76"/>
      <c r="B4" s="77">
        <v>2</v>
      </c>
      <c r="C4" s="78" t="s">
        <v>124</v>
      </c>
      <c r="D4" s="79">
        <v>43000</v>
      </c>
      <c r="E4" s="79">
        <f t="shared" ref="E4:I4" si="1">D4+(D4 * 0.05)</f>
        <v>45150</v>
      </c>
      <c r="F4" s="79">
        <f t="shared" si="1"/>
        <v>47407.5</v>
      </c>
      <c r="G4" s="79">
        <f t="shared" si="1"/>
        <v>49777.875</v>
      </c>
      <c r="H4" s="79">
        <f t="shared" si="1"/>
        <v>52266.768750000003</v>
      </c>
      <c r="I4" s="79">
        <f t="shared" si="1"/>
        <v>54880.107187500005</v>
      </c>
    </row>
    <row r="5" spans="1:9" x14ac:dyDescent="0.2">
      <c r="A5" s="76"/>
      <c r="B5" s="77">
        <v>3</v>
      </c>
      <c r="C5" s="78" t="s">
        <v>125</v>
      </c>
      <c r="D5" s="79">
        <v>0</v>
      </c>
      <c r="E5" s="79">
        <f>1650000</f>
        <v>1650000</v>
      </c>
      <c r="F5" s="79">
        <f t="shared" ref="F5:I5" si="2">E5*(1 - 4%)</f>
        <v>1584000</v>
      </c>
      <c r="G5" s="79">
        <f t="shared" si="2"/>
        <v>1520640</v>
      </c>
      <c r="H5" s="79">
        <f t="shared" si="2"/>
        <v>1459814.3999999999</v>
      </c>
      <c r="I5" s="79">
        <f t="shared" si="2"/>
        <v>1401421.8239999998</v>
      </c>
    </row>
    <row r="6" spans="1:9" x14ac:dyDescent="0.2">
      <c r="A6" s="76"/>
      <c r="B6" s="77">
        <v>4</v>
      </c>
      <c r="C6" s="78" t="s">
        <v>126</v>
      </c>
      <c r="D6" s="79">
        <v>2500000</v>
      </c>
      <c r="E6" s="79">
        <v>4000000</v>
      </c>
      <c r="F6" s="79">
        <v>6500000</v>
      </c>
      <c r="G6" s="84">
        <v>5000000</v>
      </c>
      <c r="H6" s="79">
        <f>D6</f>
        <v>2500000</v>
      </c>
      <c r="I6" s="82">
        <v>5000000</v>
      </c>
    </row>
    <row r="7" spans="1:9" x14ac:dyDescent="0.2">
      <c r="A7" s="76"/>
      <c r="B7" s="77">
        <v>5</v>
      </c>
      <c r="C7" s="78" t="s">
        <v>127</v>
      </c>
      <c r="D7" s="79">
        <f>50000000</f>
        <v>50000000</v>
      </c>
      <c r="E7" s="79">
        <f>1500000</f>
        <v>1500000</v>
      </c>
      <c r="F7" s="79">
        <f>E7*(1 + 4%)</f>
        <v>1560000</v>
      </c>
      <c r="G7" s="84">
        <v>1400000</v>
      </c>
      <c r="H7" s="79">
        <f t="shared" ref="H7:I7" si="3">G7*(1 + 4%)</f>
        <v>1456000</v>
      </c>
      <c r="I7" s="79">
        <f t="shared" si="3"/>
        <v>1514240</v>
      </c>
    </row>
    <row r="8" spans="1:9" x14ac:dyDescent="0.2">
      <c r="A8" s="76"/>
      <c r="B8" s="77">
        <v>6</v>
      </c>
      <c r="C8" s="78" t="s">
        <v>129</v>
      </c>
      <c r="D8" s="79">
        <v>0</v>
      </c>
      <c r="E8" s="79">
        <v>0</v>
      </c>
      <c r="F8" s="79">
        <f>500000*12</f>
        <v>6000000</v>
      </c>
      <c r="G8" s="79">
        <f t="shared" ref="G8:H8" si="4">F8*(1+3.5%)</f>
        <v>6209999.9999999991</v>
      </c>
      <c r="H8" s="79">
        <f t="shared" si="4"/>
        <v>6427349.9999999981</v>
      </c>
      <c r="I8" s="82">
        <v>1000000</v>
      </c>
    </row>
    <row r="9" spans="1:9" x14ac:dyDescent="0.2">
      <c r="A9" s="76"/>
      <c r="B9" s="77">
        <v>7</v>
      </c>
      <c r="C9" s="78" t="s">
        <v>132</v>
      </c>
      <c r="D9" s="79">
        <v>0</v>
      </c>
      <c r="E9" s="79">
        <f>900000*12</f>
        <v>10800000</v>
      </c>
      <c r="F9" s="79">
        <f t="shared" ref="F9:I9" si="5">E9*(1+3.5%)</f>
        <v>11178000</v>
      </c>
      <c r="G9" s="79">
        <f t="shared" si="5"/>
        <v>11569230</v>
      </c>
      <c r="H9" s="79">
        <f t="shared" si="5"/>
        <v>11974153.049999999</v>
      </c>
      <c r="I9" s="79">
        <f t="shared" si="5"/>
        <v>12393248.406749997</v>
      </c>
    </row>
    <row r="10" spans="1:9" x14ac:dyDescent="0.2">
      <c r="A10" s="76"/>
      <c r="B10" s="77">
        <v>8</v>
      </c>
      <c r="C10" s="78" t="s">
        <v>134</v>
      </c>
      <c r="D10" s="79">
        <v>0</v>
      </c>
      <c r="E10" s="79">
        <f>(20*3500)*12</f>
        <v>840000</v>
      </c>
      <c r="F10" s="79">
        <f t="shared" ref="F10:I10" si="6">E10+(E10 * 0.04)</f>
        <v>873600</v>
      </c>
      <c r="G10" s="79">
        <f t="shared" si="6"/>
        <v>908544</v>
      </c>
      <c r="H10" s="79">
        <f t="shared" si="6"/>
        <v>944885.76000000001</v>
      </c>
      <c r="I10" s="79">
        <f t="shared" si="6"/>
        <v>982681.19039999996</v>
      </c>
    </row>
    <row r="11" spans="1:9" x14ac:dyDescent="0.2">
      <c r="A11" s="76"/>
      <c r="B11" s="77">
        <v>9</v>
      </c>
      <c r="C11" s="78" t="s">
        <v>136</v>
      </c>
      <c r="D11" s="79">
        <v>0</v>
      </c>
      <c r="E11" s="82">
        <v>5000000</v>
      </c>
      <c r="F11" s="82">
        <v>4200000</v>
      </c>
      <c r="G11" s="79">
        <v>3000000</v>
      </c>
      <c r="H11" s="82">
        <v>2000000</v>
      </c>
      <c r="I11" s="82">
        <v>1000000</v>
      </c>
    </row>
    <row r="12" spans="1:9" x14ac:dyDescent="0.2">
      <c r="A12" s="76"/>
      <c r="B12" s="77">
        <v>10</v>
      </c>
      <c r="C12" s="78" t="s">
        <v>137</v>
      </c>
      <c r="D12" s="79">
        <v>1000000</v>
      </c>
      <c r="E12" s="79">
        <v>2000000</v>
      </c>
      <c r="F12" s="79">
        <f>E12+(E12*80%)</f>
        <v>3600000</v>
      </c>
      <c r="G12" s="79">
        <v>4800000</v>
      </c>
      <c r="H12" s="82">
        <v>2000000</v>
      </c>
      <c r="I12" s="79">
        <f>D12</f>
        <v>1000000</v>
      </c>
    </row>
    <row r="13" spans="1:9" x14ac:dyDescent="0.2">
      <c r="A13" s="76"/>
      <c r="B13" s="77">
        <v>11</v>
      </c>
      <c r="C13" s="78" t="s">
        <v>138</v>
      </c>
      <c r="D13" s="79">
        <v>742000</v>
      </c>
      <c r="E13" s="89"/>
      <c r="F13" s="89"/>
      <c r="G13" s="89"/>
      <c r="H13" s="89"/>
      <c r="I13" s="89"/>
    </row>
    <row r="14" spans="1:9" x14ac:dyDescent="0.2">
      <c r="A14" s="76"/>
      <c r="B14" s="77">
        <v>12</v>
      </c>
      <c r="C14" s="78" t="s">
        <v>139</v>
      </c>
      <c r="D14" s="79">
        <v>689000</v>
      </c>
      <c r="E14" s="89"/>
      <c r="F14" s="89"/>
      <c r="G14" s="89"/>
      <c r="H14" s="89"/>
      <c r="I14" s="89"/>
    </row>
    <row r="15" spans="1:9" x14ac:dyDescent="0.2">
      <c r="A15" s="76"/>
      <c r="B15" s="77">
        <v>13</v>
      </c>
      <c r="C15" s="78"/>
      <c r="D15" s="79"/>
      <c r="E15" s="89"/>
      <c r="F15" s="89"/>
      <c r="G15" s="89"/>
      <c r="H15" s="89"/>
      <c r="I15" s="89"/>
    </row>
    <row r="16" spans="1:9" x14ac:dyDescent="0.2">
      <c r="A16" s="76"/>
      <c r="B16" s="77">
        <v>14</v>
      </c>
      <c r="C16" s="78"/>
      <c r="D16" s="79"/>
      <c r="E16" s="89"/>
      <c r="F16" s="89"/>
      <c r="G16" s="89"/>
      <c r="H16" s="89"/>
      <c r="I16" s="89"/>
    </row>
    <row r="17" spans="1:9" x14ac:dyDescent="0.2">
      <c r="A17" s="76"/>
      <c r="B17" s="77">
        <v>15</v>
      </c>
      <c r="C17" s="78"/>
      <c r="D17" s="89"/>
      <c r="E17" s="89"/>
      <c r="F17" s="89"/>
      <c r="G17" s="89"/>
      <c r="H17" s="89"/>
      <c r="I17" s="89"/>
    </row>
    <row r="18" spans="1:9" x14ac:dyDescent="0.2">
      <c r="A18" s="76"/>
      <c r="B18" s="77">
        <v>16</v>
      </c>
      <c r="C18" s="78"/>
      <c r="D18" s="89"/>
      <c r="E18" s="89"/>
      <c r="F18" s="89"/>
      <c r="G18" s="89"/>
      <c r="H18" s="89"/>
      <c r="I18" s="89"/>
    </row>
    <row r="19" spans="1:9" x14ac:dyDescent="0.2">
      <c r="A19" s="76"/>
      <c r="B19" s="77">
        <v>17</v>
      </c>
      <c r="C19" s="78"/>
      <c r="D19" s="89"/>
      <c r="E19" s="89"/>
      <c r="F19" s="89"/>
      <c r="G19" s="89"/>
      <c r="H19" s="89"/>
      <c r="I19" s="89"/>
    </row>
    <row r="20" spans="1:9" x14ac:dyDescent="0.2">
      <c r="A20" s="76"/>
      <c r="B20" s="77">
        <v>18</v>
      </c>
      <c r="C20" s="78"/>
      <c r="D20" s="89"/>
      <c r="E20" s="89"/>
      <c r="F20" s="89"/>
      <c r="G20" s="89"/>
      <c r="H20" s="89"/>
      <c r="I20" s="89"/>
    </row>
    <row r="21" spans="1:9" x14ac:dyDescent="0.2">
      <c r="A21" s="76"/>
      <c r="B21" s="77">
        <v>19</v>
      </c>
      <c r="C21" s="78"/>
      <c r="D21" s="89"/>
      <c r="E21" s="89"/>
      <c r="F21" s="89"/>
      <c r="G21" s="89"/>
      <c r="H21" s="89"/>
      <c r="I21" s="89"/>
    </row>
    <row r="22" spans="1:9" x14ac:dyDescent="0.2">
      <c r="A22" s="76"/>
      <c r="B22" s="77">
        <v>20</v>
      </c>
      <c r="C22" s="78"/>
      <c r="D22" s="89"/>
      <c r="E22" s="89"/>
      <c r="F22" s="89"/>
      <c r="G22" s="89"/>
      <c r="H22" s="89"/>
      <c r="I22" s="89"/>
    </row>
    <row r="23" spans="1:9" x14ac:dyDescent="0.2">
      <c r="A23" s="76"/>
      <c r="B23" s="77">
        <v>21</v>
      </c>
      <c r="C23" s="78"/>
      <c r="D23" s="89"/>
      <c r="E23" s="89"/>
      <c r="F23" s="89"/>
      <c r="G23" s="89"/>
      <c r="H23" s="89"/>
      <c r="I23" s="89"/>
    </row>
    <row r="24" spans="1:9" x14ac:dyDescent="0.2">
      <c r="A24" s="76"/>
      <c r="B24" s="77">
        <v>22</v>
      </c>
      <c r="C24" s="78"/>
      <c r="D24" s="89"/>
      <c r="E24" s="89"/>
      <c r="F24" s="89"/>
      <c r="G24" s="89"/>
      <c r="H24" s="89"/>
      <c r="I24" s="89"/>
    </row>
    <row r="25" spans="1:9" x14ac:dyDescent="0.2">
      <c r="A25" s="76"/>
      <c r="B25" s="77">
        <v>23</v>
      </c>
      <c r="C25" s="78"/>
      <c r="D25" s="89"/>
      <c r="E25" s="89"/>
      <c r="F25" s="89"/>
      <c r="G25" s="89"/>
      <c r="H25" s="89"/>
      <c r="I25" s="89"/>
    </row>
    <row r="26" spans="1:9" x14ac:dyDescent="0.2">
      <c r="A26" s="76"/>
      <c r="B26" s="77">
        <v>24</v>
      </c>
      <c r="C26" s="78"/>
      <c r="D26" s="89"/>
      <c r="E26" s="89"/>
      <c r="F26" s="89"/>
      <c r="G26" s="89"/>
      <c r="H26" s="89"/>
      <c r="I26" s="89"/>
    </row>
    <row r="27" spans="1:9" x14ac:dyDescent="0.2">
      <c r="A27" s="76"/>
      <c r="B27" s="77">
        <v>25</v>
      </c>
      <c r="C27" s="78"/>
      <c r="D27" s="78"/>
      <c r="E27" s="78"/>
      <c r="F27" s="78"/>
      <c r="G27" s="78"/>
      <c r="H27" s="78"/>
      <c r="I27" s="78"/>
    </row>
    <row r="28" spans="1:9" x14ac:dyDescent="0.2">
      <c r="A28" s="76"/>
      <c r="B28" s="77">
        <v>26</v>
      </c>
      <c r="C28" s="78"/>
      <c r="D28" s="78"/>
      <c r="E28" s="78"/>
      <c r="F28" s="78"/>
      <c r="G28" s="78"/>
      <c r="H28" s="78"/>
      <c r="I28" s="78"/>
    </row>
    <row r="29" spans="1:9" x14ac:dyDescent="0.2">
      <c r="A29" s="76"/>
      <c r="B29" s="77">
        <v>27</v>
      </c>
      <c r="C29" s="78"/>
      <c r="D29" s="78"/>
      <c r="E29" s="78"/>
      <c r="F29" s="78"/>
      <c r="G29" s="78"/>
      <c r="H29" s="78"/>
      <c r="I29" s="78"/>
    </row>
    <row r="30" spans="1:9" x14ac:dyDescent="0.2">
      <c r="A30" s="76"/>
      <c r="B30" s="77">
        <v>28</v>
      </c>
      <c r="C30" s="78"/>
      <c r="D30" s="78"/>
      <c r="E30" s="78"/>
      <c r="F30" s="78"/>
      <c r="G30" s="78"/>
      <c r="H30" s="78"/>
      <c r="I30" s="78"/>
    </row>
    <row r="31" spans="1:9" x14ac:dyDescent="0.2">
      <c r="A31" s="76"/>
      <c r="B31" s="77">
        <v>29</v>
      </c>
      <c r="C31" s="78"/>
      <c r="D31" s="78"/>
      <c r="E31" s="78"/>
      <c r="F31" s="78"/>
      <c r="G31" s="78"/>
      <c r="H31" s="78"/>
      <c r="I31" s="78"/>
    </row>
    <row r="32" spans="1:9" x14ac:dyDescent="0.2">
      <c r="A32" s="76"/>
      <c r="B32" s="77">
        <v>30</v>
      </c>
      <c r="C32" s="78" t="s">
        <v>140</v>
      </c>
      <c r="D32" s="79">
        <f t="shared" ref="D32:I32" si="7">SUM(D3:D31)</f>
        <v>54974000</v>
      </c>
      <c r="E32" s="79">
        <f t="shared" si="7"/>
        <v>37835150</v>
      </c>
      <c r="F32" s="79">
        <f t="shared" si="7"/>
        <v>47963007.5</v>
      </c>
      <c r="G32" s="79">
        <f t="shared" si="7"/>
        <v>47312891.875</v>
      </c>
      <c r="H32" s="79">
        <f t="shared" si="7"/>
        <v>42119084.47874999</v>
      </c>
      <c r="I32" s="79">
        <f t="shared" si="7"/>
        <v>38116747.535837486</v>
      </c>
    </row>
    <row r="33" spans="1:9" x14ac:dyDescent="0.2">
      <c r="A33" s="1"/>
    </row>
    <row r="34" spans="1:9" x14ac:dyDescent="0.2">
      <c r="A34" s="1"/>
    </row>
    <row r="35" spans="1:9" x14ac:dyDescent="0.2">
      <c r="A35" s="24"/>
      <c r="B35" s="136" t="s">
        <v>141</v>
      </c>
      <c r="C35" s="133"/>
      <c r="D35" s="133"/>
      <c r="E35" s="133"/>
      <c r="F35" s="133"/>
      <c r="G35" s="133"/>
      <c r="H35" s="133"/>
      <c r="I35" s="133"/>
    </row>
    <row r="36" spans="1:9" x14ac:dyDescent="0.2">
      <c r="A36" s="70"/>
      <c r="B36" s="72" t="s">
        <v>112</v>
      </c>
      <c r="C36" s="74" t="s">
        <v>114</v>
      </c>
      <c r="D36" s="74" t="s">
        <v>116</v>
      </c>
      <c r="E36" s="74" t="s">
        <v>117</v>
      </c>
      <c r="F36" s="74" t="s">
        <v>118</v>
      </c>
      <c r="G36" s="74" t="s">
        <v>119</v>
      </c>
      <c r="H36" s="74" t="s">
        <v>120</v>
      </c>
      <c r="I36" s="74" t="s">
        <v>121</v>
      </c>
    </row>
    <row r="37" spans="1:9" x14ac:dyDescent="0.2">
      <c r="A37" s="76"/>
      <c r="B37" s="77">
        <v>1</v>
      </c>
      <c r="C37" s="78" t="s">
        <v>142</v>
      </c>
      <c r="D37" s="79">
        <v>9714353</v>
      </c>
      <c r="E37" s="79">
        <v>0</v>
      </c>
      <c r="F37" s="79">
        <v>0</v>
      </c>
      <c r="G37" s="79">
        <v>0</v>
      </c>
      <c r="H37" s="79">
        <v>0</v>
      </c>
      <c r="I37" s="79">
        <v>9714353</v>
      </c>
    </row>
    <row r="38" spans="1:9" x14ac:dyDescent="0.2">
      <c r="A38" s="76"/>
      <c r="B38" s="77">
        <v>2</v>
      </c>
      <c r="C38" s="78" t="s">
        <v>143</v>
      </c>
      <c r="D38" s="79">
        <v>33988365</v>
      </c>
      <c r="E38" s="79">
        <v>0</v>
      </c>
      <c r="F38" s="79">
        <v>0</v>
      </c>
      <c r="G38" s="79">
        <v>0</v>
      </c>
      <c r="H38" s="79">
        <v>0</v>
      </c>
      <c r="I38" s="79">
        <v>33988365</v>
      </c>
    </row>
    <row r="39" spans="1:9" x14ac:dyDescent="0.2">
      <c r="A39" s="76"/>
      <c r="B39" s="77">
        <v>3</v>
      </c>
      <c r="C39" s="78" t="s">
        <v>144</v>
      </c>
      <c r="D39" s="79">
        <v>4488389</v>
      </c>
      <c r="E39" s="79">
        <v>0</v>
      </c>
      <c r="F39" s="79">
        <v>0</v>
      </c>
      <c r="G39" s="79">
        <v>0</v>
      </c>
      <c r="H39" s="79">
        <v>0</v>
      </c>
      <c r="I39" s="79">
        <v>4488389</v>
      </c>
    </row>
    <row r="40" spans="1:9" x14ac:dyDescent="0.2">
      <c r="A40" s="76"/>
      <c r="B40" s="77">
        <v>4</v>
      </c>
      <c r="C40" s="78" t="s">
        <v>145</v>
      </c>
      <c r="D40" s="79">
        <v>4586106</v>
      </c>
      <c r="E40" s="79">
        <v>4586106</v>
      </c>
      <c r="F40" s="79">
        <v>4586106</v>
      </c>
      <c r="G40" s="79">
        <v>4586106</v>
      </c>
      <c r="H40" s="79">
        <v>4586106</v>
      </c>
      <c r="I40" s="79">
        <v>4586106</v>
      </c>
    </row>
    <row r="41" spans="1:9" x14ac:dyDescent="0.2">
      <c r="A41" s="76"/>
      <c r="B41" s="77">
        <v>5</v>
      </c>
      <c r="C41" s="78" t="s">
        <v>146</v>
      </c>
      <c r="D41" s="79">
        <v>16000000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</row>
    <row r="42" spans="1:9" x14ac:dyDescent="0.2">
      <c r="A42" s="76"/>
      <c r="B42" s="77">
        <v>6</v>
      </c>
      <c r="C42" s="78" t="s">
        <v>147</v>
      </c>
      <c r="D42" s="79">
        <v>10000000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</row>
    <row r="43" spans="1:9" x14ac:dyDescent="0.2">
      <c r="A43" s="76"/>
      <c r="B43" s="77">
        <v>7</v>
      </c>
      <c r="C43" s="78" t="s">
        <v>148</v>
      </c>
      <c r="D43" s="79">
        <v>0</v>
      </c>
      <c r="E43" s="79">
        <v>240000000</v>
      </c>
      <c r="F43" s="79">
        <f t="shared" ref="F43:I43" si="8">E43+(E43*3%)</f>
        <v>247200000</v>
      </c>
      <c r="G43" s="79">
        <f t="shared" si="8"/>
        <v>254616000</v>
      </c>
      <c r="H43" s="79">
        <f t="shared" si="8"/>
        <v>262254480</v>
      </c>
      <c r="I43" s="79">
        <f t="shared" si="8"/>
        <v>270122114.39999998</v>
      </c>
    </row>
    <row r="44" spans="1:9" x14ac:dyDescent="0.2">
      <c r="A44" s="76"/>
      <c r="B44" s="77">
        <v>8</v>
      </c>
      <c r="C44" s="78" t="s">
        <v>149</v>
      </c>
      <c r="D44" s="79">
        <v>0</v>
      </c>
      <c r="E44" s="79">
        <v>93744000</v>
      </c>
      <c r="F44" s="79">
        <f t="shared" ref="F44:I44" si="9">E44+(E44*3%)</f>
        <v>96556320</v>
      </c>
      <c r="G44" s="79">
        <f t="shared" si="9"/>
        <v>99453009.599999994</v>
      </c>
      <c r="H44" s="79">
        <f t="shared" si="9"/>
        <v>102436599.888</v>
      </c>
      <c r="I44" s="79">
        <f t="shared" si="9"/>
        <v>105509697.88463999</v>
      </c>
    </row>
    <row r="45" spans="1:9" x14ac:dyDescent="0.2">
      <c r="A45" s="76"/>
      <c r="B45" s="77">
        <v>9</v>
      </c>
      <c r="C45" s="78" t="s">
        <v>150</v>
      </c>
      <c r="D45" s="79">
        <v>0</v>
      </c>
      <c r="E45" s="79">
        <v>56246000</v>
      </c>
      <c r="F45" s="79">
        <f t="shared" ref="F45:I45" si="10">E45+(E45*3%)</f>
        <v>57933380</v>
      </c>
      <c r="G45" s="79">
        <f t="shared" si="10"/>
        <v>59671381.399999999</v>
      </c>
      <c r="H45" s="79">
        <f t="shared" si="10"/>
        <v>61461522.842</v>
      </c>
      <c r="I45" s="79">
        <f t="shared" si="10"/>
        <v>63305368.527259998</v>
      </c>
    </row>
    <row r="46" spans="1:9" x14ac:dyDescent="0.2">
      <c r="A46" s="76"/>
      <c r="B46" s="77">
        <v>10</v>
      </c>
      <c r="C46" s="78" t="s">
        <v>151</v>
      </c>
      <c r="D46" s="79">
        <v>0</v>
      </c>
      <c r="E46" s="79">
        <v>152409000</v>
      </c>
      <c r="F46" s="79">
        <f t="shared" ref="F46:I46" si="11">E46+(E46*3%)</f>
        <v>156981270</v>
      </c>
      <c r="G46" s="79">
        <f t="shared" si="11"/>
        <v>161690708.09999999</v>
      </c>
      <c r="H46" s="79">
        <f t="shared" si="11"/>
        <v>166541429.34299999</v>
      </c>
      <c r="I46" s="79">
        <f t="shared" si="11"/>
        <v>171537672.22329</v>
      </c>
    </row>
    <row r="47" spans="1:9" x14ac:dyDescent="0.2">
      <c r="A47" s="76"/>
      <c r="B47" s="77">
        <v>11</v>
      </c>
      <c r="C47" s="78" t="s">
        <v>152</v>
      </c>
      <c r="D47" s="79">
        <v>0</v>
      </c>
      <c r="E47" s="79">
        <v>283046400</v>
      </c>
      <c r="F47" s="79">
        <f t="shared" ref="F47:I47" si="12">E47+(E47*3%)</f>
        <v>291537792</v>
      </c>
      <c r="G47" s="79">
        <f t="shared" si="12"/>
        <v>300283925.75999999</v>
      </c>
      <c r="H47" s="79">
        <f t="shared" si="12"/>
        <v>309292443.53279996</v>
      </c>
      <c r="I47" s="79">
        <f t="shared" si="12"/>
        <v>318571216.83878398</v>
      </c>
    </row>
    <row r="48" spans="1:9" x14ac:dyDescent="0.2">
      <c r="A48" s="76"/>
      <c r="B48" s="77">
        <v>12</v>
      </c>
      <c r="C48" s="78" t="s">
        <v>153</v>
      </c>
      <c r="D48" s="79">
        <v>0</v>
      </c>
      <c r="E48" s="79">
        <v>8400000</v>
      </c>
      <c r="F48" s="79">
        <v>0</v>
      </c>
      <c r="G48" s="79">
        <v>0</v>
      </c>
      <c r="H48" s="79">
        <v>0</v>
      </c>
      <c r="I48" s="79">
        <v>0</v>
      </c>
    </row>
    <row r="49" spans="1:9" x14ac:dyDescent="0.2">
      <c r="A49" s="76"/>
      <c r="B49" s="77">
        <v>13</v>
      </c>
      <c r="C49" s="78" t="s">
        <v>154</v>
      </c>
      <c r="D49" s="79">
        <v>0</v>
      </c>
      <c r="E49" s="79">
        <v>170640000</v>
      </c>
      <c r="F49" s="79">
        <f t="shared" ref="F49:I49" si="13">E49+(E49*3%)</f>
        <v>175759200</v>
      </c>
      <c r="G49" s="79">
        <f t="shared" si="13"/>
        <v>181031976</v>
      </c>
      <c r="H49" s="79">
        <f t="shared" si="13"/>
        <v>186462935.28</v>
      </c>
      <c r="I49" s="79">
        <f t="shared" si="13"/>
        <v>192056823.33840001</v>
      </c>
    </row>
    <row r="50" spans="1:9" x14ac:dyDescent="0.2">
      <c r="A50" s="76"/>
      <c r="B50" s="77">
        <v>14</v>
      </c>
      <c r="C50" s="78" t="s">
        <v>155</v>
      </c>
      <c r="D50" s="79">
        <v>0</v>
      </c>
      <c r="E50" s="79">
        <v>113760000</v>
      </c>
      <c r="F50" s="79">
        <f t="shared" ref="F50:I50" si="14">E50+(E50*3%)</f>
        <v>117172800</v>
      </c>
      <c r="G50" s="79">
        <f t="shared" si="14"/>
        <v>120687984</v>
      </c>
      <c r="H50" s="79">
        <f t="shared" si="14"/>
        <v>124308623.52</v>
      </c>
      <c r="I50" s="79">
        <f t="shared" si="14"/>
        <v>128037882.22559999</v>
      </c>
    </row>
    <row r="51" spans="1:9" x14ac:dyDescent="0.2">
      <c r="A51" s="76"/>
      <c r="B51" s="77">
        <v>15</v>
      </c>
      <c r="C51" s="78" t="s">
        <v>156</v>
      </c>
      <c r="D51" s="79">
        <v>0</v>
      </c>
      <c r="E51" s="79">
        <v>227520000</v>
      </c>
      <c r="F51" s="79">
        <f t="shared" ref="F51:I51" si="15">E51+(E51*3%)</f>
        <v>234345600</v>
      </c>
      <c r="G51" s="79">
        <f t="shared" si="15"/>
        <v>241375968</v>
      </c>
      <c r="H51" s="79">
        <f t="shared" si="15"/>
        <v>248617247.03999999</v>
      </c>
      <c r="I51" s="79">
        <f t="shared" si="15"/>
        <v>256075764.45119998</v>
      </c>
    </row>
    <row r="52" spans="1:9" x14ac:dyDescent="0.2">
      <c r="A52" s="76"/>
      <c r="B52" s="77">
        <v>16</v>
      </c>
      <c r="C52" s="78" t="s">
        <v>157</v>
      </c>
      <c r="D52" s="79">
        <v>400000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</row>
    <row r="53" spans="1:9" x14ac:dyDescent="0.2">
      <c r="A53" s="76"/>
      <c r="B53" s="77">
        <v>17</v>
      </c>
      <c r="C53" s="78" t="s">
        <v>158</v>
      </c>
      <c r="D53" s="79">
        <v>0</v>
      </c>
      <c r="E53" s="79">
        <v>1400000</v>
      </c>
      <c r="F53" s="79">
        <f t="shared" ref="F53:I53" si="16">E53+(E53*3%)</f>
        <v>1442000</v>
      </c>
      <c r="G53" s="79">
        <f t="shared" si="16"/>
        <v>1485260</v>
      </c>
      <c r="H53" s="79">
        <f t="shared" si="16"/>
        <v>1529817.8</v>
      </c>
      <c r="I53" s="79">
        <f t="shared" si="16"/>
        <v>1575712.334</v>
      </c>
    </row>
    <row r="54" spans="1:9" x14ac:dyDescent="0.2">
      <c r="A54" s="76"/>
      <c r="B54" s="77">
        <v>18</v>
      </c>
      <c r="C54" s="78" t="s">
        <v>159</v>
      </c>
      <c r="D54" s="79">
        <v>0</v>
      </c>
      <c r="E54" s="79">
        <f>900000*6*12</f>
        <v>64800000</v>
      </c>
      <c r="F54" s="79">
        <f t="shared" ref="F54:I54" si="17">E54+(E54*3%)</f>
        <v>66744000</v>
      </c>
      <c r="G54" s="79">
        <f t="shared" si="17"/>
        <v>68746320</v>
      </c>
      <c r="H54" s="79">
        <f t="shared" si="17"/>
        <v>70808709.599999994</v>
      </c>
      <c r="I54" s="79">
        <f t="shared" si="17"/>
        <v>72932970.887999997</v>
      </c>
    </row>
    <row r="55" spans="1:9" x14ac:dyDescent="0.2">
      <c r="A55" s="76"/>
      <c r="B55" s="77">
        <v>19</v>
      </c>
      <c r="C55" s="78" t="s">
        <v>160</v>
      </c>
      <c r="D55" s="79">
        <f>2*410999</f>
        <v>821998</v>
      </c>
      <c r="E55" s="89"/>
      <c r="F55" s="79">
        <v>50000</v>
      </c>
      <c r="G55" s="89"/>
      <c r="H55" s="79">
        <v>100000</v>
      </c>
      <c r="I55" s="89"/>
    </row>
    <row r="56" spans="1:9" x14ac:dyDescent="0.2">
      <c r="A56" s="76"/>
      <c r="B56" s="77">
        <v>20</v>
      </c>
      <c r="C56" s="78" t="s">
        <v>161</v>
      </c>
      <c r="D56" s="79">
        <f>36000*60</f>
        <v>2160000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</row>
    <row r="57" spans="1:9" x14ac:dyDescent="0.2">
      <c r="A57" s="76"/>
      <c r="B57" s="77">
        <v>21</v>
      </c>
      <c r="C57" s="78" t="s">
        <v>162</v>
      </c>
      <c r="D57" s="79">
        <v>0</v>
      </c>
      <c r="E57" s="79">
        <f>80000*4</f>
        <v>320000</v>
      </c>
      <c r="F57" s="79">
        <f t="shared" ref="F57:I57" si="18">E57+(E57*3%)</f>
        <v>329600</v>
      </c>
      <c r="G57" s="79">
        <f t="shared" si="18"/>
        <v>339488</v>
      </c>
      <c r="H57" s="79">
        <f t="shared" si="18"/>
        <v>349672.64</v>
      </c>
      <c r="I57" s="79">
        <f t="shared" si="18"/>
        <v>360162.81920000003</v>
      </c>
    </row>
    <row r="58" spans="1:9" x14ac:dyDescent="0.2">
      <c r="A58" s="76"/>
      <c r="B58" s="77">
        <v>22</v>
      </c>
      <c r="C58" s="78" t="s">
        <v>163</v>
      </c>
      <c r="D58" s="79">
        <v>0</v>
      </c>
      <c r="E58" s="79">
        <v>1740000</v>
      </c>
      <c r="F58" s="79">
        <f t="shared" ref="F58:I58" si="19">E58+(E58*3%)</f>
        <v>1792200</v>
      </c>
      <c r="G58" s="79">
        <f t="shared" si="19"/>
        <v>1845966</v>
      </c>
      <c r="H58" s="79">
        <f t="shared" si="19"/>
        <v>1901344.98</v>
      </c>
      <c r="I58" s="79">
        <f t="shared" si="19"/>
        <v>1958385.3293999999</v>
      </c>
    </row>
    <row r="59" spans="1:9" x14ac:dyDescent="0.2">
      <c r="A59" s="76"/>
      <c r="B59" s="77">
        <v>23</v>
      </c>
      <c r="C59" s="78" t="s">
        <v>164</v>
      </c>
      <c r="D59" s="79">
        <v>0</v>
      </c>
      <c r="E59" s="79">
        <v>32555000</v>
      </c>
      <c r="F59" s="79">
        <f t="shared" ref="F59:I59" si="20">E59+(E59*3%)</f>
        <v>33531650</v>
      </c>
      <c r="G59" s="79">
        <f t="shared" si="20"/>
        <v>34537599.5</v>
      </c>
      <c r="H59" s="79">
        <f t="shared" si="20"/>
        <v>35573727.484999999</v>
      </c>
      <c r="I59" s="79">
        <f t="shared" si="20"/>
        <v>36640939.309550002</v>
      </c>
    </row>
    <row r="60" spans="1:9" x14ac:dyDescent="0.2">
      <c r="A60" s="76"/>
      <c r="B60" s="77">
        <v>24</v>
      </c>
      <c r="C60" s="78" t="s">
        <v>165</v>
      </c>
      <c r="D60" s="79">
        <v>0</v>
      </c>
      <c r="E60" s="79">
        <f>150000*8</f>
        <v>1200000</v>
      </c>
      <c r="F60" s="79">
        <f t="shared" ref="F60:I60" si="21">E60+(E60*3%)</f>
        <v>1236000</v>
      </c>
      <c r="G60" s="79">
        <f t="shared" si="21"/>
        <v>1273080</v>
      </c>
      <c r="H60" s="79">
        <f t="shared" si="21"/>
        <v>1311272.3999999999</v>
      </c>
      <c r="I60" s="79">
        <f t="shared" si="21"/>
        <v>1350610.5719999999</v>
      </c>
    </row>
    <row r="61" spans="1:9" x14ac:dyDescent="0.2">
      <c r="A61" s="76"/>
      <c r="B61" s="77">
        <v>25</v>
      </c>
      <c r="C61" s="78" t="s">
        <v>166</v>
      </c>
      <c r="D61" s="79">
        <v>0</v>
      </c>
      <c r="E61" s="79">
        <v>800000</v>
      </c>
      <c r="F61" s="79">
        <f t="shared" ref="F61:I61" si="22">E61+(E61*3%)</f>
        <v>824000</v>
      </c>
      <c r="G61" s="79">
        <f t="shared" si="22"/>
        <v>848720</v>
      </c>
      <c r="H61" s="79">
        <f t="shared" si="22"/>
        <v>874181.6</v>
      </c>
      <c r="I61" s="79">
        <f t="shared" si="22"/>
        <v>900407.04799999995</v>
      </c>
    </row>
    <row r="62" spans="1:9" x14ac:dyDescent="0.2">
      <c r="A62" s="76"/>
      <c r="B62" s="77">
        <v>26</v>
      </c>
      <c r="C62" s="78" t="s">
        <v>167</v>
      </c>
      <c r="D62" s="79">
        <v>0</v>
      </c>
      <c r="E62" s="79">
        <v>1056000</v>
      </c>
      <c r="F62" s="79">
        <f t="shared" ref="F62:I62" si="23">E62+(E62*3%)</f>
        <v>1087680</v>
      </c>
      <c r="G62" s="79">
        <f t="shared" si="23"/>
        <v>1120310.3999999999</v>
      </c>
      <c r="H62" s="79">
        <f t="shared" si="23"/>
        <v>1153919.7119999998</v>
      </c>
      <c r="I62" s="79">
        <f t="shared" si="23"/>
        <v>1188537.3033599998</v>
      </c>
    </row>
    <row r="63" spans="1:9" x14ac:dyDescent="0.2">
      <c r="A63" s="76"/>
      <c r="B63" s="77">
        <v>27</v>
      </c>
      <c r="C63" s="78" t="s">
        <v>168</v>
      </c>
      <c r="D63" s="79">
        <f>(623*3600)</f>
        <v>2242800</v>
      </c>
      <c r="E63" s="89"/>
      <c r="F63" s="79">
        <f>(8463*3600)</f>
        <v>30466800</v>
      </c>
      <c r="G63" s="78"/>
      <c r="H63" s="78"/>
      <c r="I63" s="78"/>
    </row>
    <row r="64" spans="1:9" x14ac:dyDescent="0.2">
      <c r="A64" s="76"/>
      <c r="B64" s="77">
        <v>28</v>
      </c>
      <c r="C64" s="78"/>
      <c r="D64" s="78"/>
      <c r="E64" s="78"/>
      <c r="F64" s="78"/>
      <c r="G64" s="78"/>
      <c r="H64" s="78"/>
      <c r="I64" s="78"/>
    </row>
    <row r="65" spans="1:9" x14ac:dyDescent="0.2">
      <c r="A65" s="91"/>
      <c r="B65" s="135" t="s">
        <v>9</v>
      </c>
      <c r="C65" s="119"/>
      <c r="D65" s="92">
        <f t="shared" ref="D65:I65" si="24">SUM(D37:D64)</f>
        <v>84402011</v>
      </c>
      <c r="E65" s="92">
        <f t="shared" si="24"/>
        <v>1454222506</v>
      </c>
      <c r="F65" s="92">
        <f t="shared" si="24"/>
        <v>1519576398</v>
      </c>
      <c r="G65" s="92">
        <f t="shared" si="24"/>
        <v>1533593802.7600002</v>
      </c>
      <c r="H65" s="92">
        <f t="shared" si="24"/>
        <v>1579564033.6627996</v>
      </c>
      <c r="I65" s="92">
        <f t="shared" si="24"/>
        <v>1674901478.4926844</v>
      </c>
    </row>
    <row r="66" spans="1:9" x14ac:dyDescent="0.2">
      <c r="A66" s="1"/>
    </row>
    <row r="67" spans="1:9" x14ac:dyDescent="0.2">
      <c r="A67" s="24"/>
      <c r="B67" s="136" t="s">
        <v>169</v>
      </c>
      <c r="C67" s="133"/>
      <c r="D67" s="133"/>
      <c r="E67" s="133"/>
      <c r="F67" s="133"/>
      <c r="G67" s="133"/>
      <c r="H67" s="133"/>
      <c r="I67" s="133"/>
    </row>
    <row r="68" spans="1:9" x14ac:dyDescent="0.2">
      <c r="A68" s="93"/>
      <c r="B68" s="94" t="s">
        <v>112</v>
      </c>
      <c r="C68" s="95" t="s">
        <v>114</v>
      </c>
      <c r="D68" s="95" t="s">
        <v>116</v>
      </c>
      <c r="E68" s="95" t="s">
        <v>117</v>
      </c>
      <c r="F68" s="95" t="s">
        <v>118</v>
      </c>
      <c r="G68" s="95" t="s">
        <v>119</v>
      </c>
      <c r="H68" s="95" t="s">
        <v>120</v>
      </c>
      <c r="I68" s="95" t="s">
        <v>121</v>
      </c>
    </row>
    <row r="69" spans="1:9" x14ac:dyDescent="0.2">
      <c r="A69" s="96"/>
      <c r="B69" s="97">
        <v>1</v>
      </c>
      <c r="C69" s="98" t="s">
        <v>170</v>
      </c>
      <c r="D69" s="99">
        <v>0</v>
      </c>
      <c r="E69" s="99">
        <f>12*7000000</f>
        <v>84000000</v>
      </c>
      <c r="F69" s="99">
        <f t="shared" ref="F69:I69" si="25">E69*(1+3.5%)</f>
        <v>86940000</v>
      </c>
      <c r="G69" s="99">
        <f t="shared" si="25"/>
        <v>89982900</v>
      </c>
      <c r="H69" s="99">
        <f t="shared" si="25"/>
        <v>93132301.5</v>
      </c>
      <c r="I69" s="99">
        <f t="shared" si="25"/>
        <v>96391932.052499995</v>
      </c>
    </row>
    <row r="70" spans="1:9" x14ac:dyDescent="0.2">
      <c r="A70" s="96"/>
      <c r="B70" s="97">
        <v>2</v>
      </c>
      <c r="C70" s="98" t="s">
        <v>171</v>
      </c>
      <c r="D70" s="99">
        <v>0</v>
      </c>
      <c r="E70" s="99">
        <f>12*6000000</f>
        <v>72000000</v>
      </c>
      <c r="F70" s="99">
        <f t="shared" ref="F70:I70" si="26">E70*(1+3.5%)</f>
        <v>74520000</v>
      </c>
      <c r="G70" s="99">
        <f t="shared" si="26"/>
        <v>77128200</v>
      </c>
      <c r="H70" s="99">
        <f t="shared" si="26"/>
        <v>79827687</v>
      </c>
      <c r="I70" s="99">
        <f t="shared" si="26"/>
        <v>82621656.044999987</v>
      </c>
    </row>
    <row r="71" spans="1:9" x14ac:dyDescent="0.2">
      <c r="A71" s="96"/>
      <c r="B71" s="97">
        <v>3</v>
      </c>
      <c r="C71" s="98" t="s">
        <v>172</v>
      </c>
      <c r="D71" s="99">
        <v>0</v>
      </c>
      <c r="E71" s="99">
        <f>828116*12*4</f>
        <v>39749568</v>
      </c>
      <c r="F71" s="99">
        <f t="shared" ref="F71:I71" si="27">E71*(1+3.5%)</f>
        <v>41140802.879999995</v>
      </c>
      <c r="G71" s="99">
        <f t="shared" si="27"/>
        <v>42580730.980799995</v>
      </c>
      <c r="H71" s="99">
        <f t="shared" si="27"/>
        <v>44071056.565127991</v>
      </c>
      <c r="I71" s="99">
        <f t="shared" si="27"/>
        <v>45613543.544907466</v>
      </c>
    </row>
    <row r="72" spans="1:9" x14ac:dyDescent="0.2">
      <c r="A72" s="96"/>
      <c r="B72" s="97">
        <v>4</v>
      </c>
      <c r="C72" s="98" t="s">
        <v>173</v>
      </c>
      <c r="D72" s="99">
        <v>0</v>
      </c>
      <c r="E72" s="99">
        <f>3000000*12</f>
        <v>36000000</v>
      </c>
      <c r="F72" s="99">
        <f t="shared" ref="F72:I72" si="28">E72*(1+3.5%)</f>
        <v>37260000</v>
      </c>
      <c r="G72" s="99">
        <f t="shared" si="28"/>
        <v>38564100</v>
      </c>
      <c r="H72" s="99">
        <f t="shared" si="28"/>
        <v>39913843.5</v>
      </c>
      <c r="I72" s="99">
        <f t="shared" si="28"/>
        <v>41310828.022499993</v>
      </c>
    </row>
    <row r="73" spans="1:9" x14ac:dyDescent="0.2">
      <c r="A73" s="96"/>
      <c r="B73" s="97">
        <v>5</v>
      </c>
      <c r="C73" s="98" t="s">
        <v>174</v>
      </c>
      <c r="D73" s="99">
        <v>0</v>
      </c>
      <c r="E73" s="99">
        <v>40000000</v>
      </c>
      <c r="F73" s="99">
        <f t="shared" ref="F73:I73" si="29">E73*(1+3.5%)</f>
        <v>41400000</v>
      </c>
      <c r="G73" s="99">
        <f t="shared" si="29"/>
        <v>42849000</v>
      </c>
      <c r="H73" s="99">
        <f t="shared" si="29"/>
        <v>44348715</v>
      </c>
      <c r="I73" s="99">
        <f t="shared" si="29"/>
        <v>45900920.024999999</v>
      </c>
    </row>
    <row r="74" spans="1:9" x14ac:dyDescent="0.2">
      <c r="A74" s="96"/>
      <c r="B74" s="97">
        <v>6</v>
      </c>
      <c r="C74" s="98" t="s">
        <v>175</v>
      </c>
      <c r="D74" s="99">
        <v>0</v>
      </c>
      <c r="E74" s="99">
        <v>30000000</v>
      </c>
      <c r="F74" s="99">
        <f t="shared" ref="F74:I74" si="30">E74*(1+3.5%)</f>
        <v>31049999.999999996</v>
      </c>
      <c r="G74" s="99">
        <f t="shared" si="30"/>
        <v>32136749.999999993</v>
      </c>
      <c r="H74" s="99">
        <f t="shared" si="30"/>
        <v>33261536.249999989</v>
      </c>
      <c r="I74" s="99">
        <f t="shared" si="30"/>
        <v>34425690.018749982</v>
      </c>
    </row>
    <row r="75" spans="1:9" x14ac:dyDescent="0.2">
      <c r="A75" s="96"/>
      <c r="B75" s="97">
        <v>7</v>
      </c>
      <c r="C75" s="98" t="s">
        <v>176</v>
      </c>
      <c r="D75" s="99">
        <v>0</v>
      </c>
      <c r="E75" s="99">
        <f>400000*12</f>
        <v>4800000</v>
      </c>
      <c r="F75" s="99">
        <f t="shared" ref="F75:I75" si="31">E75*(1+3.5%)</f>
        <v>4968000</v>
      </c>
      <c r="G75" s="99">
        <f t="shared" si="31"/>
        <v>5141880</v>
      </c>
      <c r="H75" s="99">
        <f t="shared" si="31"/>
        <v>5321845.8</v>
      </c>
      <c r="I75" s="99">
        <f t="shared" si="31"/>
        <v>5508110.402999999</v>
      </c>
    </row>
    <row r="76" spans="1:9" x14ac:dyDescent="0.2">
      <c r="A76" s="96"/>
      <c r="B76" s="97">
        <v>8</v>
      </c>
      <c r="C76" s="98" t="s">
        <v>177</v>
      </c>
      <c r="D76" s="99">
        <v>0</v>
      </c>
      <c r="E76" s="99">
        <v>151777</v>
      </c>
      <c r="F76" s="99">
        <v>50000</v>
      </c>
      <c r="G76" s="99">
        <v>30000</v>
      </c>
      <c r="H76" s="99">
        <v>55000</v>
      </c>
      <c r="I76" s="99">
        <v>40000</v>
      </c>
    </row>
    <row r="77" spans="1:9" x14ac:dyDescent="0.2">
      <c r="A77" s="96"/>
      <c r="B77" s="97">
        <v>9</v>
      </c>
      <c r="C77" s="98" t="s">
        <v>178</v>
      </c>
      <c r="D77" s="99">
        <v>0</v>
      </c>
      <c r="E77" s="99">
        <f>3*100000</f>
        <v>300000</v>
      </c>
      <c r="F77" s="89"/>
      <c r="G77" s="99">
        <f>E77*(1+3.5%)</f>
        <v>310500</v>
      </c>
      <c r="H77" s="89"/>
      <c r="I77" s="89"/>
    </row>
    <row r="78" spans="1:9" x14ac:dyDescent="0.2">
      <c r="A78" s="96"/>
      <c r="B78" s="97">
        <v>10</v>
      </c>
      <c r="C78" s="78" t="s">
        <v>179</v>
      </c>
      <c r="D78" s="79">
        <v>0</v>
      </c>
      <c r="E78" s="79">
        <f>40000*6</f>
        <v>240000</v>
      </c>
      <c r="F78" s="79">
        <f t="shared" ref="F78:I78" si="32">E78+(E78*3%)</f>
        <v>247200</v>
      </c>
      <c r="G78" s="79">
        <f t="shared" si="32"/>
        <v>254616</v>
      </c>
      <c r="H78" s="79">
        <f t="shared" si="32"/>
        <v>262254.48</v>
      </c>
      <c r="I78" s="79">
        <f t="shared" si="32"/>
        <v>270122.11439999996</v>
      </c>
    </row>
    <row r="79" spans="1:9" x14ac:dyDescent="0.2">
      <c r="A79" s="96"/>
      <c r="B79" s="97">
        <v>11</v>
      </c>
      <c r="C79" s="78" t="s">
        <v>180</v>
      </c>
      <c r="D79" s="79">
        <v>0</v>
      </c>
      <c r="E79" s="79">
        <v>600000</v>
      </c>
      <c r="F79" s="79">
        <f t="shared" ref="F79:I79" si="33">E79+(E79*3%)</f>
        <v>618000</v>
      </c>
      <c r="G79" s="79">
        <f t="shared" si="33"/>
        <v>636540</v>
      </c>
      <c r="H79" s="79">
        <f t="shared" si="33"/>
        <v>655636.19999999995</v>
      </c>
      <c r="I79" s="79">
        <f t="shared" si="33"/>
        <v>675305.28599999996</v>
      </c>
    </row>
    <row r="80" spans="1:9" x14ac:dyDescent="0.2">
      <c r="A80" s="96"/>
      <c r="B80" s="97">
        <v>12</v>
      </c>
      <c r="C80" s="78" t="s">
        <v>181</v>
      </c>
      <c r="D80" s="79">
        <v>0</v>
      </c>
      <c r="E80" s="79">
        <v>1180000</v>
      </c>
      <c r="F80" s="79">
        <f t="shared" ref="F80:I80" si="34">E80+(E80*3%)</f>
        <v>1215400</v>
      </c>
      <c r="G80" s="79">
        <f t="shared" si="34"/>
        <v>1251862</v>
      </c>
      <c r="H80" s="79">
        <f t="shared" si="34"/>
        <v>1289417.8600000001</v>
      </c>
      <c r="I80" s="79">
        <f t="shared" si="34"/>
        <v>1328100.3958000001</v>
      </c>
    </row>
    <row r="81" spans="1:9" x14ac:dyDescent="0.2">
      <c r="A81" s="96"/>
      <c r="B81" s="97">
        <v>13</v>
      </c>
      <c r="C81" s="78" t="s">
        <v>182</v>
      </c>
      <c r="D81" s="79">
        <v>0</v>
      </c>
      <c r="E81" s="79">
        <v>280000</v>
      </c>
      <c r="F81" s="79">
        <f t="shared" ref="F81:I81" si="35">E81+(E81*3%)</f>
        <v>288400</v>
      </c>
      <c r="G81" s="79">
        <f t="shared" si="35"/>
        <v>297052</v>
      </c>
      <c r="H81" s="79">
        <f t="shared" si="35"/>
        <v>305963.56</v>
      </c>
      <c r="I81" s="79">
        <f t="shared" si="35"/>
        <v>315142.46679999999</v>
      </c>
    </row>
    <row r="82" spans="1:9" x14ac:dyDescent="0.2">
      <c r="A82" s="96"/>
      <c r="B82" s="97">
        <v>14</v>
      </c>
      <c r="C82" s="78" t="s">
        <v>183</v>
      </c>
      <c r="D82" s="79">
        <v>0</v>
      </c>
      <c r="E82" s="79">
        <v>300000</v>
      </c>
      <c r="F82" s="79">
        <f t="shared" ref="F82:I82" si="36">E82+(E82*3%)</f>
        <v>309000</v>
      </c>
      <c r="G82" s="79">
        <f t="shared" si="36"/>
        <v>318270</v>
      </c>
      <c r="H82" s="79">
        <f t="shared" si="36"/>
        <v>327818.09999999998</v>
      </c>
      <c r="I82" s="79">
        <f t="shared" si="36"/>
        <v>337652.64299999998</v>
      </c>
    </row>
    <row r="83" spans="1:9" x14ac:dyDescent="0.2">
      <c r="A83" s="96"/>
      <c r="B83" s="97">
        <v>15</v>
      </c>
      <c r="C83" s="78" t="s">
        <v>184</v>
      </c>
      <c r="D83" s="79">
        <v>0</v>
      </c>
      <c r="E83" s="79">
        <f>80000*4</f>
        <v>320000</v>
      </c>
      <c r="F83" s="79">
        <f t="shared" ref="F83:I83" si="37">E83*(1 + 4%)</f>
        <v>332800</v>
      </c>
      <c r="G83" s="79">
        <f t="shared" si="37"/>
        <v>346112</v>
      </c>
      <c r="H83" s="79">
        <f t="shared" si="37"/>
        <v>359956.48000000004</v>
      </c>
      <c r="I83" s="79">
        <f t="shared" si="37"/>
        <v>374354.73920000007</v>
      </c>
    </row>
    <row r="84" spans="1:9" x14ac:dyDescent="0.2">
      <c r="A84" s="96"/>
      <c r="B84" s="97">
        <v>16</v>
      </c>
      <c r="C84" s="78" t="s">
        <v>185</v>
      </c>
      <c r="D84" s="79">
        <v>0</v>
      </c>
      <c r="E84" s="79">
        <f>1200000*12</f>
        <v>14400000</v>
      </c>
      <c r="F84" s="79">
        <f t="shared" ref="F84:I84" si="38">E84*(1+3.5%)</f>
        <v>14903999.999999998</v>
      </c>
      <c r="G84" s="79">
        <f t="shared" si="38"/>
        <v>15425639.999999996</v>
      </c>
      <c r="H84" s="79">
        <f t="shared" si="38"/>
        <v>15965537.399999995</v>
      </c>
      <c r="I84" s="79">
        <f t="shared" si="38"/>
        <v>16524331.208999993</v>
      </c>
    </row>
    <row r="85" spans="1:9" x14ac:dyDescent="0.2">
      <c r="A85" s="96"/>
      <c r="B85" s="97">
        <v>17</v>
      </c>
      <c r="C85" s="100"/>
      <c r="D85" s="89"/>
      <c r="E85" s="89"/>
      <c r="F85" s="89"/>
      <c r="G85" s="89"/>
      <c r="H85" s="89"/>
      <c r="I85" s="89"/>
    </row>
    <row r="86" spans="1:9" x14ac:dyDescent="0.2">
      <c r="A86" s="96"/>
      <c r="B86" s="97">
        <v>18</v>
      </c>
      <c r="C86" s="78"/>
      <c r="D86" s="89"/>
      <c r="E86" s="89"/>
      <c r="F86" s="89"/>
      <c r="G86" s="89"/>
      <c r="H86" s="89"/>
      <c r="I86" s="89"/>
    </row>
    <row r="87" spans="1:9" x14ac:dyDescent="0.2">
      <c r="A87" s="96"/>
      <c r="B87" s="97">
        <v>19</v>
      </c>
      <c r="C87" s="78"/>
      <c r="D87" s="89"/>
      <c r="E87" s="89"/>
      <c r="F87" s="89"/>
      <c r="G87" s="89"/>
      <c r="H87" s="89"/>
      <c r="I87" s="89"/>
    </row>
    <row r="88" spans="1:9" x14ac:dyDescent="0.2">
      <c r="A88" s="96"/>
      <c r="B88" s="97">
        <v>20</v>
      </c>
      <c r="C88" s="78"/>
      <c r="D88" s="89"/>
      <c r="E88" s="89"/>
      <c r="F88" s="89"/>
      <c r="G88" s="89"/>
      <c r="H88" s="89"/>
      <c r="I88" s="89"/>
    </row>
    <row r="89" spans="1:9" x14ac:dyDescent="0.2">
      <c r="A89" s="96"/>
      <c r="B89" s="97">
        <v>21</v>
      </c>
      <c r="C89" s="78"/>
      <c r="D89" s="89"/>
      <c r="E89" s="89"/>
      <c r="F89" s="89"/>
      <c r="G89" s="89"/>
      <c r="H89" s="89"/>
      <c r="I89" s="89"/>
    </row>
    <row r="90" spans="1:9" x14ac:dyDescent="0.2">
      <c r="A90" s="96"/>
      <c r="B90" s="97">
        <v>22</v>
      </c>
      <c r="C90" s="78"/>
      <c r="D90" s="89"/>
      <c r="E90" s="89"/>
      <c r="F90" s="89"/>
      <c r="G90" s="89"/>
      <c r="H90" s="89"/>
      <c r="I90" s="89"/>
    </row>
    <row r="91" spans="1:9" x14ac:dyDescent="0.2">
      <c r="A91" s="96"/>
      <c r="B91" s="97">
        <v>23</v>
      </c>
      <c r="C91" s="78"/>
      <c r="D91" s="89"/>
      <c r="E91" s="89"/>
      <c r="F91" s="89"/>
      <c r="G91" s="89"/>
      <c r="H91" s="89"/>
      <c r="I91" s="89"/>
    </row>
    <row r="92" spans="1:9" x14ac:dyDescent="0.2">
      <c r="A92" s="96"/>
      <c r="B92" s="97">
        <v>24</v>
      </c>
      <c r="C92" s="78"/>
      <c r="D92" s="89"/>
      <c r="E92" s="89"/>
      <c r="F92" s="89"/>
      <c r="G92" s="89"/>
      <c r="H92" s="89"/>
      <c r="I92" s="89"/>
    </row>
    <row r="93" spans="1:9" x14ac:dyDescent="0.2">
      <c r="A93" s="96"/>
      <c r="B93" s="97">
        <v>25</v>
      </c>
      <c r="C93" s="78"/>
      <c r="D93" s="89"/>
      <c r="E93" s="89"/>
      <c r="F93" s="89"/>
      <c r="G93" s="89"/>
      <c r="H93" s="89"/>
      <c r="I93" s="89"/>
    </row>
    <row r="94" spans="1:9" x14ac:dyDescent="0.2">
      <c r="A94" s="96"/>
      <c r="B94" s="97">
        <v>26</v>
      </c>
      <c r="C94" s="78"/>
      <c r="D94" s="89"/>
      <c r="E94" s="89"/>
      <c r="F94" s="89"/>
      <c r="G94" s="89"/>
      <c r="H94" s="89"/>
      <c r="I94" s="89"/>
    </row>
    <row r="95" spans="1:9" x14ac:dyDescent="0.2">
      <c r="A95" s="96"/>
      <c r="B95" s="97">
        <v>27</v>
      </c>
      <c r="C95" s="78"/>
      <c r="D95" s="89"/>
      <c r="E95" s="89"/>
      <c r="F95" s="89"/>
      <c r="G95" s="89"/>
      <c r="H95" s="89"/>
      <c r="I95" s="89"/>
    </row>
    <row r="96" spans="1:9" x14ac:dyDescent="0.2">
      <c r="A96" s="96"/>
      <c r="B96" s="97">
        <v>28</v>
      </c>
      <c r="C96" s="78"/>
      <c r="D96" s="89"/>
      <c r="E96" s="89"/>
      <c r="F96" s="89"/>
      <c r="G96" s="89"/>
      <c r="H96" s="89"/>
      <c r="I96" s="89"/>
    </row>
    <row r="97" spans="1:9" x14ac:dyDescent="0.2">
      <c r="A97" s="96"/>
      <c r="B97" s="97">
        <v>29</v>
      </c>
      <c r="C97" s="78"/>
      <c r="D97" s="89"/>
      <c r="E97" s="89"/>
      <c r="F97" s="89"/>
      <c r="G97" s="89"/>
      <c r="H97" s="89"/>
      <c r="I97" s="89"/>
    </row>
    <row r="98" spans="1:9" x14ac:dyDescent="0.2">
      <c r="A98" s="96"/>
      <c r="B98" s="97">
        <v>30</v>
      </c>
      <c r="C98" s="78"/>
      <c r="D98" s="89"/>
      <c r="E98" s="89"/>
      <c r="F98" s="89"/>
      <c r="G98" s="89"/>
      <c r="H98" s="89"/>
      <c r="I98" s="89"/>
    </row>
    <row r="99" spans="1:9" x14ac:dyDescent="0.2">
      <c r="A99" s="93"/>
      <c r="B99" s="101" t="s">
        <v>186</v>
      </c>
      <c r="C99" s="102"/>
      <c r="D99" s="103">
        <f t="shared" ref="D99:I99" si="39">SUM(D69:D98)</f>
        <v>0</v>
      </c>
      <c r="E99" s="103">
        <f t="shared" si="39"/>
        <v>324321345</v>
      </c>
      <c r="F99" s="103">
        <f t="shared" si="39"/>
        <v>335243602.88</v>
      </c>
      <c r="G99" s="103">
        <f t="shared" si="39"/>
        <v>347254152.98080003</v>
      </c>
      <c r="H99" s="103">
        <f t="shared" si="39"/>
        <v>359098569.69512802</v>
      </c>
      <c r="I99" s="103">
        <f t="shared" si="39"/>
        <v>371637688.96585739</v>
      </c>
    </row>
    <row r="100" spans="1:9" x14ac:dyDescent="0.2">
      <c r="A100" s="1"/>
    </row>
    <row r="101" spans="1:9" x14ac:dyDescent="0.2">
      <c r="A101" s="24"/>
      <c r="B101" s="136" t="s">
        <v>187</v>
      </c>
      <c r="C101" s="133"/>
      <c r="D101" s="133"/>
      <c r="E101" s="133"/>
      <c r="F101" s="133"/>
      <c r="G101" s="133"/>
      <c r="H101" s="133"/>
      <c r="I101" s="133"/>
    </row>
    <row r="102" spans="1:9" x14ac:dyDescent="0.2">
      <c r="A102" s="70"/>
      <c r="B102" s="72" t="s">
        <v>112</v>
      </c>
      <c r="C102" s="74" t="s">
        <v>114</v>
      </c>
      <c r="D102" s="74" t="s">
        <v>116</v>
      </c>
      <c r="E102" s="74" t="s">
        <v>117</v>
      </c>
      <c r="F102" s="74" t="s">
        <v>118</v>
      </c>
      <c r="G102" s="74" t="s">
        <v>119</v>
      </c>
      <c r="H102" s="74" t="s">
        <v>120</v>
      </c>
      <c r="I102" s="74" t="s">
        <v>121</v>
      </c>
    </row>
    <row r="103" spans="1:9" x14ac:dyDescent="0.2">
      <c r="A103" s="76"/>
      <c r="B103" s="77">
        <v>1</v>
      </c>
      <c r="C103" s="78" t="s">
        <v>188</v>
      </c>
      <c r="D103" s="79">
        <v>80000000</v>
      </c>
      <c r="E103" s="89"/>
      <c r="F103" s="104"/>
      <c r="G103" s="89"/>
      <c r="H103" s="89"/>
      <c r="I103" s="104"/>
    </row>
    <row r="104" spans="1:9" x14ac:dyDescent="0.2">
      <c r="A104" s="76"/>
      <c r="B104" s="77">
        <v>2</v>
      </c>
      <c r="C104" s="78" t="s">
        <v>189</v>
      </c>
      <c r="D104" s="79">
        <v>4367300</v>
      </c>
      <c r="E104" s="89"/>
      <c r="F104" s="89"/>
      <c r="G104" s="79">
        <v>500000</v>
      </c>
      <c r="H104" s="89"/>
      <c r="I104" s="89"/>
    </row>
    <row r="105" spans="1:9" x14ac:dyDescent="0.2">
      <c r="A105" s="76"/>
      <c r="B105" s="77">
        <v>3</v>
      </c>
      <c r="C105" s="105" t="s">
        <v>190</v>
      </c>
      <c r="D105" s="99">
        <f>22000000*5</f>
        <v>110000000</v>
      </c>
      <c r="E105" s="78"/>
      <c r="F105" s="78"/>
      <c r="G105" s="78"/>
      <c r="H105" s="106">
        <v>10000</v>
      </c>
      <c r="I105" s="78"/>
    </row>
    <row r="106" spans="1:9" x14ac:dyDescent="0.2">
      <c r="A106" s="76"/>
      <c r="B106" s="77">
        <v>4</v>
      </c>
      <c r="C106" s="107" t="s">
        <v>191</v>
      </c>
      <c r="D106" s="99">
        <f>197100*2</f>
        <v>394200</v>
      </c>
      <c r="E106" s="89"/>
      <c r="F106" s="89"/>
      <c r="G106" s="89"/>
      <c r="H106" s="89"/>
      <c r="I106" s="89"/>
    </row>
    <row r="107" spans="1:9" x14ac:dyDescent="0.2">
      <c r="A107" s="76"/>
      <c r="B107" s="77">
        <v>5</v>
      </c>
      <c r="C107" s="3"/>
      <c r="D107" s="3"/>
      <c r="E107" s="3"/>
      <c r="F107" s="3"/>
      <c r="G107" s="3"/>
      <c r="H107" s="3"/>
      <c r="I107" s="3"/>
    </row>
    <row r="108" spans="1:9" x14ac:dyDescent="0.2">
      <c r="A108" s="76"/>
      <c r="B108" s="77">
        <v>6</v>
      </c>
      <c r="C108" s="108"/>
      <c r="D108" s="108"/>
      <c r="E108" s="108"/>
      <c r="F108" s="108"/>
      <c r="G108" s="108"/>
      <c r="H108" s="109"/>
      <c r="I108" s="109"/>
    </row>
    <row r="109" spans="1:9" x14ac:dyDescent="0.2">
      <c r="A109" s="76"/>
      <c r="B109" s="77">
        <v>7</v>
      </c>
      <c r="C109" s="78"/>
      <c r="D109" s="89"/>
      <c r="E109" s="89"/>
      <c r="F109" s="89"/>
      <c r="G109" s="89"/>
      <c r="H109" s="89"/>
      <c r="I109" s="89"/>
    </row>
    <row r="110" spans="1:9" x14ac:dyDescent="0.2">
      <c r="A110" s="76"/>
      <c r="B110" s="77">
        <v>8</v>
      </c>
      <c r="C110" s="78"/>
      <c r="D110" s="89"/>
      <c r="E110" s="89"/>
      <c r="F110" s="89"/>
      <c r="G110" s="89"/>
      <c r="H110" s="89"/>
      <c r="I110" s="89"/>
    </row>
    <row r="111" spans="1:9" x14ac:dyDescent="0.2">
      <c r="A111" s="76"/>
      <c r="B111" s="77">
        <v>9</v>
      </c>
      <c r="C111" s="78"/>
      <c r="D111" s="89"/>
      <c r="E111" s="89"/>
      <c r="F111" s="89"/>
      <c r="G111" s="89"/>
      <c r="H111" s="89"/>
      <c r="I111" s="89"/>
    </row>
    <row r="112" spans="1:9" x14ac:dyDescent="0.2">
      <c r="A112" s="76"/>
      <c r="B112" s="77">
        <v>10</v>
      </c>
      <c r="C112" s="78"/>
      <c r="D112" s="89"/>
      <c r="E112" s="89"/>
      <c r="F112" s="89"/>
      <c r="G112" s="89"/>
      <c r="H112" s="89"/>
      <c r="I112" s="89"/>
    </row>
    <row r="113" spans="1:9" x14ac:dyDescent="0.2">
      <c r="A113" s="76"/>
      <c r="B113" s="77">
        <v>11</v>
      </c>
      <c r="C113" s="78"/>
      <c r="D113" s="89"/>
      <c r="E113" s="89"/>
      <c r="F113" s="89"/>
      <c r="G113" s="89"/>
      <c r="H113" s="89"/>
      <c r="I113" s="89"/>
    </row>
    <row r="114" spans="1:9" x14ac:dyDescent="0.2">
      <c r="A114" s="76"/>
      <c r="B114" s="77">
        <v>12</v>
      </c>
      <c r="C114" s="78"/>
      <c r="D114" s="89"/>
      <c r="E114" s="89"/>
      <c r="F114" s="89"/>
      <c r="G114" s="89"/>
      <c r="H114" s="89"/>
      <c r="I114" s="89"/>
    </row>
    <row r="115" spans="1:9" x14ac:dyDescent="0.2">
      <c r="A115" s="76"/>
      <c r="B115" s="77">
        <v>13</v>
      </c>
      <c r="C115" s="78"/>
      <c r="D115" s="89"/>
      <c r="E115" s="89"/>
      <c r="F115" s="89"/>
      <c r="G115" s="89"/>
      <c r="H115" s="89"/>
      <c r="I115" s="89"/>
    </row>
    <row r="116" spans="1:9" x14ac:dyDescent="0.2">
      <c r="A116" s="76"/>
      <c r="B116" s="77">
        <v>14</v>
      </c>
      <c r="C116" s="78"/>
      <c r="D116" s="89"/>
      <c r="E116" s="89"/>
      <c r="F116" s="89"/>
      <c r="G116" s="89"/>
      <c r="H116" s="89"/>
      <c r="I116" s="89"/>
    </row>
    <row r="117" spans="1:9" x14ac:dyDescent="0.2">
      <c r="A117" s="76"/>
      <c r="B117" s="77">
        <v>15</v>
      </c>
      <c r="C117" s="78"/>
      <c r="D117" s="89"/>
      <c r="E117" s="89"/>
      <c r="F117" s="89"/>
      <c r="G117" s="89"/>
      <c r="H117" s="89"/>
      <c r="I117" s="89"/>
    </row>
    <row r="118" spans="1:9" x14ac:dyDescent="0.2">
      <c r="A118" s="76"/>
      <c r="B118" s="77">
        <v>16</v>
      </c>
      <c r="C118" s="78"/>
      <c r="D118" s="89"/>
      <c r="E118" s="89"/>
      <c r="F118" s="89"/>
      <c r="G118" s="89"/>
      <c r="H118" s="89"/>
      <c r="I118" s="89"/>
    </row>
    <row r="119" spans="1:9" x14ac:dyDescent="0.2">
      <c r="A119" s="76"/>
      <c r="B119" s="77">
        <v>17</v>
      </c>
      <c r="C119" s="78"/>
      <c r="D119" s="89"/>
      <c r="E119" s="89"/>
      <c r="F119" s="89"/>
      <c r="G119" s="89"/>
      <c r="H119" s="89"/>
      <c r="I119" s="89"/>
    </row>
    <row r="120" spans="1:9" x14ac:dyDescent="0.2">
      <c r="A120" s="76"/>
      <c r="B120" s="77">
        <v>18</v>
      </c>
      <c r="C120" s="78"/>
      <c r="D120" s="89"/>
      <c r="E120" s="89"/>
      <c r="F120" s="89"/>
      <c r="G120" s="89"/>
      <c r="H120" s="89"/>
      <c r="I120" s="89"/>
    </row>
    <row r="121" spans="1:9" x14ac:dyDescent="0.2">
      <c r="A121" s="76"/>
      <c r="B121" s="77">
        <v>19</v>
      </c>
      <c r="C121" s="78"/>
      <c r="D121" s="89"/>
      <c r="E121" s="89"/>
      <c r="F121" s="89"/>
      <c r="G121" s="89"/>
      <c r="H121" s="89"/>
      <c r="I121" s="89"/>
    </row>
    <row r="122" spans="1:9" x14ac:dyDescent="0.2">
      <c r="A122" s="76"/>
      <c r="B122" s="77">
        <v>20</v>
      </c>
      <c r="C122" s="78"/>
      <c r="D122" s="89"/>
      <c r="E122" s="89"/>
      <c r="F122" s="89"/>
      <c r="G122" s="89"/>
      <c r="H122" s="89"/>
      <c r="I122" s="89"/>
    </row>
    <row r="123" spans="1:9" x14ac:dyDescent="0.2">
      <c r="A123" s="76"/>
      <c r="B123" s="77">
        <v>21</v>
      </c>
      <c r="C123" s="78"/>
      <c r="D123" s="89"/>
      <c r="E123" s="89"/>
      <c r="F123" s="89"/>
      <c r="G123" s="89"/>
      <c r="H123" s="89"/>
      <c r="I123" s="89"/>
    </row>
    <row r="124" spans="1:9" x14ac:dyDescent="0.2">
      <c r="A124" s="76"/>
      <c r="B124" s="77">
        <v>22</v>
      </c>
      <c r="C124" s="78"/>
      <c r="D124" s="89"/>
      <c r="E124" s="89"/>
      <c r="F124" s="89"/>
      <c r="G124" s="89"/>
      <c r="H124" s="89"/>
      <c r="I124" s="89"/>
    </row>
    <row r="125" spans="1:9" x14ac:dyDescent="0.2">
      <c r="A125" s="76"/>
      <c r="B125" s="77">
        <v>23</v>
      </c>
      <c r="C125" s="78"/>
      <c r="D125" s="89"/>
      <c r="E125" s="89"/>
      <c r="F125" s="89"/>
      <c r="G125" s="89"/>
      <c r="H125" s="89"/>
      <c r="I125" s="89"/>
    </row>
    <row r="126" spans="1:9" x14ac:dyDescent="0.2">
      <c r="A126" s="76"/>
      <c r="B126" s="77">
        <v>24</v>
      </c>
      <c r="C126" s="78"/>
      <c r="D126" s="89"/>
      <c r="E126" s="89"/>
      <c r="F126" s="89"/>
      <c r="G126" s="89"/>
      <c r="H126" s="89"/>
      <c r="I126" s="89"/>
    </row>
    <row r="127" spans="1:9" x14ac:dyDescent="0.2">
      <c r="A127" s="76"/>
      <c r="B127" s="77">
        <v>25</v>
      </c>
      <c r="C127" s="78"/>
      <c r="D127" s="89"/>
      <c r="E127" s="89"/>
      <c r="F127" s="89"/>
      <c r="G127" s="89"/>
      <c r="H127" s="89"/>
      <c r="I127" s="89"/>
    </row>
    <row r="128" spans="1:9" x14ac:dyDescent="0.2">
      <c r="A128" s="76"/>
      <c r="B128" s="77">
        <v>26</v>
      </c>
      <c r="C128" s="78"/>
      <c r="D128" s="89"/>
      <c r="E128" s="89"/>
      <c r="F128" s="89"/>
      <c r="G128" s="89"/>
      <c r="H128" s="89"/>
      <c r="I128" s="89"/>
    </row>
    <row r="129" spans="1:9" x14ac:dyDescent="0.2">
      <c r="A129" s="76"/>
      <c r="B129" s="77">
        <v>27</v>
      </c>
      <c r="C129" s="78"/>
      <c r="D129" s="89"/>
      <c r="E129" s="89"/>
      <c r="F129" s="89"/>
      <c r="G129" s="89"/>
      <c r="H129" s="89"/>
      <c r="I129" s="89"/>
    </row>
    <row r="130" spans="1:9" x14ac:dyDescent="0.2">
      <c r="A130" s="76"/>
      <c r="B130" s="77">
        <v>28</v>
      </c>
      <c r="C130" s="78"/>
      <c r="D130" s="89"/>
      <c r="E130" s="89"/>
      <c r="F130" s="89"/>
      <c r="G130" s="89"/>
      <c r="H130" s="89"/>
      <c r="I130" s="89"/>
    </row>
    <row r="131" spans="1:9" x14ac:dyDescent="0.2">
      <c r="A131" s="76"/>
      <c r="B131" s="77">
        <v>29</v>
      </c>
      <c r="C131" s="78"/>
      <c r="D131" s="89"/>
      <c r="E131" s="89"/>
      <c r="F131" s="89"/>
      <c r="G131" s="89"/>
      <c r="H131" s="89"/>
      <c r="I131" s="89"/>
    </row>
    <row r="132" spans="1:9" x14ac:dyDescent="0.2">
      <c r="A132" s="76"/>
      <c r="B132" s="77">
        <v>30</v>
      </c>
      <c r="C132" s="78"/>
      <c r="D132" s="89"/>
      <c r="E132" s="89"/>
      <c r="F132" s="89"/>
      <c r="G132" s="89"/>
      <c r="H132" s="89"/>
      <c r="I132" s="89"/>
    </row>
    <row r="133" spans="1:9" x14ac:dyDescent="0.2">
      <c r="A133" s="70"/>
      <c r="B133" s="110" t="s">
        <v>192</v>
      </c>
      <c r="C133" s="102"/>
      <c r="D133" s="103">
        <f t="shared" ref="D133:I133" si="40">SUM(D103:D132)</f>
        <v>194761500</v>
      </c>
      <c r="E133" s="103">
        <f t="shared" si="40"/>
        <v>0</v>
      </c>
      <c r="F133" s="103">
        <f t="shared" si="40"/>
        <v>0</v>
      </c>
      <c r="G133" s="103">
        <f t="shared" si="40"/>
        <v>500000</v>
      </c>
      <c r="H133" s="103">
        <f t="shared" si="40"/>
        <v>10000</v>
      </c>
      <c r="I133" s="103">
        <f t="shared" si="40"/>
        <v>0</v>
      </c>
    </row>
    <row r="134" spans="1:9" x14ac:dyDescent="0.2">
      <c r="A134" s="1"/>
    </row>
    <row r="135" spans="1:9" x14ac:dyDescent="0.2">
      <c r="A135" s="1"/>
    </row>
    <row r="136" spans="1:9" x14ac:dyDescent="0.2">
      <c r="A136" s="1"/>
    </row>
    <row r="137" spans="1:9" x14ac:dyDescent="0.2">
      <c r="A137" s="1"/>
    </row>
    <row r="138" spans="1:9" x14ac:dyDescent="0.2">
      <c r="A138" s="1"/>
    </row>
    <row r="139" spans="1:9" x14ac:dyDescent="0.2">
      <c r="A139" s="1"/>
    </row>
    <row r="140" spans="1:9" x14ac:dyDescent="0.2">
      <c r="A140" s="1"/>
    </row>
    <row r="141" spans="1:9" x14ac:dyDescent="0.2">
      <c r="A141" s="1"/>
    </row>
    <row r="142" spans="1:9" x14ac:dyDescent="0.2">
      <c r="A142" s="1"/>
    </row>
    <row r="143" spans="1:9" x14ac:dyDescent="0.2">
      <c r="A143" s="1"/>
    </row>
    <row r="144" spans="1:9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</sheetData>
  <mergeCells count="5">
    <mergeCell ref="B1:I1"/>
    <mergeCell ref="B65:C65"/>
    <mergeCell ref="B35:I35"/>
    <mergeCell ref="B67:I67"/>
    <mergeCell ref="B101:I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Balance General</vt:lpstr>
      <vt:lpstr>Estado de resultados</vt:lpstr>
      <vt:lpstr>Flujo de caja</vt:lpstr>
      <vt:lpstr>Proyección de ingresos</vt:lpstr>
      <vt:lpstr>VNA-TIRM</vt:lpstr>
      <vt:lpstr>Indicadores financieros (RATIOS</vt:lpstr>
      <vt:lpstr>presupuestos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</dc:creator>
  <cp:lastModifiedBy>Diana Carolina Leal martinez</cp:lastModifiedBy>
  <dcterms:modified xsi:type="dcterms:W3CDTF">2019-11-17T23:46:03Z</dcterms:modified>
</cp:coreProperties>
</file>