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VTC\"/>
    </mc:Choice>
  </mc:AlternateContent>
  <xr:revisionPtr revIDLastSave="0" documentId="8_{F107F16F-DE3D-439B-990B-C3B20927A3F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b1" sheetId="1" r:id="rId1"/>
    <sheet name="b2" sheetId="2" r:id="rId2"/>
    <sheet name="b3" sheetId="3" r:id="rId3"/>
    <sheet name="b4" sheetId="4" r:id="rId4"/>
    <sheet name="b5" sheetId="5" r:id="rId5"/>
  </sheets>
  <definedNames>
    <definedName name="_xlnm._FilterDatabase" localSheetId="0" hidden="1">'b1'!$A$3:$F$26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3" i="4"/>
  <c r="D4" i="1"/>
  <c r="D3" i="2"/>
  <c r="D4" i="2"/>
  <c r="G5" i="4"/>
  <c r="G6" i="4"/>
  <c r="G7" i="4"/>
  <c r="G8" i="4"/>
  <c r="G13" i="4"/>
  <c r="G3" i="4"/>
  <c r="F4" i="4"/>
  <c r="F5" i="4"/>
  <c r="H5" i="4" s="1"/>
  <c r="F6" i="4"/>
  <c r="H6" i="4" s="1"/>
  <c r="F7" i="4"/>
  <c r="F8" i="4"/>
  <c r="F9" i="4"/>
  <c r="F10" i="4"/>
  <c r="H10" i="4" s="1"/>
  <c r="F11" i="4"/>
  <c r="G11" i="4" s="1"/>
  <c r="F12" i="4"/>
  <c r="F13" i="4"/>
  <c r="H13" i="4" s="1"/>
  <c r="F3" i="4"/>
  <c r="H3" i="4" s="1"/>
  <c r="F18" i="3"/>
  <c r="G18" i="3"/>
  <c r="F19" i="3"/>
  <c r="G19" i="3"/>
  <c r="F20" i="3"/>
  <c r="G20" i="3"/>
  <c r="F21" i="3"/>
  <c r="G21" i="3"/>
  <c r="E21" i="3"/>
  <c r="E20" i="3"/>
  <c r="E19" i="3"/>
  <c r="E18" i="3"/>
  <c r="J4" i="3"/>
  <c r="J8" i="3"/>
  <c r="J11" i="3"/>
  <c r="J12" i="3"/>
  <c r="J16" i="3"/>
  <c r="I4" i="3"/>
  <c r="I5" i="3"/>
  <c r="J5" i="3" s="1"/>
  <c r="I6" i="3"/>
  <c r="J6" i="3" s="1"/>
  <c r="I7" i="3"/>
  <c r="J7" i="3" s="1"/>
  <c r="I8" i="3"/>
  <c r="I9" i="3"/>
  <c r="J9" i="3" s="1"/>
  <c r="I10" i="3"/>
  <c r="J10" i="3" s="1"/>
  <c r="I11" i="3"/>
  <c r="I12" i="3"/>
  <c r="I13" i="3"/>
  <c r="J13" i="3" s="1"/>
  <c r="I14" i="3"/>
  <c r="J14" i="3" s="1"/>
  <c r="I15" i="3"/>
  <c r="J15" i="3" s="1"/>
  <c r="I16" i="3"/>
  <c r="I17" i="3"/>
  <c r="J17" i="3" s="1"/>
  <c r="I3" i="3"/>
  <c r="J3" i="3" s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G8" i="2"/>
  <c r="G16" i="2"/>
  <c r="F4" i="2"/>
  <c r="G4" i="2" s="1"/>
  <c r="F5" i="2"/>
  <c r="G5" i="2" s="1"/>
  <c r="F6" i="2"/>
  <c r="G6" i="2" s="1"/>
  <c r="F7" i="2"/>
  <c r="G7" i="2" s="1"/>
  <c r="F8" i="2"/>
  <c r="F9" i="2"/>
  <c r="G9" i="2" s="1"/>
  <c r="F10" i="2"/>
  <c r="G10" i="2" s="1"/>
  <c r="F11" i="2"/>
  <c r="G11" i="2" s="1"/>
  <c r="F12" i="2"/>
  <c r="G12" i="2" s="1"/>
  <c r="O22" i="2" s="1"/>
  <c r="F13" i="2"/>
  <c r="G13" i="2" s="1"/>
  <c r="F14" i="2"/>
  <c r="G14" i="2" s="1"/>
  <c r="F15" i="2"/>
  <c r="G15" i="2" s="1"/>
  <c r="O20" i="2" s="1"/>
  <c r="F16" i="2"/>
  <c r="F17" i="2"/>
  <c r="G17" i="2" s="1"/>
  <c r="F18" i="2"/>
  <c r="G18" i="2" s="1"/>
  <c r="F19" i="2"/>
  <c r="G19" i="2" s="1"/>
  <c r="F20" i="2"/>
  <c r="G20" i="2" s="1"/>
  <c r="F3" i="2"/>
  <c r="G3" i="2" s="1"/>
  <c r="B4" i="2"/>
  <c r="M20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O21" i="2" s="1"/>
  <c r="D6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D5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C5" i="1"/>
  <c r="C6" i="1"/>
  <c r="C7" i="1"/>
  <c r="C8" i="1"/>
  <c r="C9" i="1"/>
  <c r="F4" i="1"/>
  <c r="B18" i="1"/>
  <c r="B17" i="1"/>
  <c r="B16" i="1"/>
  <c r="B15" i="1"/>
  <c r="B14" i="1"/>
  <c r="B13" i="1"/>
  <c r="B8" i="1"/>
  <c r="B12" i="1"/>
  <c r="B11" i="1"/>
  <c r="B10" i="1"/>
  <c r="B9" i="1"/>
  <c r="B7" i="1"/>
  <c r="B6" i="1"/>
  <c r="B5" i="1"/>
  <c r="B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D1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C10" i="1"/>
  <c r="C11" i="1"/>
  <c r="C12" i="1"/>
  <c r="C13" i="1"/>
  <c r="C14" i="1"/>
  <c r="C15" i="1"/>
  <c r="C16" i="1"/>
  <c r="C17" i="1"/>
  <c r="C18" i="1"/>
  <c r="C4" i="1"/>
  <c r="G10" i="4" l="1"/>
  <c r="H12" i="4"/>
  <c r="H4" i="4"/>
  <c r="J19" i="2"/>
  <c r="N22" i="2"/>
  <c r="O19" i="2"/>
  <c r="G9" i="4"/>
  <c r="H11" i="4"/>
  <c r="N21" i="2"/>
  <c r="M18" i="2"/>
  <c r="N20" i="2"/>
  <c r="H9" i="4"/>
  <c r="M22" i="2"/>
  <c r="N19" i="2"/>
  <c r="H8" i="4"/>
  <c r="K4" i="2"/>
  <c r="N18" i="2"/>
  <c r="M21" i="2"/>
  <c r="O18" i="2"/>
  <c r="H7" i="4"/>
  <c r="G12" i="4"/>
  <c r="G4" i="4"/>
  <c r="M19" i="2"/>
  <c r="J21" i="2"/>
  <c r="J20" i="2"/>
  <c r="J22" i="2"/>
  <c r="J18" i="2"/>
  <c r="K3" i="2"/>
  <c r="L3" i="2" s="1"/>
  <c r="L4" i="2"/>
  <c r="K5" i="2"/>
  <c r="L5" i="2" s="1"/>
  <c r="K6" i="2"/>
  <c r="L6" i="2" s="1"/>
  <c r="F4" i="5"/>
  <c r="F5" i="5"/>
  <c r="F6" i="5"/>
  <c r="F7" i="5"/>
  <c r="F8" i="5"/>
  <c r="F9" i="5"/>
  <c r="F10" i="5"/>
  <c r="F11" i="5"/>
  <c r="F12" i="5"/>
  <c r="F13" i="5"/>
  <c r="F3" i="5"/>
  <c r="M6" i="2" l="1"/>
  <c r="N6" i="2" s="1"/>
  <c r="M4" i="2"/>
  <c r="N4" i="2" s="1"/>
  <c r="M5" i="2"/>
  <c r="N5" i="2" s="1"/>
  <c r="M3" i="2"/>
  <c r="N3" i="2" s="1"/>
</calcChain>
</file>

<file path=xl/sharedStrings.xml><?xml version="1.0" encoding="utf-8"?>
<sst xmlns="http://schemas.openxmlformats.org/spreadsheetml/2006/main" count="254" uniqueCount="221">
  <si>
    <t xml:space="preserve">BẢNG THỐNG KÊ KẾT QUẢ THI HỌC SINH GIỎI NĂN 200... </t>
  </si>
  <si>
    <t>Mã thí sinh</t>
  </si>
  <si>
    <t>Tên thí sinh</t>
  </si>
  <si>
    <t>Tên Trường</t>
  </si>
  <si>
    <t>Môn thi</t>
  </si>
  <si>
    <t>Điểm thi</t>
  </si>
  <si>
    <t>Kết quả</t>
  </si>
  <si>
    <t>Bảng tra tên trường</t>
  </si>
  <si>
    <t>Bảng tra 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</si>
  <si>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52</t>
    </r>
    <r>
      <rPr>
        <b/>
        <sz val="14"/>
        <color theme="4" tint="-0.499984740745262"/>
        <rFont val="Times New Roman"/>
        <family val="1"/>
      </rPr>
      <t>TH</t>
    </r>
  </si>
  <si>
    <t>Mã Trường</t>
  </si>
  <si>
    <t>Tên trường</t>
  </si>
  <si>
    <t>Điểm</t>
  </si>
  <si>
    <t>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</si>
  <si>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10</t>
    </r>
    <r>
      <rPr>
        <b/>
        <sz val="14"/>
        <color theme="4" tint="-0.499984740745262"/>
        <rFont val="Times New Roman"/>
        <family val="1"/>
      </rPr>
      <t>TO</t>
    </r>
  </si>
  <si>
    <t>TR</t>
  </si>
  <si>
    <t>Trần Đại Nghĩa</t>
  </si>
  <si>
    <t>Trung Bình</t>
  </si>
  <si>
    <r>
      <rPr>
        <b/>
        <sz val="14"/>
        <color rgb="FFC00000"/>
        <rFont val="Times New Roman"/>
        <family val="1"/>
      </rPr>
      <t>SP</t>
    </r>
    <r>
      <rPr>
        <b/>
        <sz val="14"/>
        <rFont val="Times New Roman"/>
        <family val="1"/>
      </rPr>
      <t>93</t>
    </r>
    <r>
      <rPr>
        <b/>
        <sz val="14"/>
        <color theme="4" tint="-0.499984740745262"/>
        <rFont val="Times New Roman"/>
        <family val="1"/>
      </rPr>
      <t>SN</t>
    </r>
  </si>
  <si>
    <t>LE</t>
  </si>
  <si>
    <t>Lê Hồng Phong</t>
  </si>
  <si>
    <t>Khá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</si>
  <si>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23</t>
    </r>
    <r>
      <rPr>
        <b/>
        <sz val="14"/>
        <color theme="4" tint="-0.499984740745262"/>
        <rFont val="Times New Roman"/>
        <family val="1"/>
      </rPr>
      <t>SN</t>
    </r>
  </si>
  <si>
    <t>GD</t>
  </si>
  <si>
    <t>Gia Định</t>
  </si>
  <si>
    <t>Giỏi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</si>
  <si>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13</t>
    </r>
    <r>
      <rPr>
        <b/>
        <sz val="14"/>
        <color theme="4" tint="-0.499984740745262"/>
        <rFont val="Times New Roman"/>
        <family val="1"/>
      </rPr>
      <t>TH</t>
    </r>
  </si>
  <si>
    <t>lê hoàng</t>
  </si>
  <si>
    <t>NK</t>
  </si>
  <si>
    <t>Năng Khiếu</t>
  </si>
  <si>
    <t>Xuất sắc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</si>
  <si>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56</t>
    </r>
    <r>
      <rPr>
        <b/>
        <sz val="14"/>
        <color theme="4" tint="-0.499984740745262"/>
        <rFont val="Times New Roman"/>
        <family val="1"/>
      </rPr>
      <t>SN</t>
    </r>
  </si>
  <si>
    <t>TH</t>
  </si>
  <si>
    <t>Nguyễn Thượng Hiền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</si>
  <si>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74</t>
    </r>
    <r>
      <rPr>
        <b/>
        <sz val="14"/>
        <color theme="4" tint="-0.499984740745262"/>
        <rFont val="Times New Roman"/>
        <family val="1"/>
      </rPr>
      <t>TH</t>
    </r>
  </si>
  <si>
    <t>SP</t>
  </si>
  <si>
    <t>Sư Phạm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</si>
  <si>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</si>
  <si>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20</t>
    </r>
    <r>
      <rPr>
        <b/>
        <sz val="14"/>
        <color theme="4" tint="-0.499984740745262"/>
        <rFont val="Times New Roman"/>
        <family val="1"/>
      </rPr>
      <t>TH</t>
    </r>
  </si>
  <si>
    <t>Bảng tra môn thi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</si>
  <si>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</si>
  <si>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Mã Môn học</t>
  </si>
  <si>
    <t>TO</t>
  </si>
  <si>
    <t>SN</t>
  </si>
  <si>
    <t>Tên Môn thi</t>
  </si>
  <si>
    <t>Toán</t>
  </si>
  <si>
    <t>Sinh ngữ</t>
  </si>
  <si>
    <t>Tin Học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</si>
  <si>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31</t>
    </r>
    <r>
      <rPr>
        <b/>
        <sz val="14"/>
        <color theme="4" tint="-0.499984740745262"/>
        <rFont val="Times New Roman"/>
        <family val="1"/>
      </rPr>
      <t>SN</t>
    </r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</si>
  <si>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59</t>
    </r>
    <r>
      <rPr>
        <b/>
        <sz val="14"/>
        <color theme="4" tint="-0.499984740745262"/>
        <rFont val="Times New Roman"/>
        <family val="1"/>
      </rPr>
      <t>SN</t>
    </r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</si>
  <si>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15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</si>
  <si>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TH</t>
    </r>
    <r>
      <rPr>
        <b/>
        <sz val="14"/>
        <rFont val="Times New Roman"/>
        <family val="1"/>
      </rPr>
      <t>90</t>
    </r>
    <r>
      <rPr>
        <b/>
        <sz val="14"/>
        <color theme="4" tint="-0.499984740745262"/>
        <rFont val="Times New Roman"/>
        <family val="1"/>
      </rPr>
      <t>TO</t>
    </r>
  </si>
  <si>
    <t>Yêu cầu</t>
  </si>
  <si>
    <t>1. Lập công thức điền dữ liệu cho cột Tên trường dựa vào 2 ký tự đầu của Mã thí sinh và tìm trong Bảng tra tên trường.</t>
  </si>
  <si>
    <t>2. Lập công thức điền dữ liệu cho cột Môn thi, dựa vào 2 ký tự cuối của Mã thí sinh và tìm trong Bảng tra Môn thi.</t>
  </si>
  <si>
    <t>3. Lập công thức điền dữ liệu cho cột Kết quả, dựa vào Điểm thi và Bảng tra Xếp loại</t>
  </si>
  <si>
    <t>4. Lập công thức đổi định dạng cột Tên thí sinh có dạng chữ hoa đầu mỗi từ</t>
  </si>
  <si>
    <t>5. Định dạng bảng tính có dạng Table, lọc ra danh sách những thí sinh đạt kết quả là giỏi</t>
  </si>
  <si>
    <t>6. Định dạng cột Điểm thi sao cho những thí sinh có điểm &gt;9 có dạng in đậm và màu đỏ</t>
  </si>
  <si>
    <t xml:space="preserve">7. Chèn Header: Lề trái: Bài tập 1_ Chương 5, Lề phải: Ngày hiện hành </t>
  </si>
  <si>
    <t>Bảng thống kê bán hàng</t>
  </si>
  <si>
    <t>Bảng 1</t>
  </si>
  <si>
    <t>Tỷ giá</t>
  </si>
  <si>
    <t xml:space="preserve">Mã hàng </t>
  </si>
  <si>
    <t>Tên Hàng</t>
  </si>
  <si>
    <t>Hảng 
sản xuất</t>
  </si>
  <si>
    <t>Tên nhân
 viên bán</t>
  </si>
  <si>
    <t>Số lượng
 bán</t>
  </si>
  <si>
    <t>Đơn giá
 VNĐ</t>
  </si>
  <si>
    <t>Thành tiền VNĐ</t>
  </si>
  <si>
    <t>Mã NV</t>
  </si>
  <si>
    <t>Tên 
nhân viên</t>
  </si>
  <si>
    <t>Doanh số</t>
  </si>
  <si>
    <t>Lương</t>
  </si>
  <si>
    <t>Thuế 
thu nhập</t>
  </si>
  <si>
    <t>Thực lãnh</t>
  </si>
  <si>
    <t>LASo_11</t>
  </si>
  <si>
    <t>Thúy Hằng</t>
  </si>
  <si>
    <t>LATo_44</t>
  </si>
  <si>
    <t>Lan Anh</t>
  </si>
  <si>
    <t>LASo_22</t>
  </si>
  <si>
    <t>Hải Quân</t>
  </si>
  <si>
    <t>LASo_33</t>
  </si>
  <si>
    <t>Thanh Long</t>
  </si>
  <si>
    <t>CATo_22</t>
  </si>
  <si>
    <t>Bảng 2</t>
  </si>
  <si>
    <t>Bảng 3</t>
  </si>
  <si>
    <t>CAPa_44</t>
  </si>
  <si>
    <t>Mã hàng</t>
  </si>
  <si>
    <t>Tên hàng</t>
  </si>
  <si>
    <t>Đơn giá USD</t>
  </si>
  <si>
    <t>So</t>
  </si>
  <si>
    <t>To</t>
  </si>
  <si>
    <t>Pa</t>
  </si>
  <si>
    <t>CASo_33</t>
  </si>
  <si>
    <t>TV</t>
  </si>
  <si>
    <t>Tivi</t>
  </si>
  <si>
    <t>Sony</t>
  </si>
  <si>
    <t>Toshiba</t>
  </si>
  <si>
    <t>Panasonic</t>
  </si>
  <si>
    <t>WATo_11</t>
  </si>
  <si>
    <t>CA</t>
  </si>
  <si>
    <t>Máy ảnh</t>
  </si>
  <si>
    <t>WAPa_22</t>
  </si>
  <si>
    <t>RE</t>
  </si>
  <si>
    <t>Máy lạnh</t>
  </si>
  <si>
    <t>LA</t>
  </si>
  <si>
    <t>Laptop</t>
  </si>
  <si>
    <t>RETo_33</t>
  </si>
  <si>
    <t>WA</t>
  </si>
  <si>
    <t>Máy giặt</t>
  </si>
  <si>
    <t>REPa_22</t>
  </si>
  <si>
    <t>TVSo_11</t>
  </si>
  <si>
    <t>Bảng thống kê 1</t>
  </si>
  <si>
    <t>(Sumif)</t>
  </si>
  <si>
    <t xml:space="preserve">Bảng thống kê 2 </t>
  </si>
  <si>
    <t>(Sumifs)</t>
  </si>
  <si>
    <t>Tổng tiền</t>
  </si>
  <si>
    <t>TVPa_44</t>
  </si>
  <si>
    <t>TVTo_33</t>
  </si>
  <si>
    <t>TVSo_33</t>
  </si>
  <si>
    <t>Yêu cầu:</t>
  </si>
  <si>
    <t>1. Dựa vào 2 ký tự đầu của Mã hàng và Bảng 1để điền vào cột tên hàng và Đơn giá VNĐ (Đơn giá USD*Tỉ giá).</t>
  </si>
  <si>
    <t>2. Điền tên hảng sãn xuất dựa vào ký tự thứ 3 và 4 của Mã hàng và Bảng 2</t>
  </si>
  <si>
    <t>3.Dựa vào 2 ký tự thứ 3 và 4 cho biết nhân viên bán mặt hàng này.</t>
  </si>
  <si>
    <t>4. Dựa vào 2 ký tự cuối của Mã hàng và Bảng 3 để điền dữ liệu cho cột Tên NV</t>
  </si>
  <si>
    <t xml:space="preserve">5.Thành tiền VNĐ = Số lượng * Đơn giá VNĐ làm tròn đến hàng nghìn, định dạng đơn vị tiền là VNĐ .  </t>
  </si>
  <si>
    <t>6.Doanh số bán mỗi nhân viên = Tổng tiền mà nhân viên đó bán được .</t>
  </si>
  <si>
    <r>
      <t xml:space="preserve">7.Lương nhân viên = 600 000 + Doanh số mỗi nhân viên *3%  </t>
    </r>
    <r>
      <rPr>
        <i/>
        <sz val="14"/>
        <rFont val="Times New Roman"/>
        <family val="1"/>
      </rPr>
      <t>(làm tròn hàng ngàn)</t>
    </r>
    <r>
      <rPr>
        <sz val="14"/>
        <rFont val="Times New Roman"/>
        <family val="1"/>
      </rPr>
      <t>.</t>
    </r>
  </si>
  <si>
    <t>8.Thuế tính lũy tiến . Nếu lương &lt; 4 triệu , Không nộp thuế  .</t>
  </si>
  <si>
    <t xml:space="preserve">   Lương &gt; 4 triệu nộp thuế 10% trên giá trị vượt. Thực lãnh = Lương - Thuế</t>
  </si>
  <si>
    <t>9.Thống kê doanh số theo mặt hàng.</t>
  </si>
  <si>
    <t>10.Thống kê doanh số theo mặt hàng và theo hảng sản xuất.</t>
  </si>
  <si>
    <t>BẢNG ĐIỂM</t>
  </si>
  <si>
    <t>Số Tt</t>
  </si>
  <si>
    <t>Họ Tên</t>
  </si>
  <si>
    <t>Ngày Sinh</t>
  </si>
  <si>
    <t>Tuổi</t>
  </si>
  <si>
    <t>Điểm Toán</t>
  </si>
  <si>
    <t>Điểm Văn</t>
  </si>
  <si>
    <t>Điểm Ngoại Ngữ</t>
  </si>
  <si>
    <t>Tổng Điểm</t>
  </si>
  <si>
    <t>Kết Quả</t>
  </si>
  <si>
    <t>ĐIỂM TỔNG</t>
  </si>
  <si>
    <t>TRUNG BÌNH</t>
  </si>
  <si>
    <t>CAO NHẤT</t>
  </si>
  <si>
    <t>THẤP NHẤT</t>
  </si>
  <si>
    <t>1. Chèn thêm cột số TT trước cột họ tên, dùng chức năng Fill handle điền dữ liệu cho cột số TT</t>
  </si>
  <si>
    <t>2. Dùng hàm Propper chuyển cột Họ tên thành định dạng kiểu chữ hoa đầu mỗi từ</t>
  </si>
  <si>
    <t>3. Lập công thức điền dữ liệu cho cột tuổi</t>
  </si>
  <si>
    <t>4. Dùng chức năng AutoSum tính cột Tổng điểm</t>
  </si>
  <si>
    <t>5. Lập công thức điền dữ liệu cho cột Điểm  trung bình =(Toán*2 +Văn*2+Ngoại ngữ)/5 làm tròn 1 số lẻ</t>
  </si>
  <si>
    <t>6. Lập công thức điền dữ liệu cho cột Kết quả: Nếu điểm trung bình &gt;=5 thì kết quả là đậu, ngược lại thì kết quả là rớt</t>
  </si>
  <si>
    <t>7. Lập công thức tính tổng điểm, trung bình, điểm thấp nhất, cao nhất cho các cột Điểm toán, văn, ngoại ngữ</t>
  </si>
  <si>
    <t>8. Định dạng các cột điểm sao cho điểm dưới 5 có màu đỏ và in đậm</t>
  </si>
  <si>
    <t>9. Dùng chức năng Freeze Panes cố định dòng tiêu đề của bảng tính</t>
  </si>
  <si>
    <t>BẢNG TỔNG KẾT ĐIỂM</t>
  </si>
  <si>
    <t>No.</t>
  </si>
  <si>
    <t>Student</t>
  </si>
  <si>
    <t>Course 1</t>
  </si>
  <si>
    <t>Course 2</t>
  </si>
  <si>
    <t>Course 3</t>
  </si>
  <si>
    <t>Average</t>
  </si>
  <si>
    <t>Result</t>
  </si>
  <si>
    <t>Rank</t>
  </si>
  <si>
    <t>Rewarded</t>
  </si>
  <si>
    <t>Luc</t>
  </si>
  <si>
    <t>Estelle</t>
  </si>
  <si>
    <t>Laurent</t>
  </si>
  <si>
    <t>Paul</t>
  </si>
  <si>
    <t>Léa</t>
  </si>
  <si>
    <t>Murielle</t>
  </si>
  <si>
    <t>Thierry</t>
  </si>
  <si>
    <t>Laura</t>
  </si>
  <si>
    <t>Nick</t>
  </si>
  <si>
    <t>Anne</t>
  </si>
  <si>
    <t>1. Lập công thức điền dữ liệu cho cột Average = trung bình cộng của 3 cột course 1, 2, 3, làm tròn 2 số lẻ</t>
  </si>
  <si>
    <r>
      <t xml:space="preserve">2. Lập công thức cho cột </t>
    </r>
    <r>
      <rPr>
        <b/>
        <sz val="16"/>
        <color theme="1"/>
        <rFont val="Times New Roman"/>
        <family val="1"/>
      </rPr>
      <t>Result</t>
    </r>
    <r>
      <rPr>
        <sz val="16"/>
        <color theme="1"/>
        <rFont val="Times New Roman"/>
        <family val="1"/>
      </rPr>
      <t xml:space="preserve"> dựa trên </t>
    </r>
    <r>
      <rPr>
        <b/>
        <sz val="16"/>
        <color theme="1"/>
        <rFont val="Times New Roman"/>
        <family val="1"/>
      </rPr>
      <t>Average</t>
    </r>
    <r>
      <rPr>
        <sz val="16"/>
        <color theme="1"/>
        <rFont val="Times New Roman"/>
        <family val="1"/>
      </rPr>
      <t xml:space="preserve"> theo tiêu chí sau: </t>
    </r>
  </si>
  <si>
    <r>
      <t xml:space="preserve">Nếu avrerage &lt;10 thì Result là </t>
    </r>
    <r>
      <rPr>
        <b/>
        <sz val="16"/>
        <color theme="1"/>
        <rFont val="Times New Roman"/>
        <family val="1"/>
      </rPr>
      <t>Fail</t>
    </r>
  </si>
  <si>
    <r>
      <t xml:space="preserve">Nếu Average từ 10 đến dưới 12 thì Result là </t>
    </r>
    <r>
      <rPr>
        <b/>
        <sz val="16"/>
        <color theme="1"/>
        <rFont val="Times New Roman"/>
        <family val="1"/>
      </rPr>
      <t>Pass</t>
    </r>
  </si>
  <si>
    <r>
      <t xml:space="preserve">Nếu Average từ 12 đến dưới14 thì Result là </t>
    </r>
    <r>
      <rPr>
        <b/>
        <sz val="16"/>
        <color theme="1"/>
        <rFont val="Times New Roman"/>
        <family val="1"/>
      </rPr>
      <t>Good</t>
    </r>
  </si>
  <si>
    <r>
      <t xml:space="preserve">Nếu Average từ 14 đến dưới16 thì Result là </t>
    </r>
    <r>
      <rPr>
        <b/>
        <sz val="16"/>
        <color theme="1"/>
        <rFont val="Times New Roman"/>
        <family val="1"/>
      </rPr>
      <t>Very Good</t>
    </r>
  </si>
  <si>
    <r>
      <t xml:space="preserve">Ngược lại, nếu average &gt;=16 thì Result là </t>
    </r>
    <r>
      <rPr>
        <b/>
        <sz val="16"/>
        <color theme="1"/>
        <rFont val="Times New Roman"/>
        <family val="1"/>
      </rPr>
      <t>Excellent</t>
    </r>
  </si>
  <si>
    <t>3. Lập công thức xếp hạng cho cột Rank dựa vào Average</t>
  </si>
  <si>
    <t xml:space="preserve">4. Lập công thức điền dữ liệu cho cột rewarded (khen thưởng) với điều kiện: </t>
  </si>
  <si>
    <t>Nếu điểm trung bình (Average)&gt;12 và không có điểm thành phần &lt;10 thì được thưởng một khóa học miễn phí 1 tháng</t>
  </si>
  <si>
    <t>BẢNG TỔNG KẾT ĐIỂM GIỮA KỲ</t>
  </si>
  <si>
    <t>Họ tên</t>
  </si>
  <si>
    <t>Mã sinh viên</t>
  </si>
  <si>
    <t>Test 1</t>
  </si>
  <si>
    <t>Test 2</t>
  </si>
  <si>
    <t>Test 3</t>
  </si>
  <si>
    <t>trung bình test</t>
  </si>
  <si>
    <t>Bài tập về nhà</t>
  </si>
  <si>
    <t>trung bình giữa HK</t>
  </si>
  <si>
    <t>kết quả</t>
  </si>
  <si>
    <t>Khen thường</t>
  </si>
  <si>
    <t>nguyễn hoàng</t>
  </si>
  <si>
    <t>ĐẠT</t>
  </si>
  <si>
    <t>phuong vỹ</t>
  </si>
  <si>
    <t>KHÔNG ĐẠT</t>
  </si>
  <si>
    <t>thái bảo</t>
  </si>
  <si>
    <t>hoàng minh</t>
  </si>
  <si>
    <t>lê nam</t>
  </si>
  <si>
    <t>hồ trí dũng</t>
  </si>
  <si>
    <t>trần tú</t>
  </si>
  <si>
    <t>phạm tùng</t>
  </si>
  <si>
    <t>trần tú vi</t>
  </si>
  <si>
    <t>nguyễn duy</t>
  </si>
  <si>
    <t>tỉ lệ các bài test</t>
  </si>
  <si>
    <t>điểm thường
 bt về nhà</t>
  </si>
  <si>
    <t>trung bình của lớp</t>
  </si>
  <si>
    <t>F</t>
  </si>
  <si>
    <t>điễm cao nhất</t>
  </si>
  <si>
    <t>D</t>
  </si>
  <si>
    <t>C</t>
  </si>
  <si>
    <t>B</t>
  </si>
  <si>
    <t>A</t>
  </si>
  <si>
    <t xml:space="preserve">                                                                                       </t>
  </si>
  <si>
    <t>diểm thấp nhất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</si>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</sst>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.##0.00_);_(* \(#.##0.00\);_(* &quot;-&quot;??_);_(@_)"/>
    <numFmt numFmtId="165" formatCode="_(* #,##0_);_(* \(#,##0\);_(* &quot;-&quot;??_);_(@_)"/>
    <numFmt numFmtId="166" formatCode="000\-00\-0000"/>
    <numFmt numFmtId="167" formatCode="0.0"/>
  </numFmts>
  <fonts count="39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color theme="1"/>
      <name val="Tahoma"/>
      <family val="2"/>
    </font>
    <font>
      <b/>
      <sz val="14"/>
      <color rgb="FFC00000"/>
      <name val="Times New Roman"/>
      <family val="1"/>
    </font>
    <font>
      <b/>
      <sz val="14"/>
      <color theme="4" tint="-0.499984740745262"/>
      <name val="Times New Roman"/>
      <family val="1"/>
    </font>
    <font>
      <u/>
      <sz val="14"/>
      <name val="Times New Roman"/>
      <family val="1"/>
    </font>
    <font>
      <sz val="16"/>
      <name val="Times New Roman"/>
      <family val="1"/>
    </font>
    <font>
      <sz val="10"/>
      <name val="Calibri"/>
      <family val="2"/>
      <scheme val="minor"/>
    </font>
    <font>
      <b/>
      <sz val="16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0"/>
      <name val="Arial"/>
      <family val="2"/>
    </font>
    <font>
      <b/>
      <sz val="13"/>
      <name val="Arial"/>
      <family val="2"/>
    </font>
    <font>
      <i/>
      <sz val="13"/>
      <name val="Times New Roman"/>
      <family val="1"/>
    </font>
    <font>
      <i/>
      <u/>
      <sz val="13"/>
      <name val="Times New Roman"/>
      <family val="1"/>
    </font>
    <font>
      <i/>
      <sz val="14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20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8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2C2B2B"/>
      <name val="Times New Roman"/>
      <family val="1"/>
    </font>
    <font>
      <sz val="16"/>
      <color theme="1"/>
      <name val="Calibri"/>
      <family val="2"/>
      <scheme val="minor"/>
    </font>
    <font>
      <sz val="12"/>
      <color theme="1"/>
      <name val="Tahoma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sz val="15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8" fillId="0" borderId="0"/>
    <xf numFmtId="164" fontId="12" fillId="0" borderId="0" applyFont="0" applyFill="0" applyBorder="0" applyAlignment="0" applyProtection="0"/>
    <xf numFmtId="0" fontId="17" fillId="0" borderId="28" applyNumberFormat="0" applyFill="0" applyAlignment="0" applyProtection="0"/>
    <xf numFmtId="0" fontId="18" fillId="0" borderId="29" applyNumberFormat="0" applyFill="0" applyAlignment="0" applyProtection="0"/>
    <xf numFmtId="0" fontId="32" fillId="0" borderId="0"/>
    <xf numFmtId="43" fontId="37" fillId="0" borderId="0" applyFont="0" applyFill="0" applyBorder="0" applyAlignment="0" applyProtection="0"/>
  </cellStyleXfs>
  <cellXfs count="15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/>
    <xf numFmtId="14" fontId="2" fillId="4" borderId="1" xfId="0" applyNumberFormat="1" applyFont="1" applyFill="1" applyBorder="1"/>
    <xf numFmtId="0" fontId="2" fillId="4" borderId="2" xfId="0" applyFont="1" applyFill="1" applyBorder="1"/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/>
    <xf numFmtId="14" fontId="1" fillId="0" borderId="7" xfId="0" applyNumberFormat="1" applyFont="1" applyBorder="1" applyAlignment="1">
      <alignment horizontal="center"/>
    </xf>
    <xf numFmtId="0" fontId="2" fillId="0" borderId="8" xfId="0" applyFont="1" applyBorder="1"/>
    <xf numFmtId="0" fontId="1" fillId="0" borderId="7" xfId="0" applyFont="1" applyBorder="1"/>
    <xf numFmtId="49" fontId="1" fillId="0" borderId="7" xfId="0" applyNumberFormat="1" applyFont="1" applyBorder="1" applyAlignment="1">
      <alignment horizontal="center"/>
    </xf>
    <xf numFmtId="0" fontId="1" fillId="0" borderId="9" xfId="0" applyFont="1" applyBorder="1"/>
    <xf numFmtId="0" fontId="2" fillId="0" borderId="10" xfId="0" applyFont="1" applyBorder="1"/>
    <xf numFmtId="0" fontId="1" fillId="8" borderId="7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2" fillId="0" borderId="15" xfId="0" applyFont="1" applyBorder="1"/>
    <xf numFmtId="0" fontId="1" fillId="4" borderId="16" xfId="0" applyFont="1" applyFill="1" applyBorder="1" applyAlignment="1">
      <alignment horizontal="center"/>
    </xf>
    <xf numFmtId="0" fontId="2" fillId="4" borderId="16" xfId="0" applyFont="1" applyFill="1" applyBorder="1"/>
    <xf numFmtId="14" fontId="2" fillId="4" borderId="16" xfId="0" applyNumberFormat="1" applyFont="1" applyFill="1" applyBorder="1"/>
    <xf numFmtId="0" fontId="2" fillId="4" borderId="14" xfId="0" applyFont="1" applyFill="1" applyBorder="1"/>
    <xf numFmtId="0" fontId="6" fillId="0" borderId="0" xfId="0" applyFont="1"/>
    <xf numFmtId="0" fontId="7" fillId="0" borderId="0" xfId="0" applyFont="1"/>
    <xf numFmtId="0" fontId="10" fillId="0" borderId="0" xfId="1" applyFont="1"/>
    <xf numFmtId="0" fontId="11" fillId="0" borderId="1" xfId="1" applyFont="1" applyBorder="1"/>
    <xf numFmtId="165" fontId="11" fillId="0" borderId="18" xfId="2" applyNumberFormat="1" applyFont="1" applyFill="1" applyBorder="1"/>
    <xf numFmtId="0" fontId="11" fillId="10" borderId="3" xfId="1" applyFont="1" applyFill="1" applyBorder="1" applyAlignment="1">
      <alignment horizontal="center" vertical="center" wrapText="1"/>
    </xf>
    <xf numFmtId="0" fontId="11" fillId="10" borderId="19" xfId="1" applyFont="1" applyFill="1" applyBorder="1" applyAlignment="1">
      <alignment horizontal="center" vertical="center" wrapText="1"/>
    </xf>
    <xf numFmtId="0" fontId="11" fillId="10" borderId="20" xfId="1" applyFont="1" applyFill="1" applyBorder="1" applyAlignment="1">
      <alignment horizontal="center" vertical="center"/>
    </xf>
    <xf numFmtId="0" fontId="11" fillId="10" borderId="4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14" xfId="1" applyFont="1" applyBorder="1" applyAlignment="1">
      <alignment horizontal="center"/>
    </xf>
    <xf numFmtId="0" fontId="10" fillId="0" borderId="14" xfId="1" applyFont="1" applyBorder="1"/>
    <xf numFmtId="165" fontId="10" fillId="0" borderId="14" xfId="1" applyNumberFormat="1" applyFont="1" applyBorder="1"/>
    <xf numFmtId="0" fontId="10" fillId="0" borderId="7" xfId="1" applyFont="1" applyBorder="1"/>
    <xf numFmtId="165" fontId="10" fillId="0" borderId="14" xfId="2" applyNumberFormat="1" applyFont="1" applyFill="1" applyBorder="1"/>
    <xf numFmtId="165" fontId="10" fillId="0" borderId="21" xfId="2" applyNumberFormat="1" applyFont="1" applyFill="1" applyBorder="1"/>
    <xf numFmtId="165" fontId="10" fillId="0" borderId="8" xfId="1" applyNumberFormat="1" applyFont="1" applyBorder="1"/>
    <xf numFmtId="0" fontId="10" fillId="0" borderId="9" xfId="1" applyFont="1" applyBorder="1"/>
    <xf numFmtId="165" fontId="10" fillId="0" borderId="15" xfId="2" applyNumberFormat="1" applyFont="1" applyFill="1" applyBorder="1"/>
    <xf numFmtId="0" fontId="11" fillId="10" borderId="7" xfId="1" applyFont="1" applyFill="1" applyBorder="1" applyAlignment="1">
      <alignment horizontal="center"/>
    </xf>
    <xf numFmtId="0" fontId="11" fillId="10" borderId="14" xfId="1" applyFont="1" applyFill="1" applyBorder="1" applyAlignment="1">
      <alignment horizontal="center"/>
    </xf>
    <xf numFmtId="0" fontId="11" fillId="10" borderId="8" xfId="1" applyFont="1" applyFill="1" applyBorder="1" applyAlignment="1">
      <alignment horizontal="center"/>
    </xf>
    <xf numFmtId="0" fontId="10" fillId="0" borderId="8" xfId="1" applyFont="1" applyBorder="1"/>
    <xf numFmtId="0" fontId="10" fillId="0" borderId="9" xfId="1" applyFont="1" applyBorder="1" applyAlignment="1">
      <alignment horizontal="center" shrinkToFit="1"/>
    </xf>
    <xf numFmtId="0" fontId="10" fillId="0" borderId="15" xfId="1" applyFont="1" applyBorder="1" applyAlignment="1">
      <alignment horizontal="center" shrinkToFit="1"/>
    </xf>
    <xf numFmtId="0" fontId="10" fillId="0" borderId="10" xfId="1" applyFont="1" applyBorder="1" applyAlignment="1">
      <alignment horizontal="center" shrinkToFit="1"/>
    </xf>
    <xf numFmtId="0" fontId="10" fillId="0" borderId="15" xfId="1" applyFont="1" applyBorder="1"/>
    <xf numFmtId="0" fontId="10" fillId="0" borderId="10" xfId="1" applyFont="1" applyBorder="1"/>
    <xf numFmtId="0" fontId="13" fillId="0" borderId="25" xfId="1" applyFont="1" applyBorder="1"/>
    <xf numFmtId="0" fontId="14" fillId="0" borderId="26" xfId="1" applyFont="1" applyBorder="1"/>
    <xf numFmtId="0" fontId="10" fillId="0" borderId="27" xfId="1" applyFont="1" applyBorder="1"/>
    <xf numFmtId="0" fontId="14" fillId="0" borderId="27" xfId="1" applyFont="1" applyBorder="1"/>
    <xf numFmtId="0" fontId="10" fillId="0" borderId="26" xfId="1" applyFont="1" applyBorder="1"/>
    <xf numFmtId="0" fontId="10" fillId="0" borderId="3" xfId="1" applyFont="1" applyBorder="1"/>
    <xf numFmtId="0" fontId="11" fillId="8" borderId="19" xfId="1" applyFont="1" applyFill="1" applyBorder="1" applyAlignment="1">
      <alignment horizontal="center" shrinkToFit="1"/>
    </xf>
    <xf numFmtId="0" fontId="11" fillId="8" borderId="4" xfId="1" applyFont="1" applyFill="1" applyBorder="1" applyAlignment="1">
      <alignment horizontal="center" shrinkToFit="1"/>
    </xf>
    <xf numFmtId="0" fontId="10" fillId="8" borderId="7" xfId="1" applyFont="1" applyFill="1" applyBorder="1"/>
    <xf numFmtId="0" fontId="15" fillId="0" borderId="0" xfId="1" applyFont="1"/>
    <xf numFmtId="0" fontId="10" fillId="8" borderId="9" xfId="1" applyFont="1" applyFill="1" applyBorder="1"/>
    <xf numFmtId="0" fontId="2" fillId="0" borderId="0" xfId="1" applyFont="1"/>
    <xf numFmtId="0" fontId="2" fillId="0" borderId="0" xfId="1" applyFont="1" applyAlignment="1">
      <alignment horizontal="center" shrinkToFit="1"/>
    </xf>
    <xf numFmtId="0" fontId="6" fillId="0" borderId="0" xfId="1" applyFont="1"/>
    <xf numFmtId="0" fontId="8" fillId="0" borderId="0" xfId="1"/>
    <xf numFmtId="0" fontId="8" fillId="0" borderId="0" xfId="1" applyAlignment="1">
      <alignment horizontal="left"/>
    </xf>
    <xf numFmtId="0" fontId="20" fillId="11" borderId="14" xfId="0" applyFont="1" applyFill="1" applyBorder="1" applyAlignment="1">
      <alignment horizontal="center" vertical="center" wrapText="1"/>
    </xf>
    <xf numFmtId="0" fontId="21" fillId="0" borderId="14" xfId="0" applyFont="1" applyBorder="1"/>
    <xf numFmtId="14" fontId="21" fillId="0" borderId="14" xfId="0" applyNumberFormat="1" applyFont="1" applyBorder="1"/>
    <xf numFmtId="0" fontId="20" fillId="0" borderId="14" xfId="0" applyFont="1" applyBorder="1" applyAlignment="1">
      <alignment horizontal="center" vertical="center"/>
    </xf>
    <xf numFmtId="0" fontId="22" fillId="0" borderId="0" xfId="0" applyFont="1"/>
    <xf numFmtId="0" fontId="23" fillId="0" borderId="0" xfId="0" applyFont="1"/>
    <xf numFmtId="14" fontId="23" fillId="0" borderId="0" xfId="0" applyNumberFormat="1" applyFont="1"/>
    <xf numFmtId="0" fontId="18" fillId="0" borderId="29" xfId="4" applyAlignment="1">
      <alignment horizontal="center"/>
    </xf>
    <xf numFmtId="0" fontId="25" fillId="0" borderId="14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vertical="center"/>
    </xf>
    <xf numFmtId="0" fontId="31" fillId="0" borderId="0" xfId="0" applyFont="1"/>
    <xf numFmtId="0" fontId="34" fillId="0" borderId="0" xfId="5" applyFont="1"/>
    <xf numFmtId="0" fontId="35" fillId="8" borderId="3" xfId="5" applyFont="1" applyFill="1" applyBorder="1" applyAlignment="1">
      <alignment horizontal="center" vertical="center" wrapText="1"/>
    </xf>
    <xf numFmtId="0" fontId="35" fillId="8" borderId="19" xfId="5" applyFont="1" applyFill="1" applyBorder="1" applyAlignment="1">
      <alignment horizontal="center" vertical="center" wrapText="1"/>
    </xf>
    <xf numFmtId="0" fontId="35" fillId="8" borderId="4" xfId="5" applyFont="1" applyFill="1" applyBorder="1" applyAlignment="1">
      <alignment horizontal="center" vertical="center" wrapText="1"/>
    </xf>
    <xf numFmtId="0" fontId="34" fillId="0" borderId="7" xfId="5" applyFont="1" applyBorder="1"/>
    <xf numFmtId="166" fontId="34" fillId="0" borderId="14" xfId="5" applyNumberFormat="1" applyFont="1" applyBorder="1"/>
    <xf numFmtId="0" fontId="34" fillId="0" borderId="14" xfId="5" applyFont="1" applyBorder="1"/>
    <xf numFmtId="0" fontId="34" fillId="0" borderId="8" xfId="5" applyFont="1" applyBorder="1"/>
    <xf numFmtId="0" fontId="34" fillId="0" borderId="9" xfId="5" applyFont="1" applyBorder="1"/>
    <xf numFmtId="166" fontId="34" fillId="0" borderId="15" xfId="5" applyNumberFormat="1" applyFont="1" applyBorder="1"/>
    <xf numFmtId="0" fontId="34" fillId="0" borderId="15" xfId="5" applyFont="1" applyBorder="1"/>
    <xf numFmtId="0" fontId="34" fillId="0" borderId="3" xfId="5" applyFont="1" applyBorder="1"/>
    <xf numFmtId="9" fontId="35" fillId="0" borderId="19" xfId="5" applyNumberFormat="1" applyFont="1" applyBorder="1"/>
    <xf numFmtId="9" fontId="35" fillId="0" borderId="4" xfId="5" applyNumberFormat="1" applyFont="1" applyBorder="1"/>
    <xf numFmtId="0" fontId="35" fillId="0" borderId="14" xfId="5" applyFont="1" applyBorder="1" applyAlignment="1">
      <alignment horizontal="center"/>
    </xf>
    <xf numFmtId="0" fontId="35" fillId="0" borderId="33" xfId="5" applyFont="1" applyBorder="1"/>
    <xf numFmtId="0" fontId="34" fillId="0" borderId="10" xfId="5" applyFont="1" applyBorder="1"/>
    <xf numFmtId="167" fontId="34" fillId="0" borderId="14" xfId="5" applyNumberFormat="1" applyFont="1" applyBorder="1"/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 applyAlignment="1"/>
    <xf numFmtId="0" fontId="10" fillId="0" borderId="7" xfId="1" applyFont="1" applyBorder="1" applyAlignment="1">
      <alignment horizontal="left"/>
    </xf>
    <xf numFmtId="0" fontId="10" fillId="0" borderId="9" xfId="1" applyFont="1" applyBorder="1" applyAlignment="1">
      <alignment horizontal="left"/>
    </xf>
    <xf numFmtId="165" fontId="10" fillId="0" borderId="14" xfId="6" applyNumberFormat="1" applyFont="1" applyBorder="1"/>
    <xf numFmtId="165" fontId="10" fillId="0" borderId="0" xfId="1" applyNumberFormat="1" applyFont="1"/>
    <xf numFmtId="165" fontId="10" fillId="0" borderId="8" xfId="6" applyNumberFormat="1" applyFont="1" applyBorder="1"/>
    <xf numFmtId="165" fontId="2" fillId="0" borderId="0" xfId="6" applyNumberFormat="1" applyFont="1"/>
    <xf numFmtId="1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0" fillId="0" borderId="16" xfId="0" applyFont="1" applyBorder="1" applyAlignment="1">
      <alignment horizontal="center" vertical="center"/>
    </xf>
    <xf numFmtId="14" fontId="20" fillId="0" borderId="16" xfId="0" applyNumberFormat="1" applyFont="1" applyBorder="1" applyAlignment="1">
      <alignment horizontal="center" vertical="center"/>
    </xf>
    <xf numFmtId="0" fontId="21" fillId="0" borderId="21" xfId="0" applyFont="1" applyBorder="1"/>
    <xf numFmtId="0" fontId="21" fillId="0" borderId="2" xfId="0" applyFont="1" applyBorder="1"/>
    <xf numFmtId="0" fontId="21" fillId="0" borderId="34" xfId="0" applyFont="1" applyFill="1" applyBorder="1"/>
    <xf numFmtId="167" fontId="21" fillId="0" borderId="35" xfId="0" applyNumberFormat="1" applyFont="1" applyFill="1" applyBorder="1"/>
    <xf numFmtId="0" fontId="21" fillId="0" borderId="35" xfId="0" applyFont="1" applyFill="1" applyBorder="1"/>
    <xf numFmtId="0" fontId="21" fillId="0" borderId="36" xfId="0" applyFont="1" applyFill="1" applyBorder="1"/>
    <xf numFmtId="2" fontId="25" fillId="0" borderId="14" xfId="0" applyNumberFormat="1" applyFont="1" applyBorder="1"/>
    <xf numFmtId="0" fontId="25" fillId="0" borderId="14" xfId="0" applyFont="1" applyBorder="1" applyAlignment="1">
      <alignment horizontal="right"/>
    </xf>
    <xf numFmtId="0" fontId="25" fillId="0" borderId="14" xfId="0" applyFont="1" applyBorder="1" applyAlignment="1">
      <alignment horizontal="center"/>
    </xf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17" xfId="1" applyFont="1" applyBorder="1" applyAlignment="1">
      <alignment horizontal="center"/>
    </xf>
    <xf numFmtId="0" fontId="11" fillId="10" borderId="3" xfId="1" applyFont="1" applyFill="1" applyBorder="1" applyAlignment="1">
      <alignment horizontal="center"/>
    </xf>
    <xf numFmtId="0" fontId="11" fillId="10" borderId="19" xfId="1" applyFont="1" applyFill="1" applyBorder="1" applyAlignment="1">
      <alignment horizontal="center"/>
    </xf>
    <xf numFmtId="0" fontId="11" fillId="10" borderId="4" xfId="1" applyFont="1" applyFill="1" applyBorder="1" applyAlignment="1">
      <alignment horizontal="center"/>
    </xf>
    <xf numFmtId="0" fontId="11" fillId="10" borderId="22" xfId="1" applyFont="1" applyFill="1" applyBorder="1" applyAlignment="1">
      <alignment horizontal="center"/>
    </xf>
    <xf numFmtId="0" fontId="11" fillId="10" borderId="23" xfId="1" applyFont="1" applyFill="1" applyBorder="1" applyAlignment="1">
      <alignment horizontal="center"/>
    </xf>
    <xf numFmtId="0" fontId="11" fillId="10" borderId="24" xfId="1" applyFont="1" applyFill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0" fillId="0" borderId="14" xfId="0" applyFont="1" applyBorder="1" applyAlignment="1">
      <alignment horizontal="center" vertical="center"/>
    </xf>
    <xf numFmtId="0" fontId="24" fillId="0" borderId="28" xfId="3" applyFont="1" applyAlignment="1">
      <alignment horizontal="center"/>
    </xf>
    <xf numFmtId="0" fontId="33" fillId="0" borderId="30" xfId="5" applyFont="1" applyBorder="1" applyAlignment="1">
      <alignment horizontal="center"/>
    </xf>
    <xf numFmtId="0" fontId="35" fillId="0" borderId="31" xfId="5" applyFont="1" applyBorder="1" applyAlignment="1">
      <alignment horizontal="center" wrapText="1"/>
    </xf>
    <xf numFmtId="0" fontId="35" fillId="0" borderId="32" xfId="5" applyFont="1" applyBorder="1" applyAlignment="1">
      <alignment horizontal="center"/>
    </xf>
    <xf numFmtId="0" fontId="36" fillId="8" borderId="16" xfId="5" applyFont="1" applyFill="1" applyBorder="1" applyAlignment="1">
      <alignment horizontal="center"/>
    </xf>
    <xf numFmtId="0" fontId="36" fillId="8" borderId="21" xfId="5" applyFont="1" applyFill="1" applyBorder="1" applyAlignment="1">
      <alignment horizontal="center"/>
    </xf>
    <xf numFmtId="0" fontId="38" fillId="7" borderId="14" xfId="0" applyFont="1" applyFill="1" applyBorder="1" applyAlignment="1">
      <alignment horizontal="right"/>
    </xf>
  </cellXfs>
  <cellStyles count="7">
    <cellStyle name="Bình thường" xfId="0" builtinId="0"/>
    <cellStyle name="Comma 2" xfId="2" xr:uid="{00000000-0005-0000-0000-000001000000}"/>
    <cellStyle name="Đầu đề 1" xfId="3" builtinId="16"/>
    <cellStyle name="Đầu đề 2" xfId="4" builtinId="17"/>
    <cellStyle name="Dấu phẩy" xfId="6" builtinId="3"/>
    <cellStyle name="Normal 2" xfId="5" xr:uid="{00000000-0005-0000-0000-000005000000}"/>
    <cellStyle name="Normal 3" xfId="1" xr:uid="{00000000-0005-0000-0000-000006000000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relative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general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relative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F26" totalsRowShown="0" headerRowDxfId="7" dataDxfId="6" tableBorderDxfId="5">
  <autoFilter ref="A3:F26" xr:uid="{00000000-0009-0000-0100-000001000000}"/>
  <tableColumns count="6">
    <tableColumn id="1" xr3:uid="{00000000-0010-0000-0000-000001000000}" name="Mã thí sinh" dataDxfId="4"/>
    <tableColumn id="2" xr3:uid="{00000000-0010-0000-0000-000002000000}" name="Tên thí sinh" dataDxfId="3"/>
    <tableColumn id="3" xr3:uid="{00000000-0010-0000-0000-000003000000}" name="Tên Trường" dataDxfId="2"/>
    <tableColumn id="4" xr3:uid="{00000000-0010-0000-0000-000004000000}" name="Môn thi" dataDxfId="1"/>
    <tableColumn id="5" xr3:uid="{00000000-0010-0000-0000-000005000000}" name="Điểm thi" dataDxfId="0"/>
    <tableColumn id="6" xr3:uid="{00000000-0010-0000-0000-000006000000}" name="Kết quả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showWhiteSpace="0" view="pageLayout" zoomScale="72" zoomScaleNormal="100" zoomScalePageLayoutView="72" workbookViewId="0">
      <selection activeCell="F14" sqref="F14"/>
    </sheetView>
  </sheetViews>
  <sheetFormatPr defaultRowHeight="14.5" x14ac:dyDescent="0.35"/>
  <cols>
    <col min="1" max="1" width="14.81640625" customWidth="1"/>
    <col min="2" max="2" width="18.26953125" customWidth="1"/>
    <col min="3" max="3" width="24.453125" bestFit="1" customWidth="1"/>
    <col min="4" max="4" width="14" customWidth="1"/>
    <col min="5" max="5" width="12.54296875" customWidth="1"/>
    <col min="6" max="6" width="23.453125" customWidth="1"/>
    <col min="7" max="7" width="11.81640625" customWidth="1"/>
    <col min="8" max="8" width="16.26953125" bestFit="1" customWidth="1"/>
    <col min="9" max="9" width="24.453125" bestFit="1" customWidth="1"/>
    <col min="10" max="10" width="10.7265625" bestFit="1" customWidth="1"/>
    <col min="11" max="11" width="12.81640625" customWidth="1"/>
    <col min="12" max="12" width="15.81640625" bestFit="1" customWidth="1"/>
  </cols>
  <sheetData>
    <row r="1" spans="1:13" ht="18" x14ac:dyDescent="0.4">
      <c r="A1" s="138" t="s">
        <v>0</v>
      </c>
      <c r="B1" s="138"/>
      <c r="C1" s="138"/>
      <c r="D1" s="138"/>
      <c r="E1" s="138"/>
      <c r="F1" s="138"/>
      <c r="G1" s="1"/>
      <c r="H1" s="2"/>
      <c r="I1" s="2"/>
      <c r="J1" s="1"/>
    </row>
    <row r="2" spans="1:13" ht="18.5" thickBot="1" x14ac:dyDescent="0.45">
      <c r="A2" s="2"/>
      <c r="B2" s="2"/>
      <c r="C2" s="2"/>
      <c r="D2" s="2"/>
      <c r="E2" s="2"/>
      <c r="F2" s="2"/>
      <c r="G2" s="1"/>
      <c r="J2" s="2"/>
    </row>
    <row r="3" spans="1:13" ht="18.5" thickBot="1" x14ac:dyDescent="0.45">
      <c r="A3" s="130" t="s">
        <v>1</v>
      </c>
      <c r="B3" s="130" t="s">
        <v>2</v>
      </c>
      <c r="C3" s="131" t="s">
        <v>3</v>
      </c>
      <c r="D3" s="131" t="s">
        <v>4</v>
      </c>
      <c r="E3" s="131" t="s">
        <v>5</v>
      </c>
      <c r="F3" s="132" t="s">
        <v>6</v>
      </c>
      <c r="G3" s="2"/>
      <c r="H3" s="133" t="s">
        <v>7</v>
      </c>
      <c r="I3" s="134"/>
      <c r="K3" s="133" t="s">
        <v>8</v>
      </c>
      <c r="L3" s="134"/>
    </row>
    <row r="4" spans="1:13" ht="18" x14ac:dyDescent="0.4">
      <c r="A4" s="3" t="s">
        <v>9</v>
      </c>
      <c r="B4" s="4" t="str">
        <f>PROPER("trần vinh")</f>
        <v>Trần Vinh</v>
      </c>
      <c r="C4" s="5" t="str">
        <f>VLOOKUP(LEFT(A4,2),$H$5:$I$10,2,0)</f>
        <v>Năng Khiếu</v>
      </c>
      <c r="D4" s="5" t="str">
        <f t="shared" ref="D4:D18" si="0">HLOOKUP(RIGHT(A4,2),$I$13:$K$14,2,0)</f>
        <v>Tin Học</v>
      </c>
      <c r="E4" s="4">
        <v>8.09</v>
      </c>
      <c r="F4" s="6" t="str">
        <f t="shared" ref="F4:F18" si="1">IF(E4&gt;=9.5,"Xuất sắc",IF(AND(E4&lt;9.5,E4&gt;=8),"Giỏi",IF(AND(E4&lt;8,E4&gt;=6.5),"Khá",IF(AND(E4&lt;6.5,E4&gt;=5),"Trung Bình","Yếu"))))</f>
        <v>Giỏi</v>
      </c>
      <c r="G4" s="2"/>
      <c r="H4" s="7" t="s">
        <v>10</v>
      </c>
      <c r="I4" s="8" t="s">
        <v>11</v>
      </c>
      <c r="J4" s="9"/>
      <c r="K4" s="10" t="s">
        <v>12</v>
      </c>
      <c r="L4" s="11" t="s">
        <v>13</v>
      </c>
    </row>
    <row r="5" spans="1:13" ht="18" x14ac:dyDescent="0.4">
      <c r="A5" s="12" t="s">
        <v>14</v>
      </c>
      <c r="B5" s="13" t="str">
        <f>PROPER("lê vinh")</f>
        <v>Lê Vinh</v>
      </c>
      <c r="C5" s="5" t="str">
        <f t="shared" ref="C5:C6" si="2">VLOOKUP(LEFT(A5,2),$H$5:$I$10,2,0)</f>
        <v>Năng Khiếu</v>
      </c>
      <c r="D5" s="5" t="str">
        <f t="shared" si="0"/>
        <v>Toán</v>
      </c>
      <c r="E5" s="13">
        <v>6.1</v>
      </c>
      <c r="F5" s="6" t="str">
        <f t="shared" si="1"/>
        <v>Trung Bình</v>
      </c>
      <c r="G5" s="2"/>
      <c r="H5" s="14" t="s">
        <v>15</v>
      </c>
      <c r="I5" s="15" t="s">
        <v>16</v>
      </c>
      <c r="J5" s="2"/>
      <c r="K5" s="16">
        <v>5</v>
      </c>
      <c r="L5" s="15" t="s">
        <v>17</v>
      </c>
    </row>
    <row r="6" spans="1:13" ht="18" x14ac:dyDescent="0.4">
      <c r="A6" s="3" t="s">
        <v>18</v>
      </c>
      <c r="B6" s="4" t="str">
        <f>PROPER("phạm quân")</f>
        <v>Phạm Quân</v>
      </c>
      <c r="C6" s="5" t="str">
        <f t="shared" si="2"/>
        <v>Sư Phạm</v>
      </c>
      <c r="D6" s="5" t="str">
        <f t="shared" si="0"/>
        <v>Sinh ngữ</v>
      </c>
      <c r="E6" s="4">
        <v>6.87</v>
      </c>
      <c r="F6" s="6" t="str">
        <f t="shared" si="1"/>
        <v>Khá</v>
      </c>
      <c r="G6" s="2"/>
      <c r="H6" s="17" t="s">
        <v>19</v>
      </c>
      <c r="I6" s="15" t="s">
        <v>20</v>
      </c>
      <c r="J6" s="2"/>
      <c r="K6" s="16">
        <v>6.5</v>
      </c>
      <c r="L6" s="15" t="s">
        <v>21</v>
      </c>
    </row>
    <row r="7" spans="1:13" ht="18" x14ac:dyDescent="0.4">
      <c r="A7" s="12" t="s">
        <v>22</v>
      </c>
      <c r="B7" s="13" t="str">
        <f>PROPER("trần quân")</f>
        <v>Trần Quân</v>
      </c>
      <c r="C7" s="5" t="str">
        <f t="shared" ref="C7:C9" si="3">VLOOKUP(LEFT(A7,2),$H$5:$I$10,2,0)</f>
        <v>Trần Đại Nghĩa</v>
      </c>
      <c r="D7" s="5" t="str">
        <f t="shared" si="0"/>
        <v>Sinh ngữ</v>
      </c>
      <c r="E7" s="13">
        <v>7.04</v>
      </c>
      <c r="F7" s="6" t="str">
        <f t="shared" si="1"/>
        <v>Khá</v>
      </c>
      <c r="G7" s="2"/>
      <c r="H7" s="17" t="s">
        <v>23</v>
      </c>
      <c r="I7" s="15" t="s">
        <v>24</v>
      </c>
      <c r="J7" s="2"/>
      <c r="K7" s="16">
        <v>8</v>
      </c>
      <c r="L7" s="15" t="s">
        <v>25</v>
      </c>
    </row>
    <row r="8" spans="1:13" ht="18.5" thickBot="1" x14ac:dyDescent="0.45">
      <c r="A8" s="3" t="s">
        <v>26</v>
      </c>
      <c r="B8" s="13" t="str">
        <f>PROPER("lê hoàng")</f>
        <v>Lê Hoàng</v>
      </c>
      <c r="C8" s="5" t="str">
        <f t="shared" si="3"/>
        <v>Gia Định</v>
      </c>
      <c r="D8" s="5" t="str">
        <f t="shared" si="0"/>
        <v>Tin Học</v>
      </c>
      <c r="E8" s="4">
        <v>7.52</v>
      </c>
      <c r="F8" s="6" t="str">
        <f t="shared" si="1"/>
        <v>Khá</v>
      </c>
      <c r="G8" s="2"/>
      <c r="H8" s="17" t="s">
        <v>28</v>
      </c>
      <c r="I8" s="15" t="s">
        <v>29</v>
      </c>
      <c r="J8" s="2"/>
      <c r="K8" s="18">
        <v>9.5</v>
      </c>
      <c r="L8" s="19" t="s">
        <v>30</v>
      </c>
    </row>
    <row r="9" spans="1:13" ht="18" x14ac:dyDescent="0.4">
      <c r="A9" s="12" t="s">
        <v>31</v>
      </c>
      <c r="B9" s="13" t="str">
        <f>PROPER("trần quân")</f>
        <v>Trần Quân</v>
      </c>
      <c r="C9" s="5" t="str">
        <f t="shared" si="3"/>
        <v>Lê Hồng Phong</v>
      </c>
      <c r="D9" s="5" t="str">
        <f t="shared" si="0"/>
        <v>Sinh ngữ</v>
      </c>
      <c r="E9" s="13">
        <v>7.11</v>
      </c>
      <c r="F9" s="6" t="str">
        <f t="shared" si="1"/>
        <v>Khá</v>
      </c>
      <c r="G9" s="2"/>
      <c r="H9" s="17" t="s">
        <v>32</v>
      </c>
      <c r="I9" s="15" t="s">
        <v>33</v>
      </c>
      <c r="J9" s="2"/>
    </row>
    <row r="10" spans="1:13" ht="20.5" x14ac:dyDescent="0.45">
      <c r="A10" s="3" t="s">
        <v>34</v>
      </c>
      <c r="B10" s="4" t="str">
        <f>PROPER("lê quân")</f>
        <v>Lê Quân</v>
      </c>
      <c r="C10" s="5" t="str">
        <f t="shared" ref="C10:C18" si="4">VLOOKUP(LEFT(A10,2),$H$5:$I$10,2,0)</f>
        <v>Gia Định</v>
      </c>
      <c r="D10" s="5" t="str">
        <f t="shared" si="0"/>
        <v>Tin Học</v>
      </c>
      <c r="E10" s="4">
        <v>7.89</v>
      </c>
      <c r="F10" s="6" t="str">
        <f t="shared" si="1"/>
        <v>Khá</v>
      </c>
      <c r="G10" s="30"/>
      <c r="H10" s="17" t="s">
        <v>35</v>
      </c>
      <c r="I10" s="15" t="s">
        <v>36</v>
      </c>
      <c r="J10" s="30"/>
      <c r="K10" s="30"/>
      <c r="L10" s="2"/>
      <c r="M10" s="1"/>
    </row>
    <row r="11" spans="1:13" ht="18.5" thickBot="1" x14ac:dyDescent="0.45">
      <c r="A11" s="12" t="s">
        <v>37</v>
      </c>
      <c r="B11" s="13" t="str">
        <f>PROPER("lê viên")</f>
        <v>Lê Viên</v>
      </c>
      <c r="C11" s="5" t="str">
        <f t="shared" si="4"/>
        <v>Trần Đại Nghĩa</v>
      </c>
      <c r="D11" s="5" t="str">
        <f t="shared" si="0"/>
        <v>Toán</v>
      </c>
      <c r="E11" s="13">
        <v>6.1</v>
      </c>
      <c r="F11" s="6" t="str">
        <f t="shared" si="1"/>
        <v>Trung Bình</v>
      </c>
      <c r="G11" s="2"/>
      <c r="H11" s="2"/>
      <c r="I11" s="2"/>
      <c r="J11" s="2"/>
      <c r="K11" s="2"/>
      <c r="L11" s="2"/>
    </row>
    <row r="12" spans="1:13" ht="18" x14ac:dyDescent="0.4">
      <c r="A12" s="3" t="s">
        <v>38</v>
      </c>
      <c r="B12" s="4" t="str">
        <f>PROPER("lê văn")</f>
        <v>Lê Văn</v>
      </c>
      <c r="C12" s="5" t="str">
        <f t="shared" si="4"/>
        <v>Lê Hồng Phong</v>
      </c>
      <c r="D12" s="5" t="str">
        <f t="shared" si="0"/>
        <v>Tin Học</v>
      </c>
      <c r="E12" s="4">
        <v>6.87</v>
      </c>
      <c r="F12" s="6" t="str">
        <f t="shared" si="1"/>
        <v>Khá</v>
      </c>
      <c r="G12" s="2"/>
      <c r="H12" s="135" t="s">
        <v>39</v>
      </c>
      <c r="I12" s="136"/>
      <c r="J12" s="136"/>
      <c r="K12" s="137"/>
    </row>
    <row r="13" spans="1:13" ht="18" x14ac:dyDescent="0.4">
      <c r="A13" s="12" t="s">
        <v>40</v>
      </c>
      <c r="B13" s="13" t="str">
        <f>PROPER("lê thuý")</f>
        <v>Lê Thuý</v>
      </c>
      <c r="C13" s="5" t="str">
        <f t="shared" si="4"/>
        <v>Năng Khiếu</v>
      </c>
      <c r="D13" s="5" t="str">
        <f t="shared" si="0"/>
        <v>Toán</v>
      </c>
      <c r="E13" s="13">
        <v>8.1999999999999993</v>
      </c>
      <c r="F13" s="6" t="str">
        <f t="shared" si="1"/>
        <v>Giỏi</v>
      </c>
      <c r="G13" s="2"/>
      <c r="H13" s="20" t="s">
        <v>41</v>
      </c>
      <c r="I13" s="21" t="s">
        <v>42</v>
      </c>
      <c r="J13" s="21" t="s">
        <v>43</v>
      </c>
      <c r="K13" s="22" t="s">
        <v>32</v>
      </c>
    </row>
    <row r="14" spans="1:13" ht="18.5" thickBot="1" x14ac:dyDescent="0.45">
      <c r="A14" s="3" t="s">
        <v>40</v>
      </c>
      <c r="B14" s="4" t="str">
        <f>PROPER("phạm quân")</f>
        <v>Phạm Quân</v>
      </c>
      <c r="C14" s="5" t="str">
        <f t="shared" si="4"/>
        <v>Năng Khiếu</v>
      </c>
      <c r="D14" s="5" t="str">
        <f t="shared" si="0"/>
        <v>Toán</v>
      </c>
      <c r="E14" s="4">
        <v>9.86</v>
      </c>
      <c r="F14" s="6" t="str">
        <f t="shared" si="1"/>
        <v>Xuất sắc</v>
      </c>
      <c r="G14" s="2"/>
      <c r="H14" s="23" t="s">
        <v>44</v>
      </c>
      <c r="I14" s="24" t="s">
        <v>45</v>
      </c>
      <c r="J14" s="24" t="s">
        <v>46</v>
      </c>
      <c r="K14" s="19" t="s">
        <v>47</v>
      </c>
    </row>
    <row r="15" spans="1:13" ht="18" x14ac:dyDescent="0.4">
      <c r="A15" s="12" t="s">
        <v>48</v>
      </c>
      <c r="B15" s="13" t="str">
        <f>PROPER("phạm vinh")</f>
        <v>Phạm Vinh</v>
      </c>
      <c r="C15" s="5" t="str">
        <f t="shared" si="4"/>
        <v>Năng Khiếu</v>
      </c>
      <c r="D15" s="5" t="str">
        <f t="shared" si="0"/>
        <v>Sinh ngữ</v>
      </c>
      <c r="E15" s="13">
        <v>9.66</v>
      </c>
      <c r="F15" s="6" t="str">
        <f t="shared" si="1"/>
        <v>Xuất sắc</v>
      </c>
      <c r="G15" s="2"/>
    </row>
    <row r="16" spans="1:13" ht="18" x14ac:dyDescent="0.4">
      <c r="A16" s="3" t="s">
        <v>49</v>
      </c>
      <c r="B16" s="4" t="str">
        <f>PROPER("trần my")</f>
        <v>Trần My</v>
      </c>
      <c r="C16" s="5" t="str">
        <f t="shared" si="4"/>
        <v>Gia Định</v>
      </c>
      <c r="D16" s="5" t="str">
        <f t="shared" si="0"/>
        <v>Sinh ngữ</v>
      </c>
      <c r="E16" s="4">
        <v>9.8699999999999992</v>
      </c>
      <c r="F16" s="6" t="str">
        <f t="shared" si="1"/>
        <v>Xuất sắc</v>
      </c>
      <c r="G16" s="2"/>
    </row>
    <row r="17" spans="1:12" ht="18" x14ac:dyDescent="0.4">
      <c r="A17" s="12" t="s">
        <v>50</v>
      </c>
      <c r="B17" s="13" t="str">
        <f>PROPER("lê hoàng")</f>
        <v>Lê Hoàng</v>
      </c>
      <c r="C17" s="5" t="str">
        <f t="shared" si="4"/>
        <v>Trần Đại Nghĩa</v>
      </c>
      <c r="D17" s="5" t="str">
        <f t="shared" si="0"/>
        <v>Toán</v>
      </c>
      <c r="E17" s="13">
        <v>5.68</v>
      </c>
      <c r="F17" s="6" t="str">
        <f t="shared" si="1"/>
        <v>Trung Bình</v>
      </c>
      <c r="G17" s="2"/>
    </row>
    <row r="18" spans="1:12" ht="18" x14ac:dyDescent="0.4">
      <c r="A18" s="25" t="s">
        <v>51</v>
      </c>
      <c r="B18" s="26" t="str">
        <f>PROPER("lê nguyễn")</f>
        <v>Lê Nguyễn</v>
      </c>
      <c r="C18" s="27" t="str">
        <f t="shared" si="4"/>
        <v>Nguyễn Thượng Hiền</v>
      </c>
      <c r="D18" s="27" t="str">
        <f t="shared" si="0"/>
        <v>Toán</v>
      </c>
      <c r="E18" s="28">
        <v>7.92</v>
      </c>
      <c r="F18" s="28" t="str">
        <f t="shared" si="1"/>
        <v>Khá</v>
      </c>
      <c r="G18" s="2"/>
    </row>
    <row r="19" spans="1:12" ht="18" x14ac:dyDescent="0.4">
      <c r="A19" s="29" t="s">
        <v>52</v>
      </c>
      <c r="B19" s="2"/>
      <c r="C19" s="2"/>
      <c r="D19" s="2"/>
      <c r="E19" s="2"/>
      <c r="F19" s="2"/>
      <c r="G19" s="1"/>
    </row>
    <row r="20" spans="1:12" ht="26.25" customHeight="1" x14ac:dyDescent="0.45">
      <c r="A20" s="110" t="s">
        <v>53</v>
      </c>
      <c r="B20" s="107"/>
      <c r="C20" s="107"/>
      <c r="D20" s="107"/>
      <c r="E20" s="107"/>
      <c r="F20" s="107"/>
      <c r="G20" s="106"/>
      <c r="H20" s="106"/>
      <c r="I20" s="106"/>
    </row>
    <row r="21" spans="1:12" ht="25.5" customHeight="1" x14ac:dyDescent="0.45">
      <c r="A21" s="110" t="s">
        <v>54</v>
      </c>
      <c r="B21" s="107"/>
      <c r="C21" s="107"/>
      <c r="D21" s="107"/>
      <c r="E21" s="107"/>
      <c r="F21" s="107"/>
      <c r="G21" s="1"/>
    </row>
    <row r="22" spans="1:12" ht="20.5" x14ac:dyDescent="0.45">
      <c r="A22" s="110" t="s">
        <v>55</v>
      </c>
      <c r="B22" s="110"/>
      <c r="C22" s="110"/>
      <c r="D22" s="110"/>
      <c r="E22" s="110"/>
      <c r="F22" s="109"/>
      <c r="G22" s="1"/>
    </row>
    <row r="23" spans="1:12" ht="20.5" x14ac:dyDescent="0.45">
      <c r="A23" s="110" t="s">
        <v>56</v>
      </c>
      <c r="B23" s="110"/>
      <c r="C23" s="110"/>
      <c r="D23" s="110"/>
      <c r="E23" s="110"/>
      <c r="F23" s="109"/>
      <c r="G23" s="1"/>
    </row>
    <row r="24" spans="1:12" ht="17.25" customHeight="1" x14ac:dyDescent="0.45">
      <c r="A24" s="110" t="s">
        <v>57</v>
      </c>
      <c r="B24" s="107"/>
      <c r="C24" s="107"/>
      <c r="D24" s="107"/>
      <c r="E24" s="107"/>
      <c r="F24" s="107"/>
      <c r="G24" s="1"/>
    </row>
    <row r="25" spans="1:12" ht="19.5" customHeight="1" x14ac:dyDescent="0.45">
      <c r="A25" s="110" t="s">
        <v>58</v>
      </c>
      <c r="B25" s="107"/>
      <c r="C25" s="107"/>
      <c r="D25" s="107"/>
      <c r="E25" s="107"/>
      <c r="F25" s="107"/>
      <c r="G25" s="1"/>
    </row>
    <row r="26" spans="1:12" ht="20.5" x14ac:dyDescent="0.45">
      <c r="A26" s="110" t="s">
        <v>59</v>
      </c>
      <c r="B26" s="110"/>
      <c r="C26" s="110"/>
      <c r="D26" s="110"/>
      <c r="E26" s="110"/>
      <c r="F26" s="110"/>
      <c r="G26" s="1"/>
    </row>
    <row r="27" spans="1:12" ht="20.5" x14ac:dyDescent="0.45">
      <c r="A27" s="30"/>
      <c r="B27" s="30"/>
      <c r="C27" s="30"/>
      <c r="D27" s="108"/>
      <c r="E27" s="30"/>
      <c r="F27" s="2"/>
      <c r="G27" s="1"/>
      <c r="L27" s="2"/>
    </row>
    <row r="28" spans="1:12" ht="20.5" x14ac:dyDescent="0.45">
      <c r="A28" s="30"/>
      <c r="B28" s="30"/>
      <c r="C28" s="30"/>
      <c r="D28" s="30"/>
      <c r="E28" s="30"/>
      <c r="F28" s="2"/>
      <c r="G28" s="1"/>
      <c r="L28" s="2"/>
    </row>
  </sheetData>
  <mergeCells count="4">
    <mergeCell ref="H3:I3"/>
    <mergeCell ref="K3:L3"/>
    <mergeCell ref="H12:K12"/>
    <mergeCell ref="A1:F1"/>
  </mergeCells>
  <pageMargins left="0" right="1.488095238095238E-2" top="0.75" bottom="0.75" header="0.3" footer="0.3"/>
  <pageSetup orientation="portrait" r:id="rId1"/>
  <headerFooter>
    <oddHeader xml:space="preserve">&amp;L&amp;"-,Bold"&amp;20 Bài tập 1_ Chương 5
&amp;R&amp;"-,Bold"&amp;20Ngày hiện hành
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3"/>
  <sheetViews>
    <sheetView zoomScale="85" zoomScaleNormal="85" workbookViewId="0">
      <selection activeCell="F4" sqref="F4"/>
    </sheetView>
  </sheetViews>
  <sheetFormatPr defaultColWidth="9.1796875" defaultRowHeight="13" x14ac:dyDescent="0.3"/>
  <cols>
    <col min="1" max="1" width="13" style="71" customWidth="1"/>
    <col min="2" max="3" width="14.54296875" style="71" customWidth="1"/>
    <col min="4" max="4" width="19.453125" style="71" customWidth="1"/>
    <col min="5" max="5" width="14.54296875" style="71" customWidth="1"/>
    <col min="6" max="6" width="17.81640625" style="71" customWidth="1"/>
    <col min="7" max="7" width="16.1796875" style="71" customWidth="1"/>
    <col min="8" max="8" width="11" style="71" customWidth="1"/>
    <col min="9" max="9" width="20.453125" style="71" customWidth="1"/>
    <col min="10" max="10" width="18.1796875" style="71" customWidth="1"/>
    <col min="11" max="11" width="17.453125" style="71" customWidth="1"/>
    <col min="12" max="12" width="16.1796875" style="71" customWidth="1"/>
    <col min="13" max="13" width="16.7265625" style="71" customWidth="1"/>
    <col min="14" max="14" width="16.81640625" style="71" customWidth="1"/>
    <col min="15" max="15" width="20.54296875" style="71" customWidth="1"/>
    <col min="16" max="16" width="17.453125" style="71" customWidth="1"/>
    <col min="17" max="17" width="4.1796875" style="71" customWidth="1"/>
    <col min="18" max="18" width="20.7265625" style="71" bestFit="1" customWidth="1"/>
    <col min="19" max="19" width="15.81640625" style="71" customWidth="1"/>
    <col min="20" max="20" width="16.1796875" style="71" customWidth="1"/>
    <col min="21" max="21" width="13.81640625" style="71" customWidth="1"/>
    <col min="22" max="16384" width="9.1796875" style="71"/>
  </cols>
  <sheetData>
    <row r="1" spans="1:15" s="31" customFormat="1" ht="20.5" thickBot="1" x14ac:dyDescent="0.45">
      <c r="A1" s="139" t="s">
        <v>60</v>
      </c>
      <c r="B1" s="139"/>
      <c r="C1" s="139"/>
      <c r="D1" s="139"/>
      <c r="E1" s="139"/>
      <c r="F1" s="139"/>
      <c r="G1" s="139"/>
      <c r="I1" s="31" t="s">
        <v>61</v>
      </c>
      <c r="K1" s="32" t="s">
        <v>62</v>
      </c>
      <c r="L1" s="33">
        <v>21070</v>
      </c>
    </row>
    <row r="2" spans="1:15" s="38" customFormat="1" ht="33" x14ac:dyDescent="0.35">
      <c r="A2" s="34" t="s">
        <v>63</v>
      </c>
      <c r="B2" s="34" t="s">
        <v>64</v>
      </c>
      <c r="C2" s="34" t="s">
        <v>65</v>
      </c>
      <c r="D2" s="34" t="s">
        <v>66</v>
      </c>
      <c r="E2" s="34" t="s">
        <v>67</v>
      </c>
      <c r="F2" s="34" t="s">
        <v>68</v>
      </c>
      <c r="G2" s="34" t="s">
        <v>69</v>
      </c>
      <c r="H2" s="31"/>
      <c r="I2" s="34" t="s">
        <v>70</v>
      </c>
      <c r="J2" s="35" t="s">
        <v>71</v>
      </c>
      <c r="K2" s="35" t="s">
        <v>72</v>
      </c>
      <c r="L2" s="36" t="s">
        <v>73</v>
      </c>
      <c r="M2" s="35" t="s">
        <v>74</v>
      </c>
      <c r="N2" s="37" t="s">
        <v>75</v>
      </c>
    </row>
    <row r="3" spans="1:15" s="31" customFormat="1" ht="16.5" x14ac:dyDescent="0.35">
      <c r="A3" s="39" t="s">
        <v>76</v>
      </c>
      <c r="B3" s="40" t="str">
        <f>VLOOKUP(LEFT(A3,2),$I$10:$K$14,2,0)</f>
        <v>Laptop</v>
      </c>
      <c r="C3" s="40" t="str">
        <f>HLOOKUP(MID(A3,3,2),$M$9:$O$10,2,0)</f>
        <v>Sony</v>
      </c>
      <c r="D3" s="40" t="str">
        <f t="shared" ref="D3:D4" si="0">VLOOKUP(VALUE(RIGHT(A3,2)),$I$3:$N$6,2,0)</f>
        <v>Thúy Hằng</v>
      </c>
      <c r="E3" s="40">
        <v>13</v>
      </c>
      <c r="F3" s="113">
        <f>INT(VLOOKUP(LEFT(A3,2),$I$10:$K$14,3,0)*$L$1)</f>
        <v>20332550</v>
      </c>
      <c r="G3" s="41">
        <f>F3*E3</f>
        <v>264323150</v>
      </c>
      <c r="I3" s="111">
        <v>11</v>
      </c>
      <c r="J3" s="43" t="s">
        <v>77</v>
      </c>
      <c r="K3" s="44">
        <f>SUMIFS($G$3:$G$20,$D$3:$D$20,J3)</f>
        <v>727231050</v>
      </c>
      <c r="L3" s="44">
        <f>INT(600000+K3*3%)</f>
        <v>22416931</v>
      </c>
      <c r="M3" s="113">
        <f>IF(L3&gt;4000000,INT(L3*10%),L3)</f>
        <v>2241693</v>
      </c>
      <c r="N3" s="45">
        <f>L3-M3</f>
        <v>20175238</v>
      </c>
    </row>
    <row r="4" spans="1:15" s="31" customFormat="1" ht="16.5" x14ac:dyDescent="0.35">
      <c r="A4" s="39" t="s">
        <v>78</v>
      </c>
      <c r="B4" s="40" t="str">
        <f t="shared" ref="B4:B20" si="1">VLOOKUP(LEFT(A4,2),$I$10:$K$14,2,0)</f>
        <v>Laptop</v>
      </c>
      <c r="C4" s="40" t="str">
        <f t="shared" ref="C4:C20" si="2">HLOOKUP(MID(A4,3,2),$M$9:$O$10,2,0)</f>
        <v>Toshiba</v>
      </c>
      <c r="D4" s="40" t="str">
        <f t="shared" si="0"/>
        <v>Thanh Long</v>
      </c>
      <c r="E4" s="40">
        <v>25</v>
      </c>
      <c r="F4" s="113">
        <f t="shared" ref="F4:F20" si="3">INT(VLOOKUP(LEFT(A4,2),$I$10:$K$14,3,0)*$L$1)</f>
        <v>20332550</v>
      </c>
      <c r="G4" s="41">
        <f t="shared" ref="G4:G20" si="4">F4*E4</f>
        <v>508313750</v>
      </c>
      <c r="I4" s="111">
        <v>22</v>
      </c>
      <c r="J4" s="43" t="s">
        <v>79</v>
      </c>
      <c r="K4" s="44">
        <f>SUMIFS($G$3:$G$20,$D$3:$D$20,J4)</f>
        <v>1465608130</v>
      </c>
      <c r="L4" s="44">
        <f t="shared" ref="L4:L6" si="5">INT(600000+K4*3%)</f>
        <v>44568243</v>
      </c>
      <c r="M4" s="113">
        <f t="shared" ref="M4:M6" si="6">IF(L4&gt;4000000,INT(L4*10%),L4)</f>
        <v>4456824</v>
      </c>
      <c r="N4" s="45">
        <f t="shared" ref="N4:N6" si="7">L4-M4</f>
        <v>40111419</v>
      </c>
    </row>
    <row r="5" spans="1:15" s="31" customFormat="1" ht="16.5" x14ac:dyDescent="0.35">
      <c r="A5" s="39" t="s">
        <v>80</v>
      </c>
      <c r="B5" s="40" t="str">
        <f t="shared" si="1"/>
        <v>Laptop</v>
      </c>
      <c r="C5" s="40" t="str">
        <f t="shared" si="2"/>
        <v>Sony</v>
      </c>
      <c r="D5" s="40" t="str">
        <f t="shared" ref="D5:D20" si="8">VLOOKUP(VALUE(RIGHT(A5,2)),$I$3:$N$6,2,0)</f>
        <v>Lan Anh</v>
      </c>
      <c r="E5" s="40">
        <v>31</v>
      </c>
      <c r="F5" s="113">
        <f t="shared" si="3"/>
        <v>20332550</v>
      </c>
      <c r="G5" s="41">
        <f t="shared" si="4"/>
        <v>630309050</v>
      </c>
      <c r="I5" s="111">
        <v>33</v>
      </c>
      <c r="J5" s="43" t="s">
        <v>81</v>
      </c>
      <c r="K5" s="44">
        <f t="shared" ref="K5:K6" si="9">SUMIFS($G$3:$G$20,$D$3:$D$20,J5)</f>
        <v>1070124230</v>
      </c>
      <c r="L5" s="44">
        <f t="shared" si="5"/>
        <v>32703726</v>
      </c>
      <c r="M5" s="113">
        <f t="shared" si="6"/>
        <v>3270372</v>
      </c>
      <c r="N5" s="45">
        <f t="shared" si="7"/>
        <v>29433354</v>
      </c>
    </row>
    <row r="6" spans="1:15" s="31" customFormat="1" ht="17" thickBot="1" x14ac:dyDescent="0.4">
      <c r="A6" s="39" t="s">
        <v>82</v>
      </c>
      <c r="B6" s="40" t="str">
        <f t="shared" si="1"/>
        <v>Laptop</v>
      </c>
      <c r="C6" s="40" t="str">
        <f t="shared" si="2"/>
        <v>Sony</v>
      </c>
      <c r="D6" s="40" t="str">
        <f t="shared" si="8"/>
        <v>Hải Quân</v>
      </c>
      <c r="E6" s="40">
        <v>33</v>
      </c>
      <c r="F6" s="113">
        <f t="shared" si="3"/>
        <v>20332550</v>
      </c>
      <c r="G6" s="41">
        <f t="shared" si="4"/>
        <v>670974150</v>
      </c>
      <c r="I6" s="112">
        <v>44</v>
      </c>
      <c r="J6" s="47" t="s">
        <v>83</v>
      </c>
      <c r="K6" s="44">
        <f t="shared" si="9"/>
        <v>730096570</v>
      </c>
      <c r="L6" s="44">
        <f t="shared" si="5"/>
        <v>22502897</v>
      </c>
      <c r="M6" s="113">
        <f t="shared" si="6"/>
        <v>2250289</v>
      </c>
      <c r="N6" s="45">
        <f t="shared" si="7"/>
        <v>20252608</v>
      </c>
    </row>
    <row r="7" spans="1:15" s="31" customFormat="1" ht="17" thickBot="1" x14ac:dyDescent="0.4">
      <c r="A7" s="39" t="s">
        <v>80</v>
      </c>
      <c r="B7" s="40" t="str">
        <f t="shared" si="1"/>
        <v>Laptop</v>
      </c>
      <c r="C7" s="40" t="str">
        <f t="shared" si="2"/>
        <v>Sony</v>
      </c>
      <c r="D7" s="40" t="str">
        <f t="shared" si="8"/>
        <v>Lan Anh</v>
      </c>
      <c r="E7" s="40">
        <v>19</v>
      </c>
      <c r="F7" s="113">
        <f t="shared" si="3"/>
        <v>20332550</v>
      </c>
      <c r="G7" s="41">
        <f t="shared" si="4"/>
        <v>386318450</v>
      </c>
    </row>
    <row r="8" spans="1:15" s="31" customFormat="1" ht="16.5" x14ac:dyDescent="0.35">
      <c r="A8" s="39" t="s">
        <v>84</v>
      </c>
      <c r="B8" s="40" t="str">
        <f t="shared" si="1"/>
        <v>Máy ảnh</v>
      </c>
      <c r="C8" s="40" t="str">
        <f t="shared" si="2"/>
        <v>Toshiba</v>
      </c>
      <c r="D8" s="40" t="str">
        <f t="shared" si="8"/>
        <v>Lan Anh</v>
      </c>
      <c r="E8" s="40">
        <v>14</v>
      </c>
      <c r="F8" s="113">
        <f t="shared" si="3"/>
        <v>6763470</v>
      </c>
      <c r="G8" s="41">
        <f t="shared" si="4"/>
        <v>94688580</v>
      </c>
      <c r="I8" s="140" t="s">
        <v>85</v>
      </c>
      <c r="J8" s="141"/>
      <c r="K8" s="142"/>
      <c r="M8" s="143" t="s">
        <v>86</v>
      </c>
      <c r="N8" s="144"/>
      <c r="O8" s="145"/>
    </row>
    <row r="9" spans="1:15" s="31" customFormat="1" ht="16.5" x14ac:dyDescent="0.35">
      <c r="A9" s="39" t="s">
        <v>87</v>
      </c>
      <c r="B9" s="40" t="str">
        <f t="shared" si="1"/>
        <v>Máy ảnh</v>
      </c>
      <c r="C9" s="40" t="str">
        <f t="shared" si="2"/>
        <v>Panasonic</v>
      </c>
      <c r="D9" s="40" t="str">
        <f t="shared" si="8"/>
        <v>Thanh Long</v>
      </c>
      <c r="E9" s="40">
        <v>31</v>
      </c>
      <c r="F9" s="113">
        <f t="shared" si="3"/>
        <v>6763470</v>
      </c>
      <c r="G9" s="41">
        <f t="shared" si="4"/>
        <v>209667570</v>
      </c>
      <c r="I9" s="48" t="s">
        <v>88</v>
      </c>
      <c r="J9" s="49" t="s">
        <v>89</v>
      </c>
      <c r="K9" s="50" t="s">
        <v>90</v>
      </c>
      <c r="M9" s="48" t="s">
        <v>91</v>
      </c>
      <c r="N9" s="49" t="s">
        <v>92</v>
      </c>
      <c r="O9" s="50" t="s">
        <v>93</v>
      </c>
    </row>
    <row r="10" spans="1:15" s="31" customFormat="1" ht="17" thickBot="1" x14ac:dyDescent="0.4">
      <c r="A10" s="39" t="s">
        <v>94</v>
      </c>
      <c r="B10" s="40" t="str">
        <f t="shared" si="1"/>
        <v>Máy ảnh</v>
      </c>
      <c r="C10" s="40" t="str">
        <f t="shared" si="2"/>
        <v>Sony</v>
      </c>
      <c r="D10" s="40" t="str">
        <f t="shared" si="8"/>
        <v>Hải Quân</v>
      </c>
      <c r="E10" s="40">
        <v>24</v>
      </c>
      <c r="F10" s="113">
        <f t="shared" si="3"/>
        <v>6763470</v>
      </c>
      <c r="G10" s="41">
        <f t="shared" si="4"/>
        <v>162323280</v>
      </c>
      <c r="I10" s="42" t="s">
        <v>95</v>
      </c>
      <c r="J10" s="40" t="s">
        <v>96</v>
      </c>
      <c r="K10" s="51">
        <v>115</v>
      </c>
      <c r="M10" s="52" t="s">
        <v>97</v>
      </c>
      <c r="N10" s="53" t="s">
        <v>98</v>
      </c>
      <c r="O10" s="54" t="s">
        <v>99</v>
      </c>
    </row>
    <row r="11" spans="1:15" s="31" customFormat="1" ht="16.5" x14ac:dyDescent="0.35">
      <c r="A11" s="39" t="s">
        <v>100</v>
      </c>
      <c r="B11" s="40" t="str">
        <f t="shared" si="1"/>
        <v>Máy giặt</v>
      </c>
      <c r="C11" s="40" t="str">
        <f t="shared" si="2"/>
        <v>Toshiba</v>
      </c>
      <c r="D11" s="40" t="str">
        <f t="shared" si="8"/>
        <v>Thúy Hằng</v>
      </c>
      <c r="E11" s="40">
        <v>11</v>
      </c>
      <c r="F11" s="113">
        <f t="shared" si="3"/>
        <v>10745700</v>
      </c>
      <c r="G11" s="41">
        <f t="shared" si="4"/>
        <v>118202700</v>
      </c>
      <c r="I11" s="42" t="s">
        <v>101</v>
      </c>
      <c r="J11" s="40" t="s">
        <v>102</v>
      </c>
      <c r="K11" s="51">
        <v>321</v>
      </c>
    </row>
    <row r="12" spans="1:15" s="31" customFormat="1" ht="16.5" x14ac:dyDescent="0.35">
      <c r="A12" s="39" t="s">
        <v>103</v>
      </c>
      <c r="B12" s="40" t="str">
        <f t="shared" si="1"/>
        <v>Máy giặt</v>
      </c>
      <c r="C12" s="40" t="str">
        <f t="shared" si="2"/>
        <v>Panasonic</v>
      </c>
      <c r="D12" s="40" t="str">
        <f t="shared" si="8"/>
        <v>Lan Anh</v>
      </c>
      <c r="E12" s="40">
        <v>21</v>
      </c>
      <c r="F12" s="113">
        <f t="shared" si="3"/>
        <v>10745700</v>
      </c>
      <c r="G12" s="41">
        <f t="shared" si="4"/>
        <v>225659700</v>
      </c>
      <c r="I12" s="42" t="s">
        <v>104</v>
      </c>
      <c r="J12" s="40" t="s">
        <v>105</v>
      </c>
      <c r="K12" s="51">
        <v>185</v>
      </c>
    </row>
    <row r="13" spans="1:15" s="31" customFormat="1" ht="16.5" x14ac:dyDescent="0.35">
      <c r="A13" s="39" t="s">
        <v>100</v>
      </c>
      <c r="B13" s="40" t="str">
        <f t="shared" si="1"/>
        <v>Máy giặt</v>
      </c>
      <c r="C13" s="40" t="str">
        <f t="shared" si="2"/>
        <v>Toshiba</v>
      </c>
      <c r="D13" s="40" t="str">
        <f t="shared" si="8"/>
        <v>Thúy Hằng</v>
      </c>
      <c r="E13" s="40">
        <v>19</v>
      </c>
      <c r="F13" s="113">
        <f t="shared" si="3"/>
        <v>10745700</v>
      </c>
      <c r="G13" s="41">
        <f t="shared" si="4"/>
        <v>204168300</v>
      </c>
      <c r="I13" s="42" t="s">
        <v>106</v>
      </c>
      <c r="J13" s="40" t="s">
        <v>107</v>
      </c>
      <c r="K13" s="51">
        <v>965</v>
      </c>
    </row>
    <row r="14" spans="1:15" s="31" customFormat="1" ht="17" thickBot="1" x14ac:dyDescent="0.4">
      <c r="A14" s="39" t="s">
        <v>108</v>
      </c>
      <c r="B14" s="40" t="str">
        <f t="shared" si="1"/>
        <v>Máy lạnh</v>
      </c>
      <c r="C14" s="40" t="str">
        <f t="shared" si="2"/>
        <v>Toshiba</v>
      </c>
      <c r="D14" s="40" t="str">
        <f t="shared" si="8"/>
        <v>Hải Quân</v>
      </c>
      <c r="E14" s="40">
        <v>39</v>
      </c>
      <c r="F14" s="113">
        <f t="shared" si="3"/>
        <v>3897950</v>
      </c>
      <c r="G14" s="41">
        <f t="shared" si="4"/>
        <v>152020050</v>
      </c>
      <c r="I14" s="46" t="s">
        <v>109</v>
      </c>
      <c r="J14" s="55" t="s">
        <v>110</v>
      </c>
      <c r="K14" s="56">
        <v>510</v>
      </c>
    </row>
    <row r="15" spans="1:15" s="31" customFormat="1" ht="17" thickBot="1" x14ac:dyDescent="0.4">
      <c r="A15" s="39" t="s">
        <v>111</v>
      </c>
      <c r="B15" s="40" t="str">
        <f t="shared" si="1"/>
        <v>Máy lạnh</v>
      </c>
      <c r="C15" s="40" t="str">
        <f t="shared" si="2"/>
        <v>Panasonic</v>
      </c>
      <c r="D15" s="40" t="str">
        <f t="shared" si="8"/>
        <v>Lan Anh</v>
      </c>
      <c r="E15" s="40">
        <v>33</v>
      </c>
      <c r="F15" s="113">
        <f t="shared" si="3"/>
        <v>3897950</v>
      </c>
      <c r="G15" s="41">
        <f t="shared" si="4"/>
        <v>128632350</v>
      </c>
    </row>
    <row r="16" spans="1:15" s="31" customFormat="1" ht="17" thickBot="1" x14ac:dyDescent="0.4">
      <c r="A16" s="39" t="s">
        <v>112</v>
      </c>
      <c r="B16" s="40" t="str">
        <f t="shared" si="1"/>
        <v>Tivi</v>
      </c>
      <c r="C16" s="40" t="str">
        <f t="shared" si="2"/>
        <v>Sony</v>
      </c>
      <c r="D16" s="40" t="str">
        <f t="shared" si="8"/>
        <v>Thúy Hằng</v>
      </c>
      <c r="E16" s="40">
        <v>37</v>
      </c>
      <c r="F16" s="113">
        <f t="shared" si="3"/>
        <v>2423050</v>
      </c>
      <c r="G16" s="41">
        <f t="shared" si="4"/>
        <v>89652850</v>
      </c>
      <c r="I16" s="57" t="s">
        <v>113</v>
      </c>
      <c r="J16" s="58" t="s">
        <v>114</v>
      </c>
      <c r="L16" s="57" t="s">
        <v>115</v>
      </c>
      <c r="M16" s="59"/>
      <c r="N16" s="60" t="s">
        <v>116</v>
      </c>
      <c r="O16" s="61"/>
    </row>
    <row r="17" spans="1:15" s="31" customFormat="1" ht="16.5" x14ac:dyDescent="0.35">
      <c r="A17" s="39" t="s">
        <v>112</v>
      </c>
      <c r="B17" s="40" t="str">
        <f t="shared" si="1"/>
        <v>Tivi</v>
      </c>
      <c r="C17" s="40" t="str">
        <f t="shared" si="2"/>
        <v>Sony</v>
      </c>
      <c r="D17" s="40" t="str">
        <f t="shared" si="8"/>
        <v>Thúy Hằng</v>
      </c>
      <c r="E17" s="40">
        <v>21</v>
      </c>
      <c r="F17" s="113">
        <f t="shared" si="3"/>
        <v>2423050</v>
      </c>
      <c r="G17" s="41">
        <f t="shared" si="4"/>
        <v>50884050</v>
      </c>
      <c r="I17" s="48" t="s">
        <v>89</v>
      </c>
      <c r="J17" s="50" t="s">
        <v>117</v>
      </c>
      <c r="L17" s="62"/>
      <c r="M17" s="63" t="s">
        <v>97</v>
      </c>
      <c r="N17" s="63" t="s">
        <v>98</v>
      </c>
      <c r="O17" s="64" t="s">
        <v>99</v>
      </c>
    </row>
    <row r="18" spans="1:15" s="31" customFormat="1" ht="16.5" x14ac:dyDescent="0.35">
      <c r="A18" s="39" t="s">
        <v>118</v>
      </c>
      <c r="B18" s="40" t="str">
        <f t="shared" si="1"/>
        <v>Tivi</v>
      </c>
      <c r="C18" s="40" t="str">
        <f t="shared" si="2"/>
        <v>Panasonic</v>
      </c>
      <c r="D18" s="40" t="str">
        <f t="shared" si="8"/>
        <v>Thanh Long</v>
      </c>
      <c r="E18" s="40">
        <v>5</v>
      </c>
      <c r="F18" s="113">
        <f t="shared" si="3"/>
        <v>2423050</v>
      </c>
      <c r="G18" s="41">
        <f t="shared" si="4"/>
        <v>12115250</v>
      </c>
      <c r="I18" s="42" t="s">
        <v>96</v>
      </c>
      <c r="J18" s="115">
        <f ca="1">SUMIF($B$3:$G$20,I18,$G$3:$G$20)</f>
        <v>237458900</v>
      </c>
      <c r="L18" s="65" t="s">
        <v>96</v>
      </c>
      <c r="M18" s="113">
        <f>SUMIFS($G$3:$G$20,$B$3:$B$20,L18,$C$3:$C$20,$M$17)</f>
        <v>191420950</v>
      </c>
      <c r="N18" s="113">
        <f>SUMIFS($G$3:$G$20,$B$3:$B$20,L18,$C$3:$C$20,$N$17)</f>
        <v>33922700</v>
      </c>
      <c r="O18" s="113">
        <f>SUMIFS($G$3:$G$20,$B$3:$B$20,L18,$C$3:$C$20,$O$17)</f>
        <v>12115250</v>
      </c>
    </row>
    <row r="19" spans="1:15" s="31" customFormat="1" ht="16.5" x14ac:dyDescent="0.35">
      <c r="A19" s="39" t="s">
        <v>119</v>
      </c>
      <c r="B19" s="40" t="str">
        <f t="shared" si="1"/>
        <v>Tivi</v>
      </c>
      <c r="C19" s="40" t="str">
        <f t="shared" si="2"/>
        <v>Toshiba</v>
      </c>
      <c r="D19" s="40" t="str">
        <f t="shared" si="8"/>
        <v>Hải Quân</v>
      </c>
      <c r="E19" s="40">
        <v>14</v>
      </c>
      <c r="F19" s="113">
        <f t="shared" si="3"/>
        <v>2423050</v>
      </c>
      <c r="G19" s="41">
        <f t="shared" si="4"/>
        <v>33922700</v>
      </c>
      <c r="I19" s="42" t="s">
        <v>102</v>
      </c>
      <c r="J19" s="115">
        <f t="shared" ref="J19:J22" ca="1" si="10">SUMIF($B$3:$G$20,I19,$G$3:$G$20)</f>
        <v>466679430</v>
      </c>
      <c r="L19" s="65" t="s">
        <v>102</v>
      </c>
      <c r="M19" s="113">
        <f t="shared" ref="M19:M22" si="11">SUMIFS($G$3:$G$20,$B$3:$B$20,L19,$C$3:$C$20,$M$17)</f>
        <v>162323280</v>
      </c>
      <c r="N19" s="113">
        <f t="shared" ref="N19:N22" si="12">SUMIFS($G$3:$G$20,$B$3:$B$20,L19,$C$3:$C$20,$N$17)</f>
        <v>94688580</v>
      </c>
      <c r="O19" s="113">
        <f t="shared" ref="O19:O22" si="13">SUMIFS($G$3:$G$20,$B$3:$B$20,L19,$C$3:$C$20,$O$17)</f>
        <v>209667570</v>
      </c>
    </row>
    <row r="20" spans="1:15" s="31" customFormat="1" ht="16.5" x14ac:dyDescent="0.35">
      <c r="A20" s="39" t="s">
        <v>120</v>
      </c>
      <c r="B20" s="40" t="str">
        <f t="shared" si="1"/>
        <v>Tivi</v>
      </c>
      <c r="C20" s="40" t="str">
        <f t="shared" si="2"/>
        <v>Sony</v>
      </c>
      <c r="D20" s="40" t="str">
        <f t="shared" si="8"/>
        <v>Hải Quân</v>
      </c>
      <c r="E20" s="40">
        <v>21</v>
      </c>
      <c r="F20" s="113">
        <f t="shared" si="3"/>
        <v>2423050</v>
      </c>
      <c r="G20" s="41">
        <f t="shared" si="4"/>
        <v>50884050</v>
      </c>
      <c r="I20" s="42" t="s">
        <v>105</v>
      </c>
      <c r="J20" s="115">
        <f t="shared" ca="1" si="10"/>
        <v>280652400</v>
      </c>
      <c r="L20" s="65" t="s">
        <v>105</v>
      </c>
      <c r="M20" s="113">
        <f t="shared" si="11"/>
        <v>0</v>
      </c>
      <c r="N20" s="113">
        <f t="shared" si="12"/>
        <v>152020050</v>
      </c>
      <c r="O20" s="113">
        <f t="shared" si="13"/>
        <v>128632350</v>
      </c>
    </row>
    <row r="21" spans="1:15" s="31" customFormat="1" ht="16.5" x14ac:dyDescent="0.35">
      <c r="D21" s="114"/>
      <c r="I21" s="42" t="s">
        <v>107</v>
      </c>
      <c r="J21" s="115">
        <f t="shared" ca="1" si="10"/>
        <v>2460238550</v>
      </c>
      <c r="L21" s="65" t="s">
        <v>107</v>
      </c>
      <c r="M21" s="113">
        <f t="shared" si="11"/>
        <v>1951924800</v>
      </c>
      <c r="N21" s="113">
        <f t="shared" si="12"/>
        <v>508313750</v>
      </c>
      <c r="O21" s="113">
        <f t="shared" si="13"/>
        <v>0</v>
      </c>
    </row>
    <row r="22" spans="1:15" s="31" customFormat="1" ht="17" thickBot="1" x14ac:dyDescent="0.4">
      <c r="A22" s="66" t="s">
        <v>121</v>
      </c>
      <c r="I22" s="46" t="s">
        <v>110</v>
      </c>
      <c r="J22" s="115">
        <f t="shared" ca="1" si="10"/>
        <v>548030700</v>
      </c>
      <c r="L22" s="67" t="s">
        <v>110</v>
      </c>
      <c r="M22" s="113">
        <f t="shared" si="11"/>
        <v>0</v>
      </c>
      <c r="N22" s="113">
        <f t="shared" si="12"/>
        <v>322371000</v>
      </c>
      <c r="O22" s="113">
        <f t="shared" si="13"/>
        <v>225659700</v>
      </c>
    </row>
    <row r="23" spans="1:15" s="68" customFormat="1" ht="18" x14ac:dyDescent="0.4">
      <c r="A23" s="68" t="s">
        <v>122</v>
      </c>
    </row>
    <row r="24" spans="1:15" s="68" customFormat="1" ht="18" x14ac:dyDescent="0.4">
      <c r="A24" s="68" t="s">
        <v>123</v>
      </c>
    </row>
    <row r="25" spans="1:15" s="68" customFormat="1" ht="18" x14ac:dyDescent="0.4">
      <c r="A25" s="68" t="s">
        <v>124</v>
      </c>
    </row>
    <row r="26" spans="1:15" s="68" customFormat="1" ht="18" x14ac:dyDescent="0.4">
      <c r="A26" s="68" t="s">
        <v>125</v>
      </c>
      <c r="K26" s="31"/>
      <c r="M26" s="116"/>
    </row>
    <row r="27" spans="1:15" s="68" customFormat="1" ht="18" x14ac:dyDescent="0.4">
      <c r="A27" s="68" t="s">
        <v>126</v>
      </c>
      <c r="J27" s="69"/>
      <c r="K27" s="31"/>
    </row>
    <row r="28" spans="1:15" s="68" customFormat="1" ht="18" x14ac:dyDescent="0.4">
      <c r="A28" s="68" t="s">
        <v>127</v>
      </c>
      <c r="F28" s="70"/>
      <c r="I28" s="71"/>
      <c r="J28" s="71"/>
      <c r="K28" s="31"/>
    </row>
    <row r="29" spans="1:15" s="68" customFormat="1" ht="18" x14ac:dyDescent="0.4">
      <c r="A29" s="68" t="s">
        <v>128</v>
      </c>
      <c r="I29" s="71"/>
      <c r="J29" s="71"/>
      <c r="K29" s="31"/>
    </row>
    <row r="30" spans="1:15" s="68" customFormat="1" ht="18" x14ac:dyDescent="0.4">
      <c r="A30" s="68" t="s">
        <v>129</v>
      </c>
      <c r="I30" s="71"/>
      <c r="J30" s="71"/>
      <c r="K30" s="31"/>
    </row>
    <row r="31" spans="1:15" s="68" customFormat="1" ht="18" x14ac:dyDescent="0.4">
      <c r="A31" s="68" t="s">
        <v>130</v>
      </c>
      <c r="I31" s="71"/>
      <c r="J31" s="71"/>
    </row>
    <row r="32" spans="1:15" s="68" customFormat="1" ht="18" x14ac:dyDescent="0.4">
      <c r="A32" s="68" t="s">
        <v>131</v>
      </c>
      <c r="I32" s="71"/>
      <c r="J32" s="71"/>
    </row>
    <row r="33" spans="1:10" s="68" customFormat="1" ht="18" x14ac:dyDescent="0.4">
      <c r="A33" s="68" t="s">
        <v>132</v>
      </c>
      <c r="I33" s="71"/>
      <c r="J33" s="71"/>
    </row>
    <row r="40" spans="1:10" x14ac:dyDescent="0.3">
      <c r="D40" s="72"/>
    </row>
    <row r="41" spans="1:10" x14ac:dyDescent="0.3">
      <c r="D41" s="72"/>
    </row>
    <row r="42" spans="1:10" x14ac:dyDescent="0.3">
      <c r="D42" s="72"/>
    </row>
    <row r="43" spans="1:10" x14ac:dyDescent="0.3">
      <c r="D43" s="72"/>
    </row>
  </sheetData>
  <mergeCells count="3">
    <mergeCell ref="A1:G1"/>
    <mergeCell ref="I8:K8"/>
    <mergeCell ref="M8:O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2"/>
  <sheetViews>
    <sheetView zoomScale="85" zoomScaleNormal="85" workbookViewId="0">
      <pane ySplit="1" topLeftCell="A5" activePane="bottomLeft" state="frozen"/>
      <selection pane="bottomLeft" activeCell="E20" sqref="E20"/>
    </sheetView>
  </sheetViews>
  <sheetFormatPr defaultRowHeight="14.5" x14ac:dyDescent="0.35"/>
  <cols>
    <col min="2" max="2" width="30.453125" bestFit="1" customWidth="1"/>
    <col min="3" max="3" width="18.453125" customWidth="1"/>
    <col min="4" max="5" width="14" customWidth="1"/>
    <col min="6" max="6" width="11.1796875" customWidth="1"/>
    <col min="7" max="7" width="17" customWidth="1"/>
    <col min="8" max="8" width="11.7265625" customWidth="1"/>
    <col min="9" max="9" width="12.1796875" customWidth="1"/>
    <col min="10" max="10" width="12.81640625" customWidth="1"/>
  </cols>
  <sheetData>
    <row r="1" spans="1:10" ht="25" x14ac:dyDescent="0.5">
      <c r="A1" s="146" t="s">
        <v>133</v>
      </c>
      <c r="B1" s="146"/>
      <c r="C1" s="146"/>
      <c r="D1" s="146"/>
      <c r="E1" s="146"/>
      <c r="F1" s="146"/>
      <c r="G1" s="146"/>
      <c r="H1" s="146"/>
      <c r="I1" s="146"/>
      <c r="J1" s="146"/>
    </row>
    <row r="2" spans="1:10" ht="38" x14ac:dyDescent="0.35">
      <c r="A2" s="73" t="s">
        <v>134</v>
      </c>
      <c r="B2" s="73" t="s">
        <v>135</v>
      </c>
      <c r="C2" s="73" t="s">
        <v>136</v>
      </c>
      <c r="D2" s="73" t="s">
        <v>137</v>
      </c>
      <c r="E2" s="73" t="s">
        <v>138</v>
      </c>
      <c r="F2" s="73" t="s">
        <v>139</v>
      </c>
      <c r="G2" s="73" t="s">
        <v>140</v>
      </c>
      <c r="H2" s="73" t="s">
        <v>141</v>
      </c>
      <c r="I2" s="73" t="s">
        <v>17</v>
      </c>
      <c r="J2" s="73" t="s">
        <v>142</v>
      </c>
    </row>
    <row r="3" spans="1:10" ht="19" x14ac:dyDescent="0.4">
      <c r="A3" s="74">
        <v>1</v>
      </c>
      <c r="B3" s="74" t="str">
        <f>PROPER("nguyễn văn tâm")</f>
        <v>Nguyễn Văn Tâm</v>
      </c>
      <c r="C3" s="75">
        <v>32781</v>
      </c>
      <c r="D3" s="117">
        <f ca="1">YEAR(NOW())-YEAR(C3)</f>
        <v>32</v>
      </c>
      <c r="E3" s="74">
        <v>4</v>
      </c>
      <c r="F3" s="74">
        <v>5</v>
      </c>
      <c r="G3" s="74">
        <v>3</v>
      </c>
      <c r="H3" s="74">
        <f>SUM(E3:G3)</f>
        <v>12</v>
      </c>
      <c r="I3" s="74">
        <f>((E3*2)+(F3*2)+G3)/5</f>
        <v>4.2</v>
      </c>
      <c r="J3" s="154" t="str">
        <f>IF(I3&gt;=5,"ĐẬU","RỚT")</f>
        <v>RỚT</v>
      </c>
    </row>
    <row r="4" spans="1:10" ht="19" x14ac:dyDescent="0.4">
      <c r="A4" s="74">
        <v>2</v>
      </c>
      <c r="B4" s="74" t="str">
        <f>PROPER("nguyễn thị hằng")</f>
        <v>Nguyễn Thị Hằng</v>
      </c>
      <c r="C4" s="75">
        <v>32803</v>
      </c>
      <c r="D4" s="117">
        <f t="shared" ref="D4:D17" ca="1" si="0">YEAR(NOW())-YEAR(C4)</f>
        <v>32</v>
      </c>
      <c r="E4" s="74">
        <v>5</v>
      </c>
      <c r="F4" s="74">
        <v>2</v>
      </c>
      <c r="G4" s="74">
        <v>8</v>
      </c>
      <c r="H4" s="74">
        <f t="shared" ref="H4:H17" si="1">SUM(E4:G4)</f>
        <v>15</v>
      </c>
      <c r="I4" s="74">
        <f t="shared" ref="I4:I17" si="2">((E4*2)+(F4*2)+G4)/5</f>
        <v>4.4000000000000004</v>
      </c>
      <c r="J4" s="154" t="str">
        <f t="shared" ref="J4:J17" si="3">IF(I4&gt;=5,"ĐẬU","RỚT")</f>
        <v>RỚT</v>
      </c>
    </row>
    <row r="5" spans="1:10" ht="19" x14ac:dyDescent="0.4">
      <c r="A5" s="74">
        <v>3</v>
      </c>
      <c r="B5" s="74" t="str">
        <f>PROPER("ngô thị nga")</f>
        <v>Ngô Thị Nga</v>
      </c>
      <c r="C5" s="75">
        <v>33856</v>
      </c>
      <c r="D5" s="117">
        <f t="shared" ca="1" si="0"/>
        <v>29</v>
      </c>
      <c r="E5" s="74">
        <v>6</v>
      </c>
      <c r="F5" s="74">
        <v>6</v>
      </c>
      <c r="G5" s="74">
        <v>6</v>
      </c>
      <c r="H5" s="74">
        <f t="shared" si="1"/>
        <v>18</v>
      </c>
      <c r="I5" s="74">
        <f t="shared" si="2"/>
        <v>6</v>
      </c>
      <c r="J5" s="118" t="str">
        <f t="shared" si="3"/>
        <v>ĐẬU</v>
      </c>
    </row>
    <row r="6" spans="1:10" ht="19" x14ac:dyDescent="0.4">
      <c r="A6" s="74">
        <v>4</v>
      </c>
      <c r="B6" s="74" t="str">
        <f>PROPER("trần thiên thu")</f>
        <v>Trần Thiên Thu</v>
      </c>
      <c r="C6" s="75">
        <v>35061</v>
      </c>
      <c r="D6" s="117">
        <f t="shared" ca="1" si="0"/>
        <v>26</v>
      </c>
      <c r="E6" s="74">
        <v>2</v>
      </c>
      <c r="F6" s="74">
        <v>5</v>
      </c>
      <c r="G6" s="74">
        <v>5</v>
      </c>
      <c r="H6" s="74">
        <f t="shared" si="1"/>
        <v>12</v>
      </c>
      <c r="I6" s="74">
        <f t="shared" si="2"/>
        <v>3.8</v>
      </c>
      <c r="J6" s="154" t="str">
        <f t="shared" si="3"/>
        <v>RỚT</v>
      </c>
    </row>
    <row r="7" spans="1:10" ht="19" x14ac:dyDescent="0.4">
      <c r="A7" s="74">
        <v>5</v>
      </c>
      <c r="B7" s="74" t="str">
        <f>PROPER("lâm hoàng cát")</f>
        <v>Lâm Hoàng Cát</v>
      </c>
      <c r="C7" s="75">
        <v>32383</v>
      </c>
      <c r="D7" s="117">
        <f t="shared" ca="1" si="0"/>
        <v>33</v>
      </c>
      <c r="E7" s="74">
        <v>7</v>
      </c>
      <c r="F7" s="74">
        <v>5</v>
      </c>
      <c r="G7" s="74">
        <v>7</v>
      </c>
      <c r="H7" s="74">
        <f t="shared" si="1"/>
        <v>19</v>
      </c>
      <c r="I7" s="74">
        <f t="shared" si="2"/>
        <v>6.2</v>
      </c>
      <c r="J7" s="118" t="str">
        <f t="shared" si="3"/>
        <v>ĐẬU</v>
      </c>
    </row>
    <row r="8" spans="1:10" ht="19" x14ac:dyDescent="0.4">
      <c r="A8" s="74">
        <v>6</v>
      </c>
      <c r="B8" s="74" t="str">
        <f>PROPER("lê hoài sơn")</f>
        <v>Lê Hoài Sơn</v>
      </c>
      <c r="C8" s="75">
        <v>33176</v>
      </c>
      <c r="D8" s="117">
        <f t="shared" ca="1" si="0"/>
        <v>31</v>
      </c>
      <c r="E8" s="74">
        <v>8</v>
      </c>
      <c r="F8" s="74">
        <v>5</v>
      </c>
      <c r="G8" s="74">
        <v>7</v>
      </c>
      <c r="H8" s="74">
        <f t="shared" si="1"/>
        <v>20</v>
      </c>
      <c r="I8" s="74">
        <f t="shared" si="2"/>
        <v>6.6</v>
      </c>
      <c r="J8" s="118" t="str">
        <f t="shared" si="3"/>
        <v>ĐẬU</v>
      </c>
    </row>
    <row r="9" spans="1:10" ht="19" x14ac:dyDescent="0.4">
      <c r="A9" s="74">
        <v>7</v>
      </c>
      <c r="B9" s="74" t="str">
        <f>PROPER("lý lâm")</f>
        <v>Lý Lâm</v>
      </c>
      <c r="C9" s="75">
        <v>36102</v>
      </c>
      <c r="D9" s="117">
        <f t="shared" ca="1" si="0"/>
        <v>23</v>
      </c>
      <c r="E9" s="74">
        <v>9</v>
      </c>
      <c r="F9" s="74">
        <v>5</v>
      </c>
      <c r="G9" s="74">
        <v>8</v>
      </c>
      <c r="H9" s="74">
        <f t="shared" si="1"/>
        <v>22</v>
      </c>
      <c r="I9" s="74">
        <f t="shared" si="2"/>
        <v>7.2</v>
      </c>
      <c r="J9" s="118" t="str">
        <f t="shared" si="3"/>
        <v>ĐẬU</v>
      </c>
    </row>
    <row r="10" spans="1:10" ht="19" x14ac:dyDescent="0.4">
      <c r="A10" s="74">
        <v>8</v>
      </c>
      <c r="B10" s="74" t="str">
        <f>PROPER("trần văn trung")</f>
        <v>Trần Văn Trung</v>
      </c>
      <c r="C10" s="75">
        <v>33140</v>
      </c>
      <c r="D10" s="117">
        <f t="shared" ca="1" si="0"/>
        <v>31</v>
      </c>
      <c r="E10" s="74">
        <v>4</v>
      </c>
      <c r="F10" s="74">
        <v>5</v>
      </c>
      <c r="G10" s="74">
        <v>6</v>
      </c>
      <c r="H10" s="74">
        <f t="shared" si="1"/>
        <v>15</v>
      </c>
      <c r="I10" s="74">
        <f t="shared" si="2"/>
        <v>4.8</v>
      </c>
      <c r="J10" s="154" t="str">
        <f t="shared" si="3"/>
        <v>RỚT</v>
      </c>
    </row>
    <row r="11" spans="1:10" ht="19" x14ac:dyDescent="0.4">
      <c r="A11" s="74">
        <v>9</v>
      </c>
      <c r="B11" s="74" t="str">
        <f>PROPER("nguyễn văn tráng")</f>
        <v>Nguyễn Văn Tráng</v>
      </c>
      <c r="C11" s="75">
        <v>35045</v>
      </c>
      <c r="D11" s="117">
        <f t="shared" ca="1" si="0"/>
        <v>26</v>
      </c>
      <c r="E11" s="74">
        <v>6</v>
      </c>
      <c r="F11" s="74">
        <v>5</v>
      </c>
      <c r="G11" s="74">
        <v>5</v>
      </c>
      <c r="H11" s="74">
        <f t="shared" si="1"/>
        <v>16</v>
      </c>
      <c r="I11" s="74">
        <f t="shared" si="2"/>
        <v>5.4</v>
      </c>
      <c r="J11" s="118" t="str">
        <f t="shared" si="3"/>
        <v>ĐẬU</v>
      </c>
    </row>
    <row r="12" spans="1:10" ht="19" x14ac:dyDescent="0.4">
      <c r="A12" s="74">
        <v>10</v>
      </c>
      <c r="B12" s="74" t="str">
        <f>PROPER("lý thu nga")</f>
        <v>Lý Thu Nga</v>
      </c>
      <c r="C12" s="75">
        <v>32446</v>
      </c>
      <c r="D12" s="117">
        <f t="shared" ca="1" si="0"/>
        <v>33</v>
      </c>
      <c r="E12" s="74">
        <v>8</v>
      </c>
      <c r="F12" s="74">
        <v>4</v>
      </c>
      <c r="G12" s="74">
        <v>6</v>
      </c>
      <c r="H12" s="74">
        <f t="shared" si="1"/>
        <v>18</v>
      </c>
      <c r="I12" s="74">
        <f t="shared" si="2"/>
        <v>6</v>
      </c>
      <c r="J12" s="118" t="str">
        <f t="shared" si="3"/>
        <v>ĐẬU</v>
      </c>
    </row>
    <row r="13" spans="1:10" ht="19" x14ac:dyDescent="0.4">
      <c r="A13" s="74">
        <v>11</v>
      </c>
      <c r="B13" s="74" t="str">
        <f>PROPER("nguyễn văn hùng")</f>
        <v>Nguyễn Văn Hùng</v>
      </c>
      <c r="C13" s="75">
        <v>33137</v>
      </c>
      <c r="D13" s="117">
        <f t="shared" ca="1" si="0"/>
        <v>31</v>
      </c>
      <c r="E13" s="74">
        <v>4</v>
      </c>
      <c r="F13" s="74">
        <v>4</v>
      </c>
      <c r="G13" s="74">
        <v>6</v>
      </c>
      <c r="H13" s="74">
        <f t="shared" si="1"/>
        <v>14</v>
      </c>
      <c r="I13" s="74">
        <f t="shared" si="2"/>
        <v>4.4000000000000004</v>
      </c>
      <c r="J13" s="154" t="str">
        <f t="shared" si="3"/>
        <v>RỚT</v>
      </c>
    </row>
    <row r="14" spans="1:10" ht="19" x14ac:dyDescent="0.4">
      <c r="A14" s="74">
        <v>12</v>
      </c>
      <c r="B14" s="74" t="str">
        <f>PROPER("trần thi phượng")</f>
        <v>Trần Thi Phượng</v>
      </c>
      <c r="C14" s="75">
        <v>33480</v>
      </c>
      <c r="D14" s="117">
        <f t="shared" ca="1" si="0"/>
        <v>30</v>
      </c>
      <c r="E14" s="74">
        <v>7</v>
      </c>
      <c r="F14" s="74">
        <v>7</v>
      </c>
      <c r="G14" s="74">
        <v>6</v>
      </c>
      <c r="H14" s="74">
        <f t="shared" si="1"/>
        <v>20</v>
      </c>
      <c r="I14" s="74">
        <f t="shared" si="2"/>
        <v>6.8</v>
      </c>
      <c r="J14" s="118" t="str">
        <f t="shared" si="3"/>
        <v>ĐẬU</v>
      </c>
    </row>
    <row r="15" spans="1:10" ht="19" x14ac:dyDescent="0.4">
      <c r="A15" s="74">
        <v>13</v>
      </c>
      <c r="B15" s="74" t="str">
        <f>PROPER("võ công thành")</f>
        <v>Võ Công Thành</v>
      </c>
      <c r="C15" s="75">
        <v>34974</v>
      </c>
      <c r="D15" s="117">
        <f t="shared" ca="1" si="0"/>
        <v>26</v>
      </c>
      <c r="E15" s="74">
        <v>8</v>
      </c>
      <c r="F15" s="74">
        <v>8</v>
      </c>
      <c r="G15" s="74">
        <v>5</v>
      </c>
      <c r="H15" s="74">
        <f t="shared" si="1"/>
        <v>21</v>
      </c>
      <c r="I15" s="74">
        <f t="shared" si="2"/>
        <v>7.4</v>
      </c>
      <c r="J15" s="118" t="str">
        <f t="shared" si="3"/>
        <v>ĐẬU</v>
      </c>
    </row>
    <row r="16" spans="1:10" ht="19" x14ac:dyDescent="0.4">
      <c r="A16" s="74">
        <v>14</v>
      </c>
      <c r="B16" s="74" t="str">
        <f>PROPER("lê văn minh")</f>
        <v>Lê Văn Minh</v>
      </c>
      <c r="C16" s="75">
        <v>33126</v>
      </c>
      <c r="D16" s="117">
        <f t="shared" ca="1" si="0"/>
        <v>31</v>
      </c>
      <c r="E16" s="74">
        <v>3</v>
      </c>
      <c r="F16" s="74">
        <v>9</v>
      </c>
      <c r="G16" s="74">
        <v>8</v>
      </c>
      <c r="H16" s="74">
        <f t="shared" si="1"/>
        <v>20</v>
      </c>
      <c r="I16" s="74">
        <f t="shared" si="2"/>
        <v>6.4</v>
      </c>
      <c r="J16" s="118" t="str">
        <f t="shared" si="3"/>
        <v>ĐẬU</v>
      </c>
    </row>
    <row r="17" spans="1:10" ht="19.5" thickBot="1" x14ac:dyDescent="0.45">
      <c r="A17" s="74">
        <v>15</v>
      </c>
      <c r="B17" s="74" t="str">
        <f>PROPER("doãn hòa")</f>
        <v>Doãn Hòa</v>
      </c>
      <c r="C17" s="75">
        <v>32983</v>
      </c>
      <c r="D17" s="117">
        <f t="shared" ca="1" si="0"/>
        <v>31</v>
      </c>
      <c r="E17" s="122">
        <v>5</v>
      </c>
      <c r="F17" s="122">
        <v>8</v>
      </c>
      <c r="G17" s="122">
        <v>9</v>
      </c>
      <c r="H17" s="74">
        <f t="shared" si="1"/>
        <v>22</v>
      </c>
      <c r="I17" s="74">
        <f t="shared" si="2"/>
        <v>7</v>
      </c>
      <c r="J17" s="118" t="str">
        <f t="shared" si="3"/>
        <v>ĐẬU</v>
      </c>
    </row>
    <row r="18" spans="1:10" ht="19" x14ac:dyDescent="0.4">
      <c r="A18" s="147" t="s">
        <v>143</v>
      </c>
      <c r="B18" s="147"/>
      <c r="C18" s="76"/>
      <c r="D18" s="119"/>
      <c r="E18" s="123">
        <f>SUM(E3:E17)</f>
        <v>86</v>
      </c>
      <c r="F18" s="123">
        <f t="shared" ref="F18:G18" si="4">SUM(F3:F17)</f>
        <v>83</v>
      </c>
      <c r="G18" s="123">
        <f t="shared" si="4"/>
        <v>95</v>
      </c>
      <c r="H18" s="121"/>
      <c r="I18" s="74"/>
      <c r="J18" s="74"/>
    </row>
    <row r="19" spans="1:10" ht="19" x14ac:dyDescent="0.4">
      <c r="A19" s="147" t="s">
        <v>144</v>
      </c>
      <c r="B19" s="147"/>
      <c r="C19" s="76"/>
      <c r="D19" s="120"/>
      <c r="E19" s="124">
        <f>AVERAGE(E3:E17)</f>
        <v>5.7333333333333334</v>
      </c>
      <c r="F19" s="124">
        <f t="shared" ref="F19:G19" si="5">AVERAGE(F3:F17)</f>
        <v>5.5333333333333332</v>
      </c>
      <c r="G19" s="124">
        <f t="shared" si="5"/>
        <v>6.333333333333333</v>
      </c>
      <c r="H19" s="121"/>
      <c r="I19" s="74"/>
      <c r="J19" s="74"/>
    </row>
    <row r="20" spans="1:10" ht="19" x14ac:dyDescent="0.4">
      <c r="A20" s="147" t="s">
        <v>145</v>
      </c>
      <c r="B20" s="147"/>
      <c r="C20" s="76"/>
      <c r="D20" s="119"/>
      <c r="E20" s="125">
        <f>MAX(E3:E17)</f>
        <v>9</v>
      </c>
      <c r="F20" s="125">
        <f t="shared" ref="F20:G20" si="6">MAX(F3:F17)</f>
        <v>9</v>
      </c>
      <c r="G20" s="125">
        <f t="shared" si="6"/>
        <v>9</v>
      </c>
      <c r="H20" s="121"/>
      <c r="I20" s="74"/>
      <c r="J20" s="74"/>
    </row>
    <row r="21" spans="1:10" ht="19.5" thickBot="1" x14ac:dyDescent="0.45">
      <c r="A21" s="147" t="s">
        <v>146</v>
      </c>
      <c r="B21" s="147"/>
      <c r="C21" s="76"/>
      <c r="D21" s="119"/>
      <c r="E21" s="126">
        <f>MIN(E3:E17)</f>
        <v>2</v>
      </c>
      <c r="F21" s="126">
        <f t="shared" ref="F21:G21" si="7">MIN(F3:F17)</f>
        <v>2</v>
      </c>
      <c r="G21" s="126">
        <f t="shared" si="7"/>
        <v>3</v>
      </c>
      <c r="H21" s="121"/>
      <c r="I21" s="74"/>
      <c r="J21" s="74"/>
    </row>
    <row r="23" spans="1:10" ht="21" x14ac:dyDescent="0.5">
      <c r="A23" s="77" t="s">
        <v>52</v>
      </c>
    </row>
    <row r="24" spans="1:10" s="78" customFormat="1" ht="20" x14ac:dyDescent="0.4">
      <c r="A24" s="78" t="s">
        <v>147</v>
      </c>
    </row>
    <row r="25" spans="1:10" s="78" customFormat="1" ht="20" x14ac:dyDescent="0.4">
      <c r="A25" s="78" t="s">
        <v>148</v>
      </c>
      <c r="C25" s="79"/>
    </row>
    <row r="26" spans="1:10" s="78" customFormat="1" ht="20" x14ac:dyDescent="0.4">
      <c r="A26" s="78" t="s">
        <v>149</v>
      </c>
    </row>
    <row r="27" spans="1:10" s="78" customFormat="1" ht="20" x14ac:dyDescent="0.4">
      <c r="A27" s="78" t="s">
        <v>150</v>
      </c>
    </row>
    <row r="28" spans="1:10" s="78" customFormat="1" ht="20" x14ac:dyDescent="0.4">
      <c r="A28" s="78" t="s">
        <v>151</v>
      </c>
    </row>
    <row r="29" spans="1:10" s="78" customFormat="1" ht="20" x14ac:dyDescent="0.4">
      <c r="A29" s="78" t="s">
        <v>152</v>
      </c>
    </row>
    <row r="30" spans="1:10" s="78" customFormat="1" ht="20" x14ac:dyDescent="0.4">
      <c r="A30" s="78" t="s">
        <v>153</v>
      </c>
    </row>
    <row r="31" spans="1:10" s="78" customFormat="1" ht="20" x14ac:dyDescent="0.4">
      <c r="A31" s="78" t="s">
        <v>154</v>
      </c>
    </row>
    <row r="32" spans="1:10" ht="20" x14ac:dyDescent="0.4">
      <c r="A32" s="78" t="s">
        <v>155</v>
      </c>
    </row>
  </sheetData>
  <mergeCells count="5">
    <mergeCell ref="A1:J1"/>
    <mergeCell ref="A18:B18"/>
    <mergeCell ref="A19:B19"/>
    <mergeCell ref="A20:B20"/>
    <mergeCell ref="A21:B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"/>
  <sheetViews>
    <sheetView topLeftCell="A13" workbookViewId="0">
      <selection activeCell="G3" sqref="G3"/>
    </sheetView>
  </sheetViews>
  <sheetFormatPr defaultRowHeight="14.5" x14ac:dyDescent="0.35"/>
  <cols>
    <col min="1" max="1" width="9.81640625" customWidth="1"/>
    <col min="2" max="2" width="11.81640625" customWidth="1"/>
    <col min="3" max="3" width="13.1796875" customWidth="1"/>
    <col min="4" max="4" width="14.54296875" customWidth="1"/>
    <col min="5" max="5" width="16.26953125" customWidth="1"/>
    <col min="6" max="6" width="19.1796875" customWidth="1"/>
    <col min="7" max="7" width="16.453125" customWidth="1"/>
    <col min="8" max="8" width="13.81640625" customWidth="1"/>
    <col min="9" max="9" width="18.54296875" customWidth="1"/>
  </cols>
  <sheetData>
    <row r="1" spans="1:9" ht="24" thickBot="1" x14ac:dyDescent="0.6">
      <c r="A1" s="148" t="s">
        <v>156</v>
      </c>
      <c r="B1" s="148"/>
      <c r="C1" s="148"/>
      <c r="D1" s="148"/>
      <c r="E1" s="148"/>
      <c r="F1" s="148"/>
      <c r="G1" s="148"/>
      <c r="H1" s="148"/>
      <c r="I1" s="148"/>
    </row>
    <row r="2" spans="1:9" ht="18" thickTop="1" thickBot="1" x14ac:dyDescent="0.45">
      <c r="A2" s="80" t="s">
        <v>157</v>
      </c>
      <c r="B2" s="80" t="s">
        <v>158</v>
      </c>
      <c r="C2" s="80" t="s">
        <v>159</v>
      </c>
      <c r="D2" s="80" t="s">
        <v>160</v>
      </c>
      <c r="E2" s="80" t="s">
        <v>161</v>
      </c>
      <c r="F2" s="80" t="s">
        <v>162</v>
      </c>
      <c r="G2" s="80" t="s">
        <v>163</v>
      </c>
      <c r="H2" s="80" t="s">
        <v>164</v>
      </c>
      <c r="I2" s="80" t="s">
        <v>165</v>
      </c>
    </row>
    <row r="3" spans="1:9" ht="19" thickTop="1" x14ac:dyDescent="0.45">
      <c r="A3" s="129">
        <v>1</v>
      </c>
      <c r="B3" s="81" t="s">
        <v>166</v>
      </c>
      <c r="C3" s="81">
        <v>8</v>
      </c>
      <c r="D3" s="81">
        <v>15</v>
      </c>
      <c r="E3" s="81">
        <v>9</v>
      </c>
      <c r="F3" s="127">
        <f>AVERAGE(C3:E3)</f>
        <v>10.666666666666666</v>
      </c>
      <c r="G3" s="128" t="str">
        <f>IF(F3&gt;=16,"Excellent",IF(AND(F3&lt;16,F3&gt;=14),"Very Good",IF(AND(F3&lt;14,F3&gt;=12),"Good",IF(AND(F3&lt;12,F3&gt;=10),"Pass","Fail"))))</f>
        <v>Pass</v>
      </c>
      <c r="H3" s="81">
        <f>RANK(F3,$F$3:$F$13,0)</f>
        <v>8</v>
      </c>
      <c r="I3" s="81" t="str">
        <f>IF(AND(F3&gt;12,C3&gt;10,D3&gt;10,E3&gt;10),"Reward","Fail")</f>
        <v>Fail</v>
      </c>
    </row>
    <row r="4" spans="1:9" ht="18.5" x14ac:dyDescent="0.45">
      <c r="A4" s="129">
        <v>2</v>
      </c>
      <c r="B4" s="81" t="s">
        <v>167</v>
      </c>
      <c r="C4" s="81">
        <v>4</v>
      </c>
      <c r="D4" s="81">
        <v>15</v>
      </c>
      <c r="E4" s="81">
        <v>16</v>
      </c>
      <c r="F4" s="127">
        <f t="shared" ref="F4:F13" si="0">AVERAGE(C4:E4)</f>
        <v>11.666666666666666</v>
      </c>
      <c r="G4" s="128" t="str">
        <f t="shared" ref="G4:G13" si="1">IF(F4&gt;=16,"Excellent",IF(AND(F4&lt;16,F4&gt;=14),"Very Good",IF(AND(F4&lt;14,F4&gt;=12),"Good",IF(AND(F4&lt;12,F4&gt;=10),"Pass","Fail"))))</f>
        <v>Pass</v>
      </c>
      <c r="H4" s="81">
        <f t="shared" ref="H4:H13" si="2">RANK(F4,$F$3:$F$13,0)</f>
        <v>5</v>
      </c>
      <c r="I4" s="81" t="str">
        <f t="shared" ref="I4:I13" si="3">IF(AND(F4&gt;12,C4&gt;10,D4&gt;10,E4&gt;10),"Reward","Fail")</f>
        <v>Fail</v>
      </c>
    </row>
    <row r="5" spans="1:9" ht="18.5" x14ac:dyDescent="0.45">
      <c r="A5" s="129">
        <v>3</v>
      </c>
      <c r="B5" s="81" t="s">
        <v>168</v>
      </c>
      <c r="C5" s="81">
        <v>11</v>
      </c>
      <c r="D5" s="81">
        <v>6</v>
      </c>
      <c r="E5" s="81">
        <v>8</v>
      </c>
      <c r="F5" s="127">
        <f t="shared" si="0"/>
        <v>8.3333333333333339</v>
      </c>
      <c r="G5" s="128" t="str">
        <f t="shared" si="1"/>
        <v>Fail</v>
      </c>
      <c r="H5" s="81">
        <f t="shared" si="2"/>
        <v>10</v>
      </c>
      <c r="I5" s="81" t="str">
        <f t="shared" si="3"/>
        <v>Fail</v>
      </c>
    </row>
    <row r="6" spans="1:9" ht="18.5" x14ac:dyDescent="0.45">
      <c r="A6" s="129">
        <v>4</v>
      </c>
      <c r="B6" s="81" t="s">
        <v>169</v>
      </c>
      <c r="C6" s="81">
        <v>17</v>
      </c>
      <c r="D6" s="81">
        <v>16</v>
      </c>
      <c r="E6" s="81">
        <v>3</v>
      </c>
      <c r="F6" s="127">
        <f t="shared" si="0"/>
        <v>12</v>
      </c>
      <c r="G6" s="128" t="str">
        <f t="shared" si="1"/>
        <v>Good</v>
      </c>
      <c r="H6" s="81">
        <f t="shared" si="2"/>
        <v>4</v>
      </c>
      <c r="I6" s="81" t="str">
        <f t="shared" si="3"/>
        <v>Fail</v>
      </c>
    </row>
    <row r="7" spans="1:9" ht="18.5" x14ac:dyDescent="0.45">
      <c r="A7" s="129">
        <v>5</v>
      </c>
      <c r="B7" s="81" t="s">
        <v>170</v>
      </c>
      <c r="C7" s="81">
        <v>17</v>
      </c>
      <c r="D7" s="81">
        <v>18</v>
      </c>
      <c r="E7" s="81">
        <v>10</v>
      </c>
      <c r="F7" s="127">
        <f t="shared" si="0"/>
        <v>15</v>
      </c>
      <c r="G7" s="128" t="str">
        <f t="shared" si="1"/>
        <v>Very Good</v>
      </c>
      <c r="H7" s="81">
        <f t="shared" si="2"/>
        <v>2</v>
      </c>
      <c r="I7" s="81" t="str">
        <f t="shared" si="3"/>
        <v>Fail</v>
      </c>
    </row>
    <row r="8" spans="1:9" ht="18.5" x14ac:dyDescent="0.45">
      <c r="A8" s="129">
        <v>6</v>
      </c>
      <c r="B8" s="81" t="s">
        <v>171</v>
      </c>
      <c r="C8" s="81">
        <v>6</v>
      </c>
      <c r="D8" s="81">
        <v>5</v>
      </c>
      <c r="E8" s="81">
        <v>13</v>
      </c>
      <c r="F8" s="127">
        <f t="shared" si="0"/>
        <v>8</v>
      </c>
      <c r="G8" s="128" t="str">
        <f t="shared" si="1"/>
        <v>Fail</v>
      </c>
      <c r="H8" s="81">
        <f t="shared" si="2"/>
        <v>11</v>
      </c>
      <c r="I8" s="81" t="str">
        <f t="shared" si="3"/>
        <v>Fail</v>
      </c>
    </row>
    <row r="9" spans="1:9" ht="18.5" x14ac:dyDescent="0.45">
      <c r="A9" s="129">
        <v>7</v>
      </c>
      <c r="B9" s="81" t="s">
        <v>172</v>
      </c>
      <c r="C9" s="81">
        <v>18</v>
      </c>
      <c r="D9" s="81">
        <v>19</v>
      </c>
      <c r="E9" s="81">
        <v>15</v>
      </c>
      <c r="F9" s="127">
        <f t="shared" si="0"/>
        <v>17.333333333333332</v>
      </c>
      <c r="G9" s="128" t="str">
        <f t="shared" si="1"/>
        <v>Excellent</v>
      </c>
      <c r="H9" s="81">
        <f t="shared" si="2"/>
        <v>1</v>
      </c>
      <c r="I9" s="81" t="str">
        <f t="shared" si="3"/>
        <v>Reward</v>
      </c>
    </row>
    <row r="10" spans="1:9" ht="18.5" x14ac:dyDescent="0.45">
      <c r="A10" s="129">
        <v>8</v>
      </c>
      <c r="B10" s="81" t="s">
        <v>173</v>
      </c>
      <c r="C10" s="81">
        <v>15</v>
      </c>
      <c r="D10" s="81">
        <v>8</v>
      </c>
      <c r="E10" s="81">
        <v>6</v>
      </c>
      <c r="F10" s="127">
        <f t="shared" si="0"/>
        <v>9.6666666666666661</v>
      </c>
      <c r="G10" s="128" t="str">
        <f t="shared" si="1"/>
        <v>Fail</v>
      </c>
      <c r="H10" s="81">
        <f t="shared" si="2"/>
        <v>9</v>
      </c>
      <c r="I10" s="81" t="str">
        <f t="shared" si="3"/>
        <v>Fail</v>
      </c>
    </row>
    <row r="11" spans="1:9" ht="18.5" x14ac:dyDescent="0.45">
      <c r="A11" s="129">
        <v>9</v>
      </c>
      <c r="B11" s="81" t="s">
        <v>174</v>
      </c>
      <c r="C11" s="81">
        <v>15</v>
      </c>
      <c r="D11" s="81">
        <v>4</v>
      </c>
      <c r="E11" s="81">
        <v>16</v>
      </c>
      <c r="F11" s="127">
        <f t="shared" si="0"/>
        <v>11.666666666666666</v>
      </c>
      <c r="G11" s="128" t="str">
        <f t="shared" si="1"/>
        <v>Pass</v>
      </c>
      <c r="H11" s="81">
        <f t="shared" si="2"/>
        <v>5</v>
      </c>
      <c r="I11" s="81" t="str">
        <f t="shared" si="3"/>
        <v>Fail</v>
      </c>
    </row>
    <row r="12" spans="1:9" ht="18.5" x14ac:dyDescent="0.45">
      <c r="A12" s="129">
        <v>10</v>
      </c>
      <c r="B12" s="81" t="s">
        <v>169</v>
      </c>
      <c r="C12" s="81">
        <v>6</v>
      </c>
      <c r="D12" s="81">
        <v>11</v>
      </c>
      <c r="E12" s="81">
        <v>18</v>
      </c>
      <c r="F12" s="127">
        <f t="shared" si="0"/>
        <v>11.666666666666666</v>
      </c>
      <c r="G12" s="128" t="str">
        <f t="shared" si="1"/>
        <v>Pass</v>
      </c>
      <c r="H12" s="81">
        <f t="shared" si="2"/>
        <v>5</v>
      </c>
      <c r="I12" s="81" t="str">
        <f t="shared" si="3"/>
        <v>Fail</v>
      </c>
    </row>
    <row r="13" spans="1:9" ht="18.5" x14ac:dyDescent="0.45">
      <c r="A13" s="129">
        <v>11</v>
      </c>
      <c r="B13" s="81" t="s">
        <v>175</v>
      </c>
      <c r="C13" s="81">
        <v>16</v>
      </c>
      <c r="D13" s="81">
        <v>17</v>
      </c>
      <c r="E13" s="81">
        <v>5</v>
      </c>
      <c r="F13" s="127">
        <f t="shared" si="0"/>
        <v>12.666666666666666</v>
      </c>
      <c r="G13" s="128" t="str">
        <f t="shared" si="1"/>
        <v>Good</v>
      </c>
      <c r="H13" s="81">
        <f t="shared" si="2"/>
        <v>3</v>
      </c>
      <c r="I13" s="81" t="str">
        <f t="shared" si="3"/>
        <v>Fail</v>
      </c>
    </row>
    <row r="14" spans="1:9" ht="18.5" x14ac:dyDescent="0.45">
      <c r="B14" s="82"/>
      <c r="C14" s="82"/>
      <c r="D14" s="82"/>
      <c r="E14" s="82"/>
    </row>
    <row r="15" spans="1:9" ht="18.5" x14ac:dyDescent="0.45">
      <c r="A15" s="83" t="s">
        <v>121</v>
      </c>
      <c r="C15" s="82"/>
    </row>
    <row r="16" spans="1:9" s="84" customFormat="1" ht="20.5" x14ac:dyDescent="0.45">
      <c r="A16" s="84" t="s">
        <v>176</v>
      </c>
      <c r="B16" s="85"/>
    </row>
    <row r="17" spans="1:3" s="84" customFormat="1" ht="20.5" x14ac:dyDescent="0.45">
      <c r="A17" s="84" t="s">
        <v>177</v>
      </c>
    </row>
    <row r="18" spans="1:3" s="84" customFormat="1" ht="20.5" x14ac:dyDescent="0.45">
      <c r="B18" s="84" t="s">
        <v>178</v>
      </c>
    </row>
    <row r="19" spans="1:3" s="84" customFormat="1" ht="20.5" x14ac:dyDescent="0.45">
      <c r="B19" s="84" t="s">
        <v>179</v>
      </c>
      <c r="C19" s="86"/>
    </row>
    <row r="20" spans="1:3" s="84" customFormat="1" ht="20.5" x14ac:dyDescent="0.45">
      <c r="B20" s="84" t="s">
        <v>180</v>
      </c>
      <c r="C20" s="86"/>
    </row>
    <row r="21" spans="1:3" s="84" customFormat="1" ht="20.5" x14ac:dyDescent="0.45">
      <c r="B21" s="84" t="s">
        <v>181</v>
      </c>
      <c r="C21" s="86"/>
    </row>
    <row r="22" spans="1:3" s="87" customFormat="1" ht="21" x14ac:dyDescent="0.5">
      <c r="B22" s="84" t="s">
        <v>182</v>
      </c>
      <c r="C22" s="86"/>
    </row>
    <row r="23" spans="1:3" s="87" customFormat="1" ht="21" x14ac:dyDescent="0.5">
      <c r="A23" s="84" t="s">
        <v>183</v>
      </c>
      <c r="C23" s="86"/>
    </row>
    <row r="24" spans="1:3" s="87" customFormat="1" ht="21" x14ac:dyDescent="0.5">
      <c r="A24" s="84" t="s">
        <v>184</v>
      </c>
    </row>
    <row r="25" spans="1:3" s="87" customFormat="1" ht="21" x14ac:dyDescent="0.5">
      <c r="A25" s="84" t="s">
        <v>185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9"/>
  <sheetViews>
    <sheetView zoomScale="97" zoomScaleNormal="115" workbookViewId="0">
      <selection activeCell="F3" sqref="F3"/>
    </sheetView>
  </sheetViews>
  <sheetFormatPr defaultColWidth="9.1796875" defaultRowHeight="15.5" x14ac:dyDescent="0.35"/>
  <cols>
    <col min="1" max="1" width="20" style="88" bestFit="1" customWidth="1"/>
    <col min="2" max="2" width="18" style="88" customWidth="1"/>
    <col min="3" max="4" width="9.1796875" style="88"/>
    <col min="5" max="5" width="17.54296875" style="88" customWidth="1"/>
    <col min="6" max="6" width="13.54296875" style="88" customWidth="1"/>
    <col min="7" max="7" width="14.54296875" style="88" customWidth="1"/>
    <col min="8" max="8" width="15.453125" style="88" customWidth="1"/>
    <col min="9" max="9" width="9.1796875" style="88"/>
    <col min="10" max="10" width="14.26953125" style="88" bestFit="1" customWidth="1"/>
    <col min="11" max="16384" width="9.1796875" style="88"/>
  </cols>
  <sheetData>
    <row r="1" spans="1:10" ht="20.5" thickBot="1" x14ac:dyDescent="0.45">
      <c r="A1" s="149" t="s">
        <v>186</v>
      </c>
      <c r="B1" s="149"/>
      <c r="C1" s="149"/>
      <c r="D1" s="149"/>
      <c r="E1" s="149"/>
      <c r="F1" s="149"/>
      <c r="G1" s="149"/>
      <c r="H1" s="149"/>
      <c r="I1" s="149"/>
      <c r="J1" s="149"/>
    </row>
    <row r="2" spans="1:10" ht="31" x14ac:dyDescent="0.35">
      <c r="A2" s="89" t="s">
        <v>187</v>
      </c>
      <c r="B2" s="90" t="s">
        <v>188</v>
      </c>
      <c r="C2" s="90" t="s">
        <v>189</v>
      </c>
      <c r="D2" s="90" t="s">
        <v>190</v>
      </c>
      <c r="E2" s="90" t="s">
        <v>191</v>
      </c>
      <c r="F2" s="90" t="s">
        <v>192</v>
      </c>
      <c r="G2" s="90" t="s">
        <v>193</v>
      </c>
      <c r="H2" s="90" t="s">
        <v>194</v>
      </c>
      <c r="I2" s="90" t="s">
        <v>195</v>
      </c>
      <c r="J2" s="91" t="s">
        <v>196</v>
      </c>
    </row>
    <row r="3" spans="1:10" ht="19.5" customHeight="1" x14ac:dyDescent="0.35">
      <c r="A3" s="92" t="s">
        <v>197</v>
      </c>
      <c r="B3" s="93">
        <v>111223</v>
      </c>
      <c r="C3" s="94">
        <v>8</v>
      </c>
      <c r="D3" s="94">
        <v>7.1</v>
      </c>
      <c r="E3" s="94">
        <v>8.4</v>
      </c>
      <c r="F3" s="105">
        <f>AVERAGE(C3:E3)</f>
        <v>7.833333333333333</v>
      </c>
      <c r="G3" s="94" t="s">
        <v>198</v>
      </c>
      <c r="H3" s="94"/>
      <c r="I3" s="94" t="s">
        <v>220</v>
      </c>
      <c r="J3" s="95"/>
    </row>
    <row r="4" spans="1:10" ht="19.5" customHeight="1" x14ac:dyDescent="0.35">
      <c r="A4" s="92" t="s">
        <v>199</v>
      </c>
      <c r="B4" s="93">
        <v>444555666</v>
      </c>
      <c r="C4" s="94">
        <v>10</v>
      </c>
      <c r="D4" s="94">
        <v>7</v>
      </c>
      <c r="E4" s="94">
        <v>8</v>
      </c>
      <c r="F4" s="105">
        <f t="shared" ref="F4:F13" si="0">AVERAGE(C4:E4)</f>
        <v>8.3333333333333339</v>
      </c>
      <c r="G4" s="94" t="s">
        <v>200</v>
      </c>
      <c r="H4" s="94"/>
      <c r="I4" s="94"/>
      <c r="J4" s="95"/>
    </row>
    <row r="5" spans="1:10" ht="19.5" customHeight="1" x14ac:dyDescent="0.35">
      <c r="A5" s="92" t="s">
        <v>201</v>
      </c>
      <c r="B5" s="93">
        <v>777889999</v>
      </c>
      <c r="C5" s="94">
        <v>7</v>
      </c>
      <c r="D5" s="94">
        <v>7</v>
      </c>
      <c r="E5" s="94">
        <v>6</v>
      </c>
      <c r="F5" s="105">
        <f t="shared" si="0"/>
        <v>6.666666666666667</v>
      </c>
      <c r="G5" s="94" t="s">
        <v>198</v>
      </c>
      <c r="H5" s="94"/>
      <c r="I5" s="94"/>
      <c r="J5" s="95"/>
    </row>
    <row r="6" spans="1:10" ht="19.5" customHeight="1" x14ac:dyDescent="0.35">
      <c r="A6" s="92" t="s">
        <v>202</v>
      </c>
      <c r="B6" s="93">
        <v>123456789</v>
      </c>
      <c r="C6" s="94">
        <v>6.5</v>
      </c>
      <c r="D6" s="94">
        <v>6.5</v>
      </c>
      <c r="E6" s="94">
        <v>6</v>
      </c>
      <c r="F6" s="105">
        <f t="shared" si="0"/>
        <v>6.333333333333333</v>
      </c>
      <c r="G6" s="94" t="s">
        <v>198</v>
      </c>
      <c r="H6" s="94"/>
      <c r="I6" s="94"/>
      <c r="J6" s="95"/>
    </row>
    <row r="7" spans="1:10" ht="19.5" customHeight="1" x14ac:dyDescent="0.35">
      <c r="A7" s="92" t="s">
        <v>203</v>
      </c>
      <c r="B7" s="93">
        <v>999999999</v>
      </c>
      <c r="C7" s="94">
        <v>7</v>
      </c>
      <c r="D7" s="94">
        <v>7</v>
      </c>
      <c r="E7" s="94">
        <v>6</v>
      </c>
      <c r="F7" s="105">
        <f t="shared" si="0"/>
        <v>6.666666666666667</v>
      </c>
      <c r="G7" s="94" t="s">
        <v>198</v>
      </c>
      <c r="H7" s="94"/>
      <c r="I7" s="94"/>
      <c r="J7" s="95"/>
    </row>
    <row r="8" spans="1:10" ht="19.5" customHeight="1" x14ac:dyDescent="0.35">
      <c r="A8" s="92" t="s">
        <v>204</v>
      </c>
      <c r="B8" s="93">
        <v>888888888</v>
      </c>
      <c r="C8" s="94">
        <v>9</v>
      </c>
      <c r="D8" s="94">
        <v>9</v>
      </c>
      <c r="E8" s="94">
        <v>7</v>
      </c>
      <c r="F8" s="105">
        <f t="shared" si="0"/>
        <v>8.3333333333333339</v>
      </c>
      <c r="G8" s="94" t="s">
        <v>198</v>
      </c>
      <c r="H8" s="94"/>
      <c r="I8" s="94"/>
      <c r="J8" s="95"/>
    </row>
    <row r="9" spans="1:10" ht="19.5" customHeight="1" x14ac:dyDescent="0.35">
      <c r="A9" s="92" t="s">
        <v>205</v>
      </c>
      <c r="B9" s="93">
        <v>100000000</v>
      </c>
      <c r="C9" s="94">
        <v>6</v>
      </c>
      <c r="D9" s="94">
        <v>4</v>
      </c>
      <c r="E9" s="94">
        <v>4</v>
      </c>
      <c r="F9" s="105">
        <f t="shared" si="0"/>
        <v>4.666666666666667</v>
      </c>
      <c r="G9" s="94" t="s">
        <v>200</v>
      </c>
      <c r="H9" s="94"/>
      <c r="I9" s="94"/>
      <c r="J9" s="95"/>
    </row>
    <row r="10" spans="1:10" ht="19.5" customHeight="1" x14ac:dyDescent="0.35">
      <c r="A10" s="92" t="s">
        <v>27</v>
      </c>
      <c r="B10" s="93">
        <v>222222222</v>
      </c>
      <c r="C10" s="94">
        <v>7.5</v>
      </c>
      <c r="D10" s="94">
        <v>7</v>
      </c>
      <c r="E10" s="94">
        <v>9.5</v>
      </c>
      <c r="F10" s="105">
        <f t="shared" si="0"/>
        <v>8</v>
      </c>
      <c r="G10" s="94" t="s">
        <v>198</v>
      </c>
      <c r="H10" s="94"/>
      <c r="I10" s="94"/>
      <c r="J10" s="95"/>
    </row>
    <row r="11" spans="1:10" ht="19.5" customHeight="1" x14ac:dyDescent="0.35">
      <c r="A11" s="92" t="s">
        <v>206</v>
      </c>
      <c r="B11" s="93">
        <v>200000000</v>
      </c>
      <c r="C11" s="94">
        <v>8</v>
      </c>
      <c r="D11" s="94">
        <v>9</v>
      </c>
      <c r="E11" s="94">
        <v>7</v>
      </c>
      <c r="F11" s="105">
        <f t="shared" si="0"/>
        <v>8</v>
      </c>
      <c r="G11" s="94" t="s">
        <v>198</v>
      </c>
      <c r="H11" s="94"/>
      <c r="I11" s="94"/>
      <c r="J11" s="95"/>
    </row>
    <row r="12" spans="1:10" ht="19.5" customHeight="1" x14ac:dyDescent="0.35">
      <c r="A12" s="92" t="s">
        <v>207</v>
      </c>
      <c r="B12" s="93">
        <v>444444444</v>
      </c>
      <c r="C12" s="94">
        <v>8.1999999999999993</v>
      </c>
      <c r="D12" s="94">
        <v>7.8</v>
      </c>
      <c r="E12" s="94">
        <v>7.7</v>
      </c>
      <c r="F12" s="105">
        <f t="shared" si="0"/>
        <v>7.8999999999999995</v>
      </c>
      <c r="G12" s="94" t="s">
        <v>200</v>
      </c>
      <c r="H12" s="94"/>
      <c r="I12" s="94"/>
      <c r="J12" s="95"/>
    </row>
    <row r="13" spans="1:10" ht="16" thickBot="1" x14ac:dyDescent="0.4">
      <c r="A13" s="96" t="s">
        <v>208</v>
      </c>
      <c r="B13" s="97">
        <v>555555555</v>
      </c>
      <c r="C13" s="98">
        <v>6</v>
      </c>
      <c r="D13" s="98">
        <v>8.8000000000000007</v>
      </c>
      <c r="E13" s="98">
        <v>5</v>
      </c>
      <c r="F13" s="105">
        <f t="shared" si="0"/>
        <v>6.6000000000000005</v>
      </c>
      <c r="G13" s="98" t="s">
        <v>200</v>
      </c>
      <c r="H13" s="94"/>
      <c r="I13" s="94"/>
      <c r="J13" s="95"/>
    </row>
    <row r="14" spans="1:10" ht="19.5" customHeight="1" x14ac:dyDescent="0.35"/>
    <row r="15" spans="1:10" ht="16" thickBot="1" x14ac:dyDescent="0.4"/>
    <row r="16" spans="1:10" ht="18" x14ac:dyDescent="0.4">
      <c r="A16" s="99" t="s">
        <v>209</v>
      </c>
      <c r="B16" s="100">
        <v>0.3</v>
      </c>
      <c r="C16" s="100">
        <v>0.3</v>
      </c>
      <c r="D16" s="101">
        <v>0.4</v>
      </c>
      <c r="E16" s="150" t="s">
        <v>210</v>
      </c>
      <c r="G16" s="152" t="s">
        <v>195</v>
      </c>
      <c r="H16" s="153"/>
    </row>
    <row r="17" spans="1:8" x14ac:dyDescent="0.35">
      <c r="A17" s="92" t="s">
        <v>211</v>
      </c>
      <c r="B17" s="94"/>
      <c r="C17" s="94"/>
      <c r="D17" s="95"/>
      <c r="E17" s="151"/>
      <c r="G17" s="94">
        <v>0</v>
      </c>
      <c r="H17" s="102" t="s">
        <v>212</v>
      </c>
    </row>
    <row r="18" spans="1:8" ht="16" thickBot="1" x14ac:dyDescent="0.4">
      <c r="A18" s="92" t="s">
        <v>213</v>
      </c>
      <c r="B18" s="94"/>
      <c r="C18" s="94"/>
      <c r="D18" s="95"/>
      <c r="E18" s="103">
        <v>3</v>
      </c>
      <c r="G18" s="94">
        <v>6</v>
      </c>
      <c r="H18" s="102" t="s">
        <v>214</v>
      </c>
    </row>
    <row r="19" spans="1:8" ht="16" thickBot="1" x14ac:dyDescent="0.4">
      <c r="A19" s="96" t="s">
        <v>219</v>
      </c>
      <c r="B19" s="98"/>
      <c r="C19" s="98"/>
      <c r="D19" s="104"/>
      <c r="G19" s="94">
        <v>7</v>
      </c>
      <c r="H19" s="102" t="s">
        <v>215</v>
      </c>
    </row>
    <row r="20" spans="1:8" x14ac:dyDescent="0.35">
      <c r="G20" s="94">
        <v>8</v>
      </c>
      <c r="H20" s="102" t="s">
        <v>216</v>
      </c>
    </row>
    <row r="21" spans="1:8" x14ac:dyDescent="0.35">
      <c r="G21" s="94">
        <v>9</v>
      </c>
      <c r="H21" s="102" t="s">
        <v>217</v>
      </c>
    </row>
    <row r="29" spans="1:8" x14ac:dyDescent="0.35">
      <c r="G29" s="88" t="s">
        <v>218</v>
      </c>
    </row>
  </sheetData>
  <mergeCells count="3">
    <mergeCell ref="A1:J1"/>
    <mergeCell ref="E16:E17"/>
    <mergeCell ref="G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Trong Tien</dc:creator>
  <cp:lastModifiedBy>Destiny Liam</cp:lastModifiedBy>
  <dcterms:created xsi:type="dcterms:W3CDTF">2021-11-03T00:51:30Z</dcterms:created>
  <dcterms:modified xsi:type="dcterms:W3CDTF">2021-11-03T11:26:38Z</dcterms:modified>
</cp:coreProperties>
</file>