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race\Desktop\KMUTT\KMUTT_Y2_S1\FRA231_ROBOTICS MODELLING AND EXPERIMENTATION\LAB\LAB_2-3\LAB_2\"/>
    </mc:Choice>
  </mc:AlternateContent>
  <xr:revisionPtr revIDLastSave="0" documentId="13_ncr:1_{921CE552-9854-4D28-A3EC-191DAA6F6A87}" xr6:coauthVersionLast="47" xr6:coauthVersionMax="47" xr10:uidLastSave="{00000000-0000-0000-0000-000000000000}"/>
  <bookViews>
    <workbookView xWindow="-109" yWindow="353" windowWidth="26301" windowHeight="14427" activeTab="3" xr2:uid="{00000000-000D-0000-FFFF-FFFF00000000}"/>
  </bookViews>
  <sheets>
    <sheet name="Brushless" sheetId="1" r:id="rId1"/>
    <sheet name="Step f" sheetId="2" r:id="rId2"/>
    <sheet name="Step loss" sheetId="3" r:id="rId3"/>
    <sheet name="Stall torqe" sheetId="4" r:id="rId4"/>
    <sheet name="ชีต6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I27" i="4"/>
  <c r="I26" i="4"/>
  <c r="I25" i="4"/>
  <c r="I24" i="4"/>
  <c r="D19" i="4"/>
  <c r="E19" i="4" s="1"/>
  <c r="F19" i="4" s="1"/>
  <c r="D18" i="4"/>
  <c r="E18" i="4" s="1"/>
  <c r="F18" i="4" s="1"/>
  <c r="D17" i="4"/>
  <c r="E17" i="4" s="1"/>
  <c r="F17" i="4" s="1"/>
  <c r="D16" i="4"/>
  <c r="E16" i="4" s="1"/>
  <c r="F16" i="4" s="1"/>
  <c r="S15" i="4"/>
  <c r="R15" i="4"/>
  <c r="O15" i="4"/>
  <c r="M15" i="4"/>
  <c r="F15" i="4"/>
  <c r="G15" i="4" s="1"/>
  <c r="H15" i="4" s="1"/>
  <c r="E15" i="4"/>
  <c r="D15" i="4"/>
  <c r="S14" i="4"/>
  <c r="R14" i="4"/>
  <c r="O14" i="4"/>
  <c r="M14" i="4"/>
  <c r="D14" i="4"/>
  <c r="E14" i="4" s="1"/>
  <c r="F14" i="4" s="1"/>
  <c r="S13" i="4"/>
  <c r="R13" i="4"/>
  <c r="O13" i="4"/>
  <c r="M13" i="4"/>
  <c r="E13" i="4"/>
  <c r="F13" i="4" s="1"/>
  <c r="S12" i="4"/>
  <c r="R12" i="4"/>
  <c r="O12" i="4"/>
  <c r="M12" i="4"/>
  <c r="S11" i="4"/>
  <c r="R11" i="4"/>
  <c r="O11" i="4"/>
  <c r="M11" i="4"/>
  <c r="S10" i="4"/>
  <c r="R10" i="4"/>
  <c r="O10" i="4"/>
  <c r="M10" i="4"/>
  <c r="S9" i="4"/>
  <c r="R9" i="4"/>
  <c r="O9" i="4"/>
  <c r="M9" i="4"/>
  <c r="E9" i="4"/>
  <c r="F9" i="4" s="1"/>
  <c r="D9" i="4"/>
  <c r="S8" i="4"/>
  <c r="R8" i="4"/>
  <c r="O8" i="4"/>
  <c r="M8" i="4"/>
  <c r="D8" i="4"/>
  <c r="E8" i="4" s="1"/>
  <c r="F8" i="4" s="1"/>
  <c r="S7" i="4"/>
  <c r="R7" i="4"/>
  <c r="T7" i="4" s="1"/>
  <c r="U7" i="4" s="1"/>
  <c r="O7" i="4"/>
  <c r="M7" i="4"/>
  <c r="D7" i="4"/>
  <c r="E7" i="4" s="1"/>
  <c r="F7" i="4" s="1"/>
  <c r="S6" i="4"/>
  <c r="R6" i="4"/>
  <c r="O6" i="4"/>
  <c r="M6" i="4"/>
  <c r="D6" i="4"/>
  <c r="E6" i="4" s="1"/>
  <c r="F6" i="4" s="1"/>
  <c r="Q2" i="4"/>
  <c r="J2" i="4"/>
  <c r="D9" i="3"/>
  <c r="C9" i="3"/>
  <c r="D8" i="3"/>
  <c r="C8" i="3"/>
  <c r="B8" i="3"/>
  <c r="D7" i="3"/>
  <c r="C7" i="3"/>
  <c r="B7" i="3"/>
  <c r="D6" i="3"/>
  <c r="B6" i="3"/>
  <c r="D5" i="3"/>
  <c r="C5" i="3"/>
  <c r="B5" i="3"/>
  <c r="D4" i="3"/>
  <c r="C4" i="3"/>
  <c r="B4" i="3"/>
  <c r="B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I23" i="1"/>
  <c r="J23" i="1" s="1"/>
  <c r="H23" i="1"/>
  <c r="I22" i="1"/>
  <c r="H22" i="1"/>
  <c r="J22" i="1" s="1"/>
  <c r="I21" i="1"/>
  <c r="H21" i="1"/>
  <c r="J21" i="1" s="1"/>
  <c r="I20" i="1"/>
  <c r="H20" i="1"/>
  <c r="J20" i="1" s="1"/>
  <c r="I19" i="1"/>
  <c r="J19" i="1" s="1"/>
  <c r="H19" i="1"/>
  <c r="I18" i="1"/>
  <c r="H18" i="1"/>
  <c r="J18" i="1" s="1"/>
  <c r="I17" i="1"/>
  <c r="H17" i="1"/>
  <c r="J17" i="1" s="1"/>
  <c r="I16" i="1"/>
  <c r="H16" i="1"/>
  <c r="J16" i="1" s="1"/>
  <c r="I15" i="1"/>
  <c r="H15" i="1"/>
  <c r="J15" i="1" s="1"/>
  <c r="I14" i="1"/>
  <c r="H14" i="1"/>
  <c r="J14" i="1" s="1"/>
  <c r="I13" i="1"/>
  <c r="I12" i="1"/>
  <c r="H12" i="1"/>
  <c r="J12" i="1" s="1"/>
  <c r="I11" i="1"/>
  <c r="H11" i="1"/>
  <c r="J11" i="1" s="1"/>
  <c r="I10" i="1"/>
  <c r="J10" i="1" s="1"/>
  <c r="H10" i="1"/>
  <c r="I9" i="1"/>
  <c r="H9" i="1"/>
  <c r="J9" i="1" s="1"/>
  <c r="I8" i="1"/>
  <c r="H8" i="1"/>
  <c r="J8" i="1" s="1"/>
  <c r="I7" i="1"/>
  <c r="H7" i="1"/>
  <c r="J7" i="1" s="1"/>
  <c r="I6" i="1"/>
  <c r="J6" i="1" s="1"/>
  <c r="H6" i="1"/>
  <c r="I5" i="1"/>
  <c r="H5" i="1"/>
  <c r="J5" i="1" s="1"/>
  <c r="I4" i="1"/>
  <c r="H4" i="1"/>
  <c r="J4" i="1" s="1"/>
  <c r="I3" i="1"/>
  <c r="H3" i="1"/>
  <c r="J3" i="1" s="1"/>
  <c r="I8" i="4" l="1"/>
  <c r="G8" i="4"/>
  <c r="H8" i="4" s="1"/>
  <c r="G9" i="4"/>
  <c r="H9" i="4" s="1"/>
  <c r="I9" i="4"/>
  <c r="I13" i="4"/>
  <c r="G13" i="4"/>
  <c r="H13" i="4" s="1"/>
  <c r="T11" i="4"/>
  <c r="U11" i="4" s="1"/>
  <c r="T12" i="4"/>
  <c r="U12" i="4" s="1"/>
  <c r="T14" i="4"/>
  <c r="U14" i="4" s="1"/>
  <c r="T10" i="4"/>
  <c r="U10" i="4" s="1"/>
  <c r="J9" i="4"/>
  <c r="I6" i="4"/>
  <c r="G6" i="4"/>
  <c r="H6" i="4" s="1"/>
  <c r="I14" i="4"/>
  <c r="G14" i="4"/>
  <c r="H14" i="4" s="1"/>
  <c r="J8" i="4"/>
  <c r="G16" i="4"/>
  <c r="H16" i="4" s="1"/>
  <c r="I16" i="4"/>
  <c r="J16" i="4" s="1"/>
  <c r="I17" i="4"/>
  <c r="G17" i="4"/>
  <c r="H17" i="4" s="1"/>
  <c r="I18" i="4"/>
  <c r="G18" i="4"/>
  <c r="H18" i="4" s="1"/>
  <c r="I7" i="4"/>
  <c r="G7" i="4"/>
  <c r="H7" i="4" s="1"/>
  <c r="I19" i="4"/>
  <c r="G19" i="4"/>
  <c r="H19" i="4" s="1"/>
  <c r="I15" i="4"/>
  <c r="J15" i="4" s="1"/>
  <c r="T13" i="4"/>
  <c r="U13" i="4" s="1"/>
  <c r="T15" i="4"/>
  <c r="U15" i="4" s="1"/>
  <c r="T6" i="4"/>
  <c r="U6" i="4" s="1"/>
  <c r="T8" i="4"/>
  <c r="U8" i="4" s="1"/>
  <c r="T9" i="4"/>
  <c r="U9" i="4" s="1"/>
  <c r="J17" i="4" l="1"/>
  <c r="J18" i="4"/>
  <c r="J14" i="4"/>
  <c r="J19" i="4"/>
  <c r="J7" i="4"/>
</calcChain>
</file>

<file path=xl/sharedStrings.xml><?xml version="1.0" encoding="utf-8"?>
<sst xmlns="http://schemas.openxmlformats.org/spreadsheetml/2006/main" count="154" uniqueCount="83">
  <si>
    <t>rpm</t>
  </si>
  <si>
    <t>ความถี่</t>
  </si>
  <si>
    <t>ครั้งที่ 1</t>
  </si>
  <si>
    <t>ครั้งที่ 2</t>
  </si>
  <si>
    <t>ครั้งที่ 3</t>
  </si>
  <si>
    <t>ครั้งที่ 4</t>
  </si>
  <si>
    <t>ครั้งที่ 5</t>
  </si>
  <si>
    <t>ครั้งที่ 16</t>
  </si>
  <si>
    <t>Mean</t>
  </si>
  <si>
    <t>f คำนวณ</t>
  </si>
  <si>
    <t>error %</t>
  </si>
  <si>
    <t>- เมื่อความเร็วรอบเปลี่ยนแปลง จะส่งผลให้ความถี่ของลูกคลื่น และ Duty cycle เกิดการเปลี่ยนแปลงแบบผันตรงกับความเร็วรอบ</t>
  </si>
  <si>
    <t>- แรงดันไฟฟ้าที่จ่ายให้กับมอเตอร์จะมีค่าคงคงที่ แม้ว่าความเร็วรอบจะเกิดการเปลี่ยนแปลง</t>
  </si>
  <si>
    <t>V</t>
  </si>
  <si>
    <t>full (kHz)</t>
  </si>
  <si>
    <t>on (kHz)</t>
  </si>
  <si>
    <t>T full</t>
  </si>
  <si>
    <t>T on</t>
  </si>
  <si>
    <t>Duty Cycle (%)</t>
  </si>
  <si>
    <t>Stepper</t>
  </si>
  <si>
    <t>เก็บแต่ละ mode ที่ความถี่ 100 500 1000</t>
  </si>
  <si>
    <t>100 Hz</t>
  </si>
  <si>
    <t>รวม</t>
  </si>
  <si>
    <t>Step</t>
  </si>
  <si>
    <t>rad/s at 100 Hz</t>
  </si>
  <si>
    <t>rad/s at 500 Hz</t>
  </si>
  <si>
    <t>rad/s at 1000 Hz</t>
  </si>
  <si>
    <t>1/32</t>
  </si>
  <si>
    <t>1/16</t>
  </si>
  <si>
    <t>1/8</t>
  </si>
  <si>
    <t>1/4</t>
  </si>
  <si>
    <t>1/2</t>
  </si>
  <si>
    <t>1</t>
  </si>
  <si>
    <t>500 Hz</t>
  </si>
  <si>
    <t>1000 Hz</t>
  </si>
  <si>
    <t>step mode</t>
  </si>
  <si>
    <t>ความถี่  (+100 Hz)</t>
  </si>
  <si>
    <t>ความถี่ (+1000 Hz)</t>
  </si>
  <si>
    <t>ความถี่ (+2000 Hz)</t>
  </si>
  <si>
    <t>DC ตัวเล็ก</t>
  </si>
  <si>
    <t>HG37-060-AA-00</t>
  </si>
  <si>
    <t>w</t>
  </si>
  <si>
    <t>ทดสอบค่าละ 10 ครั้ง</t>
  </si>
  <si>
    <t>Kt = rate torque / rate current</t>
  </si>
  <si>
    <t>loadcell offset</t>
  </si>
  <si>
    <t>Kt = 196 / 280 = 0.7</t>
  </si>
  <si>
    <t>ไม่ต่อก้าน</t>
  </si>
  <si>
    <t>ไม่กด Loadcell</t>
  </si>
  <si>
    <t>no load</t>
  </si>
  <si>
    <t>ทดลอง Stall Torque</t>
  </si>
  <si>
    <t>ใช้ realload ได้เลย</t>
  </si>
  <si>
    <t>ทอลองใน PWM ต่าง ๆ เพื่อดูการเปลี่ยนแปลงของ rad/s, wcs, พฤติกรรม</t>
  </si>
  <si>
    <t>PWM</t>
  </si>
  <si>
    <t>f</t>
  </si>
  <si>
    <t>loadcell</t>
  </si>
  <si>
    <t>real load</t>
  </si>
  <si>
    <t>F (แรงกดจากก้าน)</t>
  </si>
  <si>
    <t>Stall Torque</t>
  </si>
  <si>
    <t>Stall Current</t>
  </si>
  <si>
    <t>Pin /Pmax</t>
  </si>
  <si>
    <t>Pout</t>
  </si>
  <si>
    <t>efficiency</t>
  </si>
  <si>
    <t>%</t>
  </si>
  <si>
    <t>ความเร็วรอบ</t>
  </si>
  <si>
    <t>ABS ความเร็วรอบ</t>
  </si>
  <si>
    <t>wcs(current)</t>
  </si>
  <si>
    <t>พฤติกรรมมอเตอร์</t>
  </si>
  <si>
    <t>Torque</t>
  </si>
  <si>
    <t>Power (Pin)</t>
  </si>
  <si>
    <t>%eff</t>
  </si>
  <si>
    <t>ไม่หมุน</t>
  </si>
  <si>
    <t>หมุน</t>
  </si>
  <si>
    <t>ทดลองว่าความถี่มีผลต่อแรงที่กระทำต่อ Loadcell หรือไม่</t>
  </si>
  <si>
    <t>Current</t>
  </si>
  <si>
    <t>-</t>
  </si>
  <si>
    <t>torque set point</t>
  </si>
  <si>
    <t>เปลี่ยนค่าแล้ว แต่ความเร็วมอเตอร์ยังเท่าเดิม</t>
  </si>
  <si>
    <t>แต่เปลี่ยนทิศได้</t>
  </si>
  <si>
    <t>ปรับความถี่ก็ไม่ส่งผลแรงที่กดต่อ loadcell</t>
  </si>
  <si>
    <t>Frequency(100)</t>
  </si>
  <si>
    <t>Frequency(500)</t>
  </si>
  <si>
    <t>Frequency(1000)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</si>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</sst>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d/m"/>
  </numFmts>
  <fonts count="6">
    <font>
      <sz val="10"/>
      <color rgb="FF000000"/>
      <name val="Arial"/>
      <scheme val="minor"/>
    </font>
    <font>
      <sz val="11"/>
      <color rgb="FF000000"/>
      <name val="Tahoma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rgb="FF1F1F1F"/>
      <name val="&quot;Noto Sans&quot;"/>
    </font>
    <font>
      <sz val="10"/>
      <color rgb="FFFFF2CC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7C7AC"/>
        <bgColor rgb="FFF7C7AC"/>
      </patternFill>
    </fill>
    <fill>
      <patternFill patternType="solid">
        <fgColor rgb="FFFBE2D5"/>
        <bgColor rgb="FFFBE2D5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980000"/>
        <bgColor rgb="FF98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3" borderId="0" xfId="0" applyNumberFormat="1" applyFont="1" applyFill="1" applyAlignment="1">
      <alignment horizontal="right"/>
    </xf>
    <xf numFmtId="2" fontId="2" fillId="0" borderId="0" xfId="0" applyNumberFormat="1" applyFont="1"/>
    <xf numFmtId="2" fontId="1" fillId="0" borderId="0" xfId="0" applyNumberFormat="1" applyFont="1" applyAlignment="1">
      <alignment horizontal="right"/>
    </xf>
    <xf numFmtId="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4" borderId="0" xfId="0" applyFont="1" applyFill="1" applyAlignment="1">
      <alignment horizontal="left"/>
    </xf>
    <xf numFmtId="164" fontId="1" fillId="0" borderId="0" xfId="0" applyNumberFormat="1" applyFont="1" applyAlignment="1">
      <alignment horizontal="right"/>
    </xf>
    <xf numFmtId="2" fontId="1" fillId="4" borderId="0" xfId="0" applyNumberFormat="1" applyFont="1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165" fontId="2" fillId="5" borderId="0" xfId="0" applyNumberFormat="1" applyFont="1" applyFill="1"/>
    <xf numFmtId="0" fontId="2" fillId="5" borderId="0" xfId="0" applyFont="1" applyFill="1"/>
    <xf numFmtId="49" fontId="2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9" fontId="2" fillId="0" borderId="0" xfId="0" applyNumberFormat="1" applyFont="1"/>
    <xf numFmtId="0" fontId="2" fillId="6" borderId="0" xfId="0" applyFont="1" applyFill="1"/>
    <xf numFmtId="0" fontId="4" fillId="5" borderId="0" xfId="0" applyFont="1" applyFill="1"/>
    <xf numFmtId="0" fontId="2" fillId="4" borderId="0" xfId="0" applyFont="1" applyFill="1"/>
    <xf numFmtId="0" fontId="5" fillId="7" borderId="0" xfId="0" applyFont="1" applyFill="1"/>
    <xf numFmtId="0" fontId="2" fillId="0" borderId="0" xfId="0" applyFont="1" applyAlignment="1">
      <alignment horizontal="right"/>
    </xf>
    <xf numFmtId="0" fontId="2" fillId="4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0" fontId="2" fillId="4" borderId="0" xfId="0" applyFont="1" applyFill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Frequency vs RPM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Brushless!$A$3:$A$23</c:f>
              <c:numCache>
                <c:formatCode>#,##0</c:formatCode>
                <c:ptCount val="21"/>
                <c:pt idx="0">
                  <c:v>9864</c:v>
                </c:pt>
                <c:pt idx="1">
                  <c:v>8864</c:v>
                </c:pt>
                <c:pt idx="2">
                  <c:v>7854</c:v>
                </c:pt>
                <c:pt idx="3">
                  <c:v>6872</c:v>
                </c:pt>
                <c:pt idx="4">
                  <c:v>5886</c:v>
                </c:pt>
                <c:pt idx="5">
                  <c:v>4886</c:v>
                </c:pt>
                <c:pt idx="6">
                  <c:v>3876</c:v>
                </c:pt>
                <c:pt idx="7">
                  <c:v>2892</c:v>
                </c:pt>
                <c:pt idx="8">
                  <c:v>1872</c:v>
                </c:pt>
                <c:pt idx="9" formatCode="General">
                  <c:v>1476</c:v>
                </c:pt>
                <c:pt idx="10" formatCode="General">
                  <c:v>0</c:v>
                </c:pt>
                <c:pt idx="11" formatCode="General">
                  <c:v>-1476</c:v>
                </c:pt>
                <c:pt idx="12">
                  <c:v>-1872</c:v>
                </c:pt>
                <c:pt idx="13">
                  <c:v>-2856</c:v>
                </c:pt>
                <c:pt idx="14">
                  <c:v>-3876</c:v>
                </c:pt>
                <c:pt idx="15">
                  <c:v>-4866</c:v>
                </c:pt>
                <c:pt idx="16">
                  <c:v>-5886</c:v>
                </c:pt>
                <c:pt idx="17">
                  <c:v>-6872</c:v>
                </c:pt>
                <c:pt idx="18">
                  <c:v>-7854</c:v>
                </c:pt>
                <c:pt idx="19">
                  <c:v>-8874</c:v>
                </c:pt>
                <c:pt idx="20">
                  <c:v>-9864</c:v>
                </c:pt>
              </c:numCache>
            </c:numRef>
          </c:cat>
          <c:val>
            <c:numRef>
              <c:f>Brushless!$H$3:$H$23</c:f>
              <c:numCache>
                <c:formatCode>#,##0.00</c:formatCode>
                <c:ptCount val="21"/>
                <c:pt idx="0">
                  <c:v>1136.4000000000001</c:v>
                </c:pt>
                <c:pt idx="1">
                  <c:v>994.9</c:v>
                </c:pt>
                <c:pt idx="2">
                  <c:v>902.57999999999993</c:v>
                </c:pt>
                <c:pt idx="3">
                  <c:v>791.72</c:v>
                </c:pt>
                <c:pt idx="4">
                  <c:v>663.54</c:v>
                </c:pt>
                <c:pt idx="5">
                  <c:v>559.06000000000006</c:v>
                </c:pt>
                <c:pt idx="6">
                  <c:v>439.96000000000004</c:v>
                </c:pt>
                <c:pt idx="7">
                  <c:v>324.70000000000005</c:v>
                </c:pt>
                <c:pt idx="8">
                  <c:v>209.26</c:v>
                </c:pt>
                <c:pt idx="9">
                  <c:v>170.6</c:v>
                </c:pt>
                <c:pt idx="10">
                  <c:v>0</c:v>
                </c:pt>
                <c:pt idx="11">
                  <c:v>171.8</c:v>
                </c:pt>
                <c:pt idx="12">
                  <c:v>209.54000000000002</c:v>
                </c:pt>
                <c:pt idx="13">
                  <c:v>333.53999999999996</c:v>
                </c:pt>
                <c:pt idx="14">
                  <c:v>444.5</c:v>
                </c:pt>
                <c:pt idx="15">
                  <c:v>567.43999999999994</c:v>
                </c:pt>
                <c:pt idx="16">
                  <c:v>677.16000000000008</c:v>
                </c:pt>
                <c:pt idx="17">
                  <c:v>793.28000000000009</c:v>
                </c:pt>
                <c:pt idx="18">
                  <c:v>908.65999999999985</c:v>
                </c:pt>
                <c:pt idx="19">
                  <c:v>1006.4399999999999</c:v>
                </c:pt>
                <c:pt idx="20">
                  <c:v>1006.4200000000001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6-4BBD-BA8C-07EEA21FB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359784"/>
        <c:axId val="489820681"/>
      </c:lineChart>
      <c:catAx>
        <c:axId val="153835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9820681"/>
        <c:crosses val="autoZero"/>
        <c:auto val="1"/>
        <c:lblAlgn val="ctr"/>
        <c:lblOffset val="100"/>
        <c:noMultiLvlLbl val="1"/>
      </c:catAx>
      <c:valAx>
        <c:axId val="489820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th-TH" b="0">
                    <a:solidFill>
                      <a:srgbClr val="000000"/>
                    </a:solidFill>
                    <a:latin typeface="+mn-lt"/>
                  </a:rPr>
                  <a:t>ความถี่ (</a:t>
                </a: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Hz)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83597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'Step loss'!$D$3</c:f>
              <c:strCache>
                <c:ptCount val="1"/>
                <c:pt idx="0">
                  <c:v>ความถี่ (+2000 Hz)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'Step loss'!$A$4:$A$9</c:f>
              <c:strCache>
                <c:ptCount val="6"/>
                <c:pt idx="0">
                  <c:v>1/32</c:v>
                </c:pt>
                <c:pt idx="1">
                  <c:v>1/16</c:v>
                </c:pt>
                <c:pt idx="2">
                  <c:v>1/8</c:v>
                </c:pt>
                <c:pt idx="3">
                  <c:v>1/4</c:v>
                </c:pt>
                <c:pt idx="4">
                  <c:v>1/2</c:v>
                </c:pt>
                <c:pt idx="5">
                  <c:v>1</c:v>
                </c:pt>
              </c:strCache>
            </c:strRef>
          </c:cat>
          <c:val>
            <c:numRef>
              <c:f>'Step loss'!$D$4:$D$9</c:f>
              <c:numCache>
                <c:formatCode>General</c:formatCode>
                <c:ptCount val="6"/>
                <c:pt idx="0">
                  <c:v>127000</c:v>
                </c:pt>
                <c:pt idx="1">
                  <c:v>79200</c:v>
                </c:pt>
                <c:pt idx="2">
                  <c:v>30600</c:v>
                </c:pt>
                <c:pt idx="3">
                  <c:v>11400</c:v>
                </c:pt>
                <c:pt idx="4">
                  <c:v>6600</c:v>
                </c:pt>
                <c:pt idx="5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9-4C6C-ABBB-CC407754E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118988"/>
        <c:axId val="1972839640"/>
      </c:lineChart>
      <c:catAx>
        <c:axId val="1818118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 mode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2839640"/>
        <c:crosses val="autoZero"/>
        <c:auto val="1"/>
        <c:lblAlgn val="ctr"/>
        <c:lblOffset val="100"/>
        <c:noMultiLvlLbl val="1"/>
      </c:catAx>
      <c:valAx>
        <c:axId val="1972839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ความถี่ ( 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81189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loadcell </a:t>
            </a:r>
            <a:r>
              <a:rPr lang="th-TH" b="0">
                <a:solidFill>
                  <a:srgbClr val="757575"/>
                </a:solidFill>
                <a:latin typeface="+mn-lt"/>
              </a:rPr>
              <a:t>กับ </a:t>
            </a:r>
            <a:r>
              <a:rPr lang="en-US" b="0">
                <a:solidFill>
                  <a:srgbClr val="757575"/>
                </a:solidFill>
                <a:latin typeface="+mn-lt"/>
              </a:rPr>
              <a:t>torque set point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'Stall torqe'!$B$26</c:f>
              <c:strCache>
                <c:ptCount val="1"/>
                <c:pt idx="0">
                  <c:v>loadcell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'Stall torqe'!$A$27:$A$32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'Stall torqe'!$B$27:$B$32</c:f>
              <c:numCache>
                <c:formatCode>0.00</c:formatCode>
                <c:ptCount val="6"/>
                <c:pt idx="0">
                  <c:v>676.54100000000005</c:v>
                </c:pt>
                <c:pt idx="1">
                  <c:v>611.30169999999998</c:v>
                </c:pt>
                <c:pt idx="2">
                  <c:v>611.93799999999999</c:v>
                </c:pt>
                <c:pt idx="3">
                  <c:v>620.62490000000003</c:v>
                </c:pt>
                <c:pt idx="4">
                  <c:v>631.82129999999995</c:v>
                </c:pt>
                <c:pt idx="5">
                  <c:v>614.29999999999995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2-4F4A-83CD-6E735A19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230488"/>
        <c:axId val="1203954639"/>
      </c:lineChart>
      <c:catAx>
        <c:axId val="185823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torque set point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3954639"/>
        <c:crosses val="autoZero"/>
        <c:auto val="1"/>
        <c:lblAlgn val="ctr"/>
        <c:lblOffset val="100"/>
        <c:noMultiLvlLbl val="1"/>
      </c:catAx>
      <c:valAx>
        <c:axId val="1203954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loadcell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82304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PWM </a:t>
            </a:r>
            <a:r>
              <a:rPr lang="th-TH" b="0">
                <a:solidFill>
                  <a:srgbClr val="757575"/>
                </a:solidFill>
                <a:latin typeface="+mn-lt"/>
              </a:rPr>
              <a:t>และ มอเตอร์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'Stall torqe'!$M$5</c:f>
              <c:strCache>
                <c:ptCount val="1"/>
                <c:pt idx="0">
                  <c:v>PWM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'Stall torqe'!$Q$6:$Q$15</c:f>
              <c:strCache>
                <c:ptCount val="10"/>
                <c:pt idx="0">
                  <c:v>ไม่หมุน</c:v>
                </c:pt>
                <c:pt idx="1">
                  <c:v>ไม่หมุน</c:v>
                </c:pt>
                <c:pt idx="2">
                  <c:v>ไม่หมุน</c:v>
                </c:pt>
                <c:pt idx="3">
                  <c:v>หมุน</c:v>
                </c:pt>
                <c:pt idx="4">
                  <c:v>หมุน</c:v>
                </c:pt>
                <c:pt idx="5">
                  <c:v>หมุน</c:v>
                </c:pt>
                <c:pt idx="6">
                  <c:v>หมุน</c:v>
                </c:pt>
                <c:pt idx="7">
                  <c:v>หมุน</c:v>
                </c:pt>
                <c:pt idx="8">
                  <c:v>หมุน</c:v>
                </c:pt>
                <c:pt idx="9">
                  <c:v>หมุน</c:v>
                </c:pt>
              </c:strCache>
            </c:strRef>
          </c:cat>
          <c:val>
            <c:numRef>
              <c:f>'Stall torqe'!$M$6:$M$15</c:f>
              <c:numCache>
                <c:formatCode>General</c:formatCode>
                <c:ptCount val="10"/>
                <c:pt idx="0">
                  <c:v>6553.5</c:v>
                </c:pt>
                <c:pt idx="1">
                  <c:v>13107</c:v>
                </c:pt>
                <c:pt idx="2">
                  <c:v>19660.5</c:v>
                </c:pt>
                <c:pt idx="3">
                  <c:v>26214</c:v>
                </c:pt>
                <c:pt idx="4">
                  <c:v>32767.5</c:v>
                </c:pt>
                <c:pt idx="5">
                  <c:v>39321</c:v>
                </c:pt>
                <c:pt idx="6">
                  <c:v>45874.5</c:v>
                </c:pt>
                <c:pt idx="7">
                  <c:v>52428</c:v>
                </c:pt>
                <c:pt idx="8">
                  <c:v>58981.5</c:v>
                </c:pt>
                <c:pt idx="9">
                  <c:v>65535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3-4305-986C-3DAA60636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476204"/>
        <c:axId val="2113205919"/>
      </c:lineChart>
      <c:catAx>
        <c:axId val="994476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th-TH" b="0">
                    <a:solidFill>
                      <a:srgbClr val="000000"/>
                    </a:solidFill>
                    <a:latin typeface="+mn-lt"/>
                  </a:rPr>
                  <a:t>มอเตอร์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3205919"/>
        <c:crosses val="autoZero"/>
        <c:auto val="1"/>
        <c:lblAlgn val="ctr"/>
        <c:lblOffset val="100"/>
        <c:noMultiLvlLbl val="1"/>
      </c:catAx>
      <c:valAx>
        <c:axId val="2113205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PWM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44762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'Stall torqe'!$I$23</c:f>
              <c:strCache>
                <c:ptCount val="1"/>
                <c:pt idx="0">
                  <c:v>Stall 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'Stall torqe'!$H$24:$H$27</c:f>
              <c:numCache>
                <c:formatCode>General</c:formatCode>
                <c:ptCount val="4"/>
                <c:pt idx="0">
                  <c:v>1764.7711893080698</c:v>
                </c:pt>
                <c:pt idx="1">
                  <c:v>1428.6242961065325</c:v>
                </c:pt>
                <c:pt idx="2">
                  <c:v>549.03992556251058</c:v>
                </c:pt>
                <c:pt idx="3">
                  <c:v>112.04896440051236</c:v>
                </c:pt>
              </c:numCache>
            </c:numRef>
          </c:xVal>
          <c:yVal>
            <c:numRef>
              <c:f>'Stall torqe'!$I$24:$I$27</c:f>
              <c:numCache>
                <c:formatCode>General</c:formatCode>
                <c:ptCount val="4"/>
                <c:pt idx="0">
                  <c:v>2521.1016990115286</c:v>
                </c:pt>
                <c:pt idx="1">
                  <c:v>2040.8918515807609</c:v>
                </c:pt>
                <c:pt idx="2">
                  <c:v>784.34275080358657</c:v>
                </c:pt>
                <c:pt idx="3">
                  <c:v>160.0699491435891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F-4E9D-8C5D-AEDC20B4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47184"/>
        <c:axId val="250544784"/>
      </c:scatterChart>
      <c:valAx>
        <c:axId val="25054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44784"/>
        <c:crosses val="autoZero"/>
        <c:crossBetween val="midCat"/>
      </c:valAx>
      <c:valAx>
        <c:axId val="2505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4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'Stall torqe'!$I$29</c:f>
              <c:strCache>
                <c:ptCount val="1"/>
                <c:pt idx="0">
                  <c:v>Pout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'Stall torqe'!$H$30:$H$33</c:f>
              <c:numCache>
                <c:formatCode>General</c:formatCode>
                <c:ptCount val="4"/>
                <c:pt idx="0">
                  <c:v>1764.7711893080698</c:v>
                </c:pt>
                <c:pt idx="1">
                  <c:v>1428.6242961065325</c:v>
                </c:pt>
                <c:pt idx="2">
                  <c:v>549.03992556251058</c:v>
                </c:pt>
                <c:pt idx="3">
                  <c:v>112.04896440051236</c:v>
                </c:pt>
              </c:numCache>
            </c:numRef>
          </c:xVal>
          <c:yVal>
            <c:numRef>
              <c:f>'Stall torqe'!$I$30:$I$33</c:f>
              <c:numCache>
                <c:formatCode>General</c:formatCode>
                <c:ptCount val="4"/>
                <c:pt idx="0">
                  <c:v>12929.890246997125</c:v>
                </c:pt>
                <c:pt idx="1">
                  <c:v>10467.054009473863</c:v>
                </c:pt>
                <c:pt idx="2">
                  <c:v>4022.6325212879942</c:v>
                </c:pt>
                <c:pt idx="3">
                  <c:v>820.94541250775399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1-4B32-9280-2F9F9C35D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76048"/>
        <c:axId val="238677008"/>
      </c:scatterChart>
      <c:valAx>
        <c:axId val="2386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77008"/>
        <c:crosses val="autoZero"/>
        <c:crossBetween val="midCat"/>
      </c:valAx>
      <c:valAx>
        <c:axId val="2386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'Stall torqe'!$I$35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'Stall torqe'!$H$36:$H$39</c:f>
              <c:numCache>
                <c:formatCode>General</c:formatCode>
                <c:ptCount val="4"/>
                <c:pt idx="0">
                  <c:v>1764.7711893080698</c:v>
                </c:pt>
                <c:pt idx="1">
                  <c:v>1428.6242961065325</c:v>
                </c:pt>
                <c:pt idx="2">
                  <c:v>549.03992556251058</c:v>
                </c:pt>
                <c:pt idx="3">
                  <c:v>112.04896440051236</c:v>
                </c:pt>
              </c:numCache>
            </c:numRef>
          </c:xVal>
          <c:yVal>
            <c:numRef>
              <c:f>'Stall torqe'!$I$36:$I$39</c:f>
              <c:numCache>
                <c:formatCode>General</c:formatCode>
                <c:ptCount val="4"/>
                <c:pt idx="0">
                  <c:v>42.738888888888887</c:v>
                </c:pt>
                <c:pt idx="1">
                  <c:v>42.738888888888887</c:v>
                </c:pt>
                <c:pt idx="2">
                  <c:v>42.738888888888887</c:v>
                </c:pt>
                <c:pt idx="3">
                  <c:v>42.738888888888894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2-4CF6-99E6-D5D7B17EE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194144"/>
        <c:axId val="329190304"/>
      </c:scatterChart>
      <c:valAx>
        <c:axId val="3291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90304"/>
        <c:crosses val="autoZero"/>
        <c:crossBetween val="midCat"/>
      </c:valAx>
      <c:valAx>
        <c:axId val="3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9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Frequency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ชีต6!$A$1</c:f>
              <c:strCache>
                <c:ptCount val="1"/>
                <c:pt idx="0">
                  <c:v>Frequency(100)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ชีต6!$D$2:$D$7</c:f>
              <c:strCache>
                <c:ptCount val="6"/>
                <c:pt idx="0">
                  <c:v>1</c:v>
                </c:pt>
                <c:pt idx="1">
                  <c:v>1/2</c:v>
                </c:pt>
                <c:pt idx="2">
                  <c:v>1/4</c:v>
                </c:pt>
                <c:pt idx="3">
                  <c:v>1/8</c:v>
                </c:pt>
                <c:pt idx="4">
                  <c:v>1/16</c:v>
                </c:pt>
                <c:pt idx="5">
                  <c:v>1/32</c:v>
                </c:pt>
              </c:strCache>
            </c:strRef>
          </c:cat>
          <c:val>
            <c:numRef>
              <c:f>ชีต6!$A$2:$A$7</c:f>
              <c:numCache>
                <c:formatCode>General</c:formatCode>
                <c:ptCount val="6"/>
                <c:pt idx="0">
                  <c:v>3.4686849999999998</c:v>
                </c:pt>
                <c:pt idx="1">
                  <c:v>1.3833899999999999</c:v>
                </c:pt>
                <c:pt idx="2">
                  <c:v>0.80910499999999996</c:v>
                </c:pt>
                <c:pt idx="3">
                  <c:v>0.40965699999999999</c:v>
                </c:pt>
                <c:pt idx="4">
                  <c:v>0.27438099999999999</c:v>
                </c:pt>
                <c:pt idx="5">
                  <c:v>9.6990000000000007E-2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C-48F8-B861-6781020CA8B9}"/>
            </c:ext>
          </c:extLst>
        </c:ser>
        <c:ser>
          <c:idx val="1"/>
          <c:order val="1"/>
          <c:tx>
            <c:strRef>
              <c:f>ชีต6!$B$1</c:f>
              <c:strCache>
                <c:ptCount val="1"/>
                <c:pt idx="0">
                  <c:v>Frequency(500)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ชีต6!$D$2:$D$7</c:f>
              <c:strCache>
                <c:ptCount val="6"/>
                <c:pt idx="0">
                  <c:v>1</c:v>
                </c:pt>
                <c:pt idx="1">
                  <c:v>1/2</c:v>
                </c:pt>
                <c:pt idx="2">
                  <c:v>1/4</c:v>
                </c:pt>
                <c:pt idx="3">
                  <c:v>1/8</c:v>
                </c:pt>
                <c:pt idx="4">
                  <c:v>1/16</c:v>
                </c:pt>
                <c:pt idx="5">
                  <c:v>1/32</c:v>
                </c:pt>
              </c:strCache>
            </c:strRef>
          </c:cat>
          <c:val>
            <c:numRef>
              <c:f>ชีต6!$B$2:$B$7</c:f>
              <c:numCache>
                <c:formatCode>General</c:formatCode>
                <c:ptCount val="6"/>
                <c:pt idx="0">
                  <c:v>15.64227</c:v>
                </c:pt>
                <c:pt idx="1">
                  <c:v>7.7847609999999996</c:v>
                </c:pt>
                <c:pt idx="2">
                  <c:v>3.9561899999999999</c:v>
                </c:pt>
                <c:pt idx="3">
                  <c:v>1.9398089999999999</c:v>
                </c:pt>
                <c:pt idx="4">
                  <c:v>0.95969499999999996</c:v>
                </c:pt>
                <c:pt idx="5">
                  <c:v>0.51685700000000001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C-48F8-B861-6781020CA8B9}"/>
            </c:ext>
          </c:extLst>
        </c:ser>
        <c:ser>
          <c:idx val="2"/>
          <c:order val="2"/>
          <c:tx>
            <c:strRef>
              <c:f>ชีต6!$C$1</c:f>
              <c:strCache>
                <c:ptCount val="1"/>
                <c:pt idx="0">
                  <c:v>Frequency(1000)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ชีต6!$D$2:$D$7</c:f>
              <c:strCache>
                <c:ptCount val="6"/>
                <c:pt idx="0">
                  <c:v>1</c:v>
                </c:pt>
                <c:pt idx="1">
                  <c:v>1/2</c:v>
                </c:pt>
                <c:pt idx="2">
                  <c:v>1/4</c:v>
                </c:pt>
                <c:pt idx="3">
                  <c:v>1/8</c:v>
                </c:pt>
                <c:pt idx="4">
                  <c:v>1/16</c:v>
                </c:pt>
                <c:pt idx="5">
                  <c:v>1/32</c:v>
                </c:pt>
              </c:strCache>
            </c:strRef>
          </c:cat>
          <c:val>
            <c:numRef>
              <c:f>ชีต6!$C$2:$C$7</c:f>
              <c:numCache>
                <c:formatCode>General</c:formatCode>
                <c:ptCount val="6"/>
                <c:pt idx="0">
                  <c:v>31.261559999999999</c:v>
                </c:pt>
                <c:pt idx="1">
                  <c:v>15.671620000000001</c:v>
                </c:pt>
                <c:pt idx="2">
                  <c:v>7.7732760000000001</c:v>
                </c:pt>
                <c:pt idx="3">
                  <c:v>3.9281139999999999</c:v>
                </c:pt>
                <c:pt idx="4">
                  <c:v>1.951295</c:v>
                </c:pt>
                <c:pt idx="5">
                  <c:v>0.95331399999999999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C-48F8-B861-6781020C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6974"/>
        <c:axId val="418812756"/>
      </c:lineChart>
      <c:catAx>
        <c:axId val="5606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8812756"/>
        <c:crosses val="autoZero"/>
        <c:auto val="1"/>
        <c:lblAlgn val="ctr"/>
        <c:lblOffset val="100"/>
        <c:noMultiLvlLbl val="1"/>
      </c:catAx>
      <c:valAx>
        <c:axId val="418812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069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Duty Cycle vs RPM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Brushless!$J$28</c:f>
              <c:strCache>
                <c:ptCount val="1"/>
                <c:pt idx="0">
                  <c:v>Duty Cycle (%)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Brushless!$E$29:$E$47</c:f>
              <c:numCache>
                <c:formatCode>General</c:formatCode>
                <c:ptCount val="19"/>
                <c:pt idx="0">
                  <c:v>9800</c:v>
                </c:pt>
                <c:pt idx="1">
                  <c:v>8800</c:v>
                </c:pt>
                <c:pt idx="2">
                  <c:v>7800</c:v>
                </c:pt>
                <c:pt idx="3">
                  <c:v>6800</c:v>
                </c:pt>
                <c:pt idx="4">
                  <c:v>5800</c:v>
                </c:pt>
                <c:pt idx="5">
                  <c:v>4800</c:v>
                </c:pt>
                <c:pt idx="6">
                  <c:v>3800</c:v>
                </c:pt>
                <c:pt idx="7">
                  <c:v>2800</c:v>
                </c:pt>
                <c:pt idx="8">
                  <c:v>1800</c:v>
                </c:pt>
                <c:pt idx="9">
                  <c:v>0</c:v>
                </c:pt>
                <c:pt idx="10">
                  <c:v>-1800</c:v>
                </c:pt>
                <c:pt idx="11">
                  <c:v>-2800</c:v>
                </c:pt>
                <c:pt idx="12">
                  <c:v>-3800</c:v>
                </c:pt>
                <c:pt idx="13">
                  <c:v>-4800</c:v>
                </c:pt>
                <c:pt idx="14">
                  <c:v>-5800</c:v>
                </c:pt>
                <c:pt idx="15">
                  <c:v>-6800</c:v>
                </c:pt>
                <c:pt idx="16">
                  <c:v>-7800</c:v>
                </c:pt>
                <c:pt idx="17">
                  <c:v>-8800</c:v>
                </c:pt>
                <c:pt idx="18">
                  <c:v>-9800</c:v>
                </c:pt>
              </c:numCache>
            </c:numRef>
          </c:cat>
          <c:val>
            <c:numRef>
              <c:f>Brushless!$J$29:$J$47</c:f>
              <c:numCache>
                <c:formatCode>0.00</c:formatCode>
                <c:ptCount val="19"/>
                <c:pt idx="0">
                  <c:v>71.629099999999994</c:v>
                </c:pt>
                <c:pt idx="1">
                  <c:v>61.558100000000003</c:v>
                </c:pt>
                <c:pt idx="2">
                  <c:v>56.226700000000001</c:v>
                </c:pt>
                <c:pt idx="3">
                  <c:v>48.936300000000003</c:v>
                </c:pt>
                <c:pt idx="4">
                  <c:v>41.256599999999999</c:v>
                </c:pt>
                <c:pt idx="5">
                  <c:v>37.058799999999998</c:v>
                </c:pt>
                <c:pt idx="6">
                  <c:v>27.972000000000001</c:v>
                </c:pt>
                <c:pt idx="7">
                  <c:v>20.834099999999999</c:v>
                </c:pt>
                <c:pt idx="8">
                  <c:v>14.084</c:v>
                </c:pt>
                <c:pt idx="9" formatCode="General">
                  <c:v>0</c:v>
                </c:pt>
                <c:pt idx="10">
                  <c:v>15.1783</c:v>
                </c:pt>
                <c:pt idx="11">
                  <c:v>23.9727</c:v>
                </c:pt>
                <c:pt idx="12">
                  <c:v>29.8538</c:v>
                </c:pt>
                <c:pt idx="13">
                  <c:v>38.293700000000001</c:v>
                </c:pt>
                <c:pt idx="14">
                  <c:v>44.904299999999999</c:v>
                </c:pt>
                <c:pt idx="15">
                  <c:v>52.093000000000004</c:v>
                </c:pt>
                <c:pt idx="16">
                  <c:v>55.762300000000003</c:v>
                </c:pt>
                <c:pt idx="17">
                  <c:v>64.821399999999997</c:v>
                </c:pt>
                <c:pt idx="18">
                  <c:v>64.531400000000005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B-4763-AD9D-224C018D7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894804"/>
        <c:axId val="1134311201"/>
      </c:lineChart>
      <c:catAx>
        <c:axId val="228894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4311201"/>
        <c:crosses val="autoZero"/>
        <c:auto val="1"/>
        <c:lblAlgn val="ctr"/>
        <c:lblOffset val="100"/>
        <c:noMultiLvlLbl val="1"/>
      </c:catAx>
      <c:valAx>
        <c:axId val="1134311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Duty Cycle (%)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88948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rad/s กับ Step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'Step f'!$A$6:$A$11</c:f>
              <c:strCache>
                <c:ptCount val="6"/>
                <c:pt idx="0">
                  <c:v>1/32</c:v>
                </c:pt>
                <c:pt idx="1">
                  <c:v>1/16</c:v>
                </c:pt>
                <c:pt idx="2">
                  <c:v>1/8</c:v>
                </c:pt>
                <c:pt idx="3">
                  <c:v>1/4</c:v>
                </c:pt>
                <c:pt idx="4">
                  <c:v>1/2</c:v>
                </c:pt>
                <c:pt idx="5">
                  <c:v>1</c:v>
                </c:pt>
              </c:strCache>
            </c:strRef>
          </c:cat>
          <c:val>
            <c:numRef>
              <c:f>'Step f'!$B$6:$B$11</c:f>
              <c:numCache>
                <c:formatCode>0.00</c:formatCode>
                <c:ptCount val="6"/>
                <c:pt idx="0">
                  <c:v>8.9185E-2</c:v>
                </c:pt>
                <c:pt idx="1">
                  <c:v>0.21404400000000001</c:v>
                </c:pt>
                <c:pt idx="2">
                  <c:v>0.37712499999999999</c:v>
                </c:pt>
                <c:pt idx="3">
                  <c:v>0.77718299999999996</c:v>
                </c:pt>
                <c:pt idx="4">
                  <c:v>1.4295070000000001</c:v>
                </c:pt>
                <c:pt idx="5">
                  <c:v>3.1902720000000002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E-49D9-85DF-00A19B0FA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24443"/>
        <c:axId val="805841420"/>
      </c:lineChart>
      <c:catAx>
        <c:axId val="130924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5841420"/>
        <c:crosses val="autoZero"/>
        <c:auto val="1"/>
        <c:lblAlgn val="ctr"/>
        <c:lblOffset val="100"/>
        <c:noMultiLvlLbl val="1"/>
      </c:catAx>
      <c:valAx>
        <c:axId val="805841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rad/s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9244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rad/s กับ Step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 f'!$B$14</c:f>
              <c:strCache>
                <c:ptCount val="1"/>
                <c:pt idx="0">
                  <c:v>rad/s at 500 Hz</c:v>
                </c:pt>
              </c:strCache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'Step f'!$A$15:$A$20</c:f>
              <c:strCache>
                <c:ptCount val="6"/>
                <c:pt idx="0">
                  <c:v>1/32</c:v>
                </c:pt>
                <c:pt idx="1">
                  <c:v>1/16</c:v>
                </c:pt>
                <c:pt idx="2">
                  <c:v>1/8</c:v>
                </c:pt>
                <c:pt idx="3">
                  <c:v>1/4</c:v>
                </c:pt>
                <c:pt idx="4">
                  <c:v>1/2</c:v>
                </c:pt>
                <c:pt idx="5">
                  <c:v>1</c:v>
                </c:pt>
              </c:strCache>
            </c:strRef>
          </c:cat>
          <c:val>
            <c:numRef>
              <c:f>'Step f'!$B$15:$B$20</c:f>
              <c:numCache>
                <c:formatCode>General</c:formatCode>
                <c:ptCount val="6"/>
                <c:pt idx="0">
                  <c:v>0.51472399999999996</c:v>
                </c:pt>
                <c:pt idx="1">
                  <c:v>0.97848599999999997</c:v>
                </c:pt>
                <c:pt idx="2">
                  <c:v>1.9671650000000001</c:v>
                </c:pt>
                <c:pt idx="3">
                  <c:v>3.9470700000000001</c:v>
                </c:pt>
                <c:pt idx="4">
                  <c:v>7.9119780000000004</c:v>
                </c:pt>
                <c:pt idx="5">
                  <c:v>15.71693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7-4462-88A7-4CE47796D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77674"/>
        <c:axId val="1130361270"/>
      </c:lineChart>
      <c:catAx>
        <c:axId val="163277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0361270"/>
        <c:crosses val="autoZero"/>
        <c:auto val="1"/>
        <c:lblAlgn val="ctr"/>
        <c:lblOffset val="100"/>
        <c:noMultiLvlLbl val="1"/>
      </c:catAx>
      <c:valAx>
        <c:axId val="1130361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rad/s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2776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rad/s กับ Step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 f'!$B$23</c:f>
              <c:strCache>
                <c:ptCount val="1"/>
                <c:pt idx="0">
                  <c:v>rad/s at 1000 Hz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'Step f'!$A$24:$A$29</c:f>
              <c:strCache>
                <c:ptCount val="6"/>
                <c:pt idx="0">
                  <c:v>1/32</c:v>
                </c:pt>
                <c:pt idx="1">
                  <c:v>1/16</c:v>
                </c:pt>
                <c:pt idx="2">
                  <c:v>1/8</c:v>
                </c:pt>
                <c:pt idx="3">
                  <c:v>1/4</c:v>
                </c:pt>
                <c:pt idx="4">
                  <c:v>1/2</c:v>
                </c:pt>
                <c:pt idx="5">
                  <c:v>1</c:v>
                </c:pt>
              </c:strCache>
            </c:strRef>
          </c:cat>
          <c:val>
            <c:numRef>
              <c:f>'Step f'!$B$24:$B$29</c:f>
              <c:numCache>
                <c:formatCode>General</c:formatCode>
                <c:ptCount val="6"/>
                <c:pt idx="0">
                  <c:v>0.97593799999999997</c:v>
                </c:pt>
                <c:pt idx="1">
                  <c:v>1.9620690000000001</c:v>
                </c:pt>
                <c:pt idx="2">
                  <c:v>3.9649070000000002</c:v>
                </c:pt>
                <c:pt idx="3">
                  <c:v>7.9017850000000003</c:v>
                </c:pt>
                <c:pt idx="4">
                  <c:v>15.69145</c:v>
                </c:pt>
                <c:pt idx="5">
                  <c:v>31.331939999999999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D-4ECD-85BB-EEB20BDE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793398"/>
        <c:axId val="1656696963"/>
      </c:lineChart>
      <c:catAx>
        <c:axId val="1737793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6696963"/>
        <c:crosses val="autoZero"/>
        <c:auto val="1"/>
        <c:lblAlgn val="ctr"/>
        <c:lblOffset val="100"/>
        <c:noMultiLvlLbl val="1"/>
      </c:catAx>
      <c:valAx>
        <c:axId val="1656696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rad/s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77933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'Step f'!$I$5</c:f>
              <c:strCache>
                <c:ptCount val="1"/>
                <c:pt idx="0">
                  <c:v>rad/s at 100 Hz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'Step f'!$H$6:$H$11</c:f>
              <c:strCache>
                <c:ptCount val="6"/>
                <c:pt idx="0">
                  <c:v>1/32</c:v>
                </c:pt>
                <c:pt idx="1">
                  <c:v>1/16</c:v>
                </c:pt>
                <c:pt idx="2">
                  <c:v>1/8</c:v>
                </c:pt>
                <c:pt idx="3">
                  <c:v>1/4</c:v>
                </c:pt>
                <c:pt idx="4">
                  <c:v>1/2</c:v>
                </c:pt>
                <c:pt idx="5">
                  <c:v>1</c:v>
                </c:pt>
              </c:strCache>
            </c:strRef>
          </c:cat>
          <c:val>
            <c:numRef>
              <c:f>'Step f'!$I$6:$I$11</c:f>
              <c:numCache>
                <c:formatCode>0.00</c:formatCode>
                <c:ptCount val="6"/>
                <c:pt idx="0">
                  <c:v>8.9185E-2</c:v>
                </c:pt>
                <c:pt idx="1">
                  <c:v>0.21404400000000001</c:v>
                </c:pt>
                <c:pt idx="2">
                  <c:v>0.37712499999999999</c:v>
                </c:pt>
                <c:pt idx="3">
                  <c:v>0.77718299999999996</c:v>
                </c:pt>
                <c:pt idx="4">
                  <c:v>1.4295070000000001</c:v>
                </c:pt>
                <c:pt idx="5">
                  <c:v>3.1902720000000002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A-4BED-ADEF-2028F040FE5E}"/>
            </c:ext>
          </c:extLst>
        </c:ser>
        <c:ser>
          <c:idx val="1"/>
          <c:order val="1"/>
          <c:tx>
            <c:strRef>
              <c:f>'Step f'!$J$5</c:f>
              <c:strCache>
                <c:ptCount val="1"/>
                <c:pt idx="0">
                  <c:v>rad/s at 500 Hz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'Step f'!$H$6:$H$11</c:f>
              <c:strCache>
                <c:ptCount val="6"/>
                <c:pt idx="0">
                  <c:v>1/32</c:v>
                </c:pt>
                <c:pt idx="1">
                  <c:v>1/16</c:v>
                </c:pt>
                <c:pt idx="2">
                  <c:v>1/8</c:v>
                </c:pt>
                <c:pt idx="3">
                  <c:v>1/4</c:v>
                </c:pt>
                <c:pt idx="4">
                  <c:v>1/2</c:v>
                </c:pt>
                <c:pt idx="5">
                  <c:v>1</c:v>
                </c:pt>
              </c:strCache>
            </c:strRef>
          </c:cat>
          <c:val>
            <c:numRef>
              <c:f>'Step f'!$J$6:$J$11</c:f>
              <c:numCache>
                <c:formatCode>0.00</c:formatCode>
                <c:ptCount val="6"/>
                <c:pt idx="0">
                  <c:v>0.51472399999999996</c:v>
                </c:pt>
                <c:pt idx="1">
                  <c:v>0.97848599999999997</c:v>
                </c:pt>
                <c:pt idx="2">
                  <c:v>1.9671650000000001</c:v>
                </c:pt>
                <c:pt idx="3">
                  <c:v>3.9470700000000001</c:v>
                </c:pt>
                <c:pt idx="4">
                  <c:v>7.9119780000000004</c:v>
                </c:pt>
                <c:pt idx="5">
                  <c:v>15.71693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A-4BED-ADEF-2028F040FE5E}"/>
            </c:ext>
          </c:extLst>
        </c:ser>
        <c:ser>
          <c:idx val="2"/>
          <c:order val="2"/>
          <c:tx>
            <c:strRef>
              <c:f>'Step f'!$K$5</c:f>
              <c:strCache>
                <c:ptCount val="1"/>
                <c:pt idx="0">
                  <c:v>rad/s at 1000 Hz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'Step f'!$H$6:$H$11</c:f>
              <c:strCache>
                <c:ptCount val="6"/>
                <c:pt idx="0">
                  <c:v>1/32</c:v>
                </c:pt>
                <c:pt idx="1">
                  <c:v>1/16</c:v>
                </c:pt>
                <c:pt idx="2">
                  <c:v>1/8</c:v>
                </c:pt>
                <c:pt idx="3">
                  <c:v>1/4</c:v>
                </c:pt>
                <c:pt idx="4">
                  <c:v>1/2</c:v>
                </c:pt>
                <c:pt idx="5">
                  <c:v>1</c:v>
                </c:pt>
              </c:strCache>
            </c:strRef>
          </c:cat>
          <c:val>
            <c:numRef>
              <c:f>'Step f'!$K$6:$K$11</c:f>
              <c:numCache>
                <c:formatCode>0.00</c:formatCode>
                <c:ptCount val="6"/>
                <c:pt idx="0">
                  <c:v>0.97593799999999997</c:v>
                </c:pt>
                <c:pt idx="1">
                  <c:v>1.9620690000000001</c:v>
                </c:pt>
                <c:pt idx="2">
                  <c:v>3.9649070000000002</c:v>
                </c:pt>
                <c:pt idx="3">
                  <c:v>7.9017850000000003</c:v>
                </c:pt>
                <c:pt idx="4">
                  <c:v>15.69145</c:v>
                </c:pt>
                <c:pt idx="5">
                  <c:v>31.331939999999999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A-4BED-ADEF-2028F040F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102541"/>
        <c:axId val="237386"/>
      </c:lineChart>
      <c:catAx>
        <c:axId val="1127102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7386"/>
        <c:crosses val="autoZero"/>
        <c:auto val="1"/>
        <c:lblAlgn val="ctr"/>
        <c:lblOffset val="100"/>
        <c:noMultiLvlLbl val="1"/>
      </c:catAx>
      <c:valAx>
        <c:axId val="237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71025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'Step loss'!$B$3</c:f>
              <c:strCache>
                <c:ptCount val="1"/>
                <c:pt idx="0">
                  <c:v>ความถี่  (+100 Hz)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'Step loss'!$A$4:$A$9</c:f>
              <c:strCache>
                <c:ptCount val="6"/>
                <c:pt idx="0">
                  <c:v>1/32</c:v>
                </c:pt>
                <c:pt idx="1">
                  <c:v>1/16</c:v>
                </c:pt>
                <c:pt idx="2">
                  <c:v>1/8</c:v>
                </c:pt>
                <c:pt idx="3">
                  <c:v>1/4</c:v>
                </c:pt>
                <c:pt idx="4">
                  <c:v>1/2</c:v>
                </c:pt>
                <c:pt idx="5">
                  <c:v>1</c:v>
                </c:pt>
              </c:strCache>
            </c:strRef>
          </c:cat>
          <c:val>
            <c:numRef>
              <c:f>'Step loss'!$B$4:$B$9</c:f>
              <c:numCache>
                <c:formatCode>General</c:formatCode>
                <c:ptCount val="6"/>
                <c:pt idx="0">
                  <c:v>83240</c:v>
                </c:pt>
                <c:pt idx="1">
                  <c:v>78100</c:v>
                </c:pt>
                <c:pt idx="2">
                  <c:v>17730</c:v>
                </c:pt>
                <c:pt idx="3">
                  <c:v>17060</c:v>
                </c:pt>
                <c:pt idx="4">
                  <c:v>9060</c:v>
                </c:pt>
                <c:pt idx="5">
                  <c:v>5970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B-4AB2-A234-A78D4060AFCD}"/>
            </c:ext>
          </c:extLst>
        </c:ser>
        <c:ser>
          <c:idx val="1"/>
          <c:order val="1"/>
          <c:tx>
            <c:strRef>
              <c:f>'Step loss'!$C$3</c:f>
              <c:strCache>
                <c:ptCount val="1"/>
                <c:pt idx="0">
                  <c:v>ความถี่ (+1000 Hz)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'Step loss'!$A$4:$A$9</c:f>
              <c:strCache>
                <c:ptCount val="6"/>
                <c:pt idx="0">
                  <c:v>1/32</c:v>
                </c:pt>
                <c:pt idx="1">
                  <c:v>1/16</c:v>
                </c:pt>
                <c:pt idx="2">
                  <c:v>1/8</c:v>
                </c:pt>
                <c:pt idx="3">
                  <c:v>1/4</c:v>
                </c:pt>
                <c:pt idx="4">
                  <c:v>1/2</c:v>
                </c:pt>
                <c:pt idx="5">
                  <c:v>1</c:v>
                </c:pt>
              </c:strCache>
            </c:strRef>
          </c:cat>
          <c:val>
            <c:numRef>
              <c:f>'Step loss'!$C$4:$C$9</c:f>
              <c:numCache>
                <c:formatCode>General</c:formatCode>
                <c:ptCount val="6"/>
                <c:pt idx="0">
                  <c:v>128500</c:v>
                </c:pt>
                <c:pt idx="1">
                  <c:v>62400</c:v>
                </c:pt>
                <c:pt idx="2">
                  <c:v>18000</c:v>
                </c:pt>
                <c:pt idx="3">
                  <c:v>18000</c:v>
                </c:pt>
                <c:pt idx="4">
                  <c:v>6600</c:v>
                </c:pt>
                <c:pt idx="5">
                  <c:v>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B-4AB2-A234-A78D4060AFCD}"/>
            </c:ext>
          </c:extLst>
        </c:ser>
        <c:ser>
          <c:idx val="2"/>
          <c:order val="2"/>
          <c:tx>
            <c:strRef>
              <c:f>'Step loss'!$D$3</c:f>
              <c:strCache>
                <c:ptCount val="1"/>
                <c:pt idx="0">
                  <c:v>ความถี่ (+2000 Hz)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'Step loss'!$A$4:$A$9</c:f>
              <c:strCache>
                <c:ptCount val="6"/>
                <c:pt idx="0">
                  <c:v>1/32</c:v>
                </c:pt>
                <c:pt idx="1">
                  <c:v>1/16</c:v>
                </c:pt>
                <c:pt idx="2">
                  <c:v>1/8</c:v>
                </c:pt>
                <c:pt idx="3">
                  <c:v>1/4</c:v>
                </c:pt>
                <c:pt idx="4">
                  <c:v>1/2</c:v>
                </c:pt>
                <c:pt idx="5">
                  <c:v>1</c:v>
                </c:pt>
              </c:strCache>
            </c:strRef>
          </c:cat>
          <c:val>
            <c:numRef>
              <c:f>'Step loss'!$D$4:$D$9</c:f>
              <c:numCache>
                <c:formatCode>General</c:formatCode>
                <c:ptCount val="6"/>
                <c:pt idx="0">
                  <c:v>127000</c:v>
                </c:pt>
                <c:pt idx="1">
                  <c:v>79200</c:v>
                </c:pt>
                <c:pt idx="2">
                  <c:v>30600</c:v>
                </c:pt>
                <c:pt idx="3">
                  <c:v>11400</c:v>
                </c:pt>
                <c:pt idx="4">
                  <c:v>6600</c:v>
                </c:pt>
                <c:pt idx="5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B-4AB2-A234-A78D4060A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33934"/>
        <c:axId val="698758215"/>
      </c:lineChart>
      <c:catAx>
        <c:axId val="463333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 mode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8758215"/>
        <c:crosses val="autoZero"/>
        <c:auto val="1"/>
        <c:lblAlgn val="ctr"/>
        <c:lblOffset val="100"/>
        <c:noMultiLvlLbl val="1"/>
      </c:catAx>
      <c:valAx>
        <c:axId val="698758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33339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'Step loss'!$B$3</c:f>
              <c:strCache>
                <c:ptCount val="1"/>
                <c:pt idx="0">
                  <c:v>ความถี่  (+100 Hz)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'Step loss'!$A$4:$A$9</c:f>
              <c:strCache>
                <c:ptCount val="6"/>
                <c:pt idx="0">
                  <c:v>1/32</c:v>
                </c:pt>
                <c:pt idx="1">
                  <c:v>1/16</c:v>
                </c:pt>
                <c:pt idx="2">
                  <c:v>1/8</c:v>
                </c:pt>
                <c:pt idx="3">
                  <c:v>1/4</c:v>
                </c:pt>
                <c:pt idx="4">
                  <c:v>1/2</c:v>
                </c:pt>
                <c:pt idx="5">
                  <c:v>1</c:v>
                </c:pt>
              </c:strCache>
            </c:strRef>
          </c:cat>
          <c:val>
            <c:numRef>
              <c:f>'Step loss'!$B$4:$B$9</c:f>
              <c:numCache>
                <c:formatCode>General</c:formatCode>
                <c:ptCount val="6"/>
                <c:pt idx="0">
                  <c:v>83240</c:v>
                </c:pt>
                <c:pt idx="1">
                  <c:v>78100</c:v>
                </c:pt>
                <c:pt idx="2">
                  <c:v>17730</c:v>
                </c:pt>
                <c:pt idx="3">
                  <c:v>17060</c:v>
                </c:pt>
                <c:pt idx="4">
                  <c:v>9060</c:v>
                </c:pt>
                <c:pt idx="5">
                  <c:v>5970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A-44F5-BD21-C47F5DBB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477243"/>
        <c:axId val="808457331"/>
      </c:lineChart>
      <c:catAx>
        <c:axId val="1704477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 mode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8457331"/>
        <c:crosses val="autoZero"/>
        <c:auto val="1"/>
        <c:lblAlgn val="ctr"/>
        <c:lblOffset val="100"/>
        <c:noMultiLvlLbl val="1"/>
      </c:catAx>
      <c:valAx>
        <c:axId val="808457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ความถี่ 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44772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'Step loss'!$C$3</c:f>
              <c:strCache>
                <c:ptCount val="1"/>
                <c:pt idx="0">
                  <c:v>ความถี่ (+1000 Hz)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'Step loss'!$A$4:$A$9</c:f>
              <c:strCache>
                <c:ptCount val="6"/>
                <c:pt idx="0">
                  <c:v>1/32</c:v>
                </c:pt>
                <c:pt idx="1">
                  <c:v>1/16</c:v>
                </c:pt>
                <c:pt idx="2">
                  <c:v>1/8</c:v>
                </c:pt>
                <c:pt idx="3">
                  <c:v>1/4</c:v>
                </c:pt>
                <c:pt idx="4">
                  <c:v>1/2</c:v>
                </c:pt>
                <c:pt idx="5">
                  <c:v>1</c:v>
                </c:pt>
              </c:strCache>
            </c:strRef>
          </c:cat>
          <c:val>
            <c:numRef>
              <c:f>'Step loss'!$C$4:$C$9</c:f>
              <c:numCache>
                <c:formatCode>General</c:formatCode>
                <c:ptCount val="6"/>
                <c:pt idx="0">
                  <c:v>128500</c:v>
                </c:pt>
                <c:pt idx="1">
                  <c:v>62400</c:v>
                </c:pt>
                <c:pt idx="2">
                  <c:v>18000</c:v>
                </c:pt>
                <c:pt idx="3">
                  <c:v>18000</c:v>
                </c:pt>
                <c:pt idx="4">
                  <c:v>6600</c:v>
                </c:pt>
                <c:pt idx="5">
                  <c:v>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6-4348-A69D-A8DAC0B5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209804"/>
        <c:axId val="985495449"/>
      </c:lineChart>
      <c:catAx>
        <c:axId val="1881209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 mode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5495449"/>
        <c:crosses val="autoZero"/>
        <c:auto val="1"/>
        <c:lblAlgn val="ctr"/>
        <c:lblOffset val="100"/>
        <c:noMultiLvlLbl val="1"/>
      </c:catAx>
      <c:valAx>
        <c:axId val="985495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ความถี่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12098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image" Target="../media/image1.png"/><Relationship Id="rId7" Type="http://schemas.openxmlformats.org/officeDocument/2006/relationships/chart" Target="../charts/chart14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962025</xdr:colOff>
      <xdr:row>0</xdr:row>
      <xdr:rowOff>152400</xdr:rowOff>
    </xdr:from>
    <xdr:ext cx="5715000" cy="3533775"/>
    <xdr:graphicFrame macro="">
      <xdr:nvGraphicFramePr>
        <xdr:cNvPr id="2" name="Chart 1" title="แผนภูมิ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628650</xdr:colOff>
      <xdr:row>26</xdr:row>
      <xdr:rowOff>190500</xdr:rowOff>
    </xdr:from>
    <xdr:ext cx="6753225" cy="4181475"/>
    <xdr:graphicFrame macro="">
      <xdr:nvGraphicFramePr>
        <xdr:cNvPr id="3" name="Chart 2" title="แผนภูมิ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1</xdr:row>
      <xdr:rowOff>180975</xdr:rowOff>
    </xdr:from>
    <xdr:ext cx="3333750" cy="2066925"/>
    <xdr:graphicFrame macro="">
      <xdr:nvGraphicFramePr>
        <xdr:cNvPr id="3" name="Chart 3" title="แผนภูมิ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276225</xdr:colOff>
      <xdr:row>12</xdr:row>
      <xdr:rowOff>133350</xdr:rowOff>
    </xdr:from>
    <xdr:ext cx="3333750" cy="2066925"/>
    <xdr:graphicFrame macro="">
      <xdr:nvGraphicFramePr>
        <xdr:cNvPr id="4" name="Chart 4" title="แผนภูมิ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276225</xdr:colOff>
      <xdr:row>23</xdr:row>
      <xdr:rowOff>85725</xdr:rowOff>
    </xdr:from>
    <xdr:ext cx="3333750" cy="2066925"/>
    <xdr:graphicFrame macro="">
      <xdr:nvGraphicFramePr>
        <xdr:cNvPr id="5" name="Chart 5" title="แผนภูมิ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942975</xdr:colOff>
      <xdr:row>11</xdr:row>
      <xdr:rowOff>171450</xdr:rowOff>
    </xdr:from>
    <xdr:ext cx="5715000" cy="3533775"/>
    <xdr:graphicFrame macro="">
      <xdr:nvGraphicFramePr>
        <xdr:cNvPr id="6" name="Chart 6" title="แผนภูมิ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38100</xdr:rowOff>
    </xdr:from>
    <xdr:ext cx="5715000" cy="3533775"/>
    <xdr:graphicFrame macro="">
      <xdr:nvGraphicFramePr>
        <xdr:cNvPr id="7" name="Chart 7" title="แผนภูมิ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29</xdr:row>
      <xdr:rowOff>47625</xdr:rowOff>
    </xdr:from>
    <xdr:ext cx="5715000" cy="3533775"/>
    <xdr:graphicFrame macro="">
      <xdr:nvGraphicFramePr>
        <xdr:cNvPr id="8" name="Chart 8" title="แผนภูมิ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161925</xdr:rowOff>
    </xdr:from>
    <xdr:ext cx="5715000" cy="3533775"/>
    <xdr:graphicFrame macro="">
      <xdr:nvGraphicFramePr>
        <xdr:cNvPr id="9" name="Chart 9" title="แผนภูมิ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66</xdr:row>
      <xdr:rowOff>142875</xdr:rowOff>
    </xdr:from>
    <xdr:ext cx="5715000" cy="3533775"/>
    <xdr:graphicFrame macro="">
      <xdr:nvGraphicFramePr>
        <xdr:cNvPr id="10" name="Chart 10" title="แผนภูมิ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40342</xdr:colOff>
      <xdr:row>23</xdr:row>
      <xdr:rowOff>16783</xdr:rowOff>
    </xdr:from>
    <xdr:ext cx="2533650" cy="1571625"/>
    <xdr:graphicFrame macro="">
      <xdr:nvGraphicFramePr>
        <xdr:cNvPr id="11" name="Chart 11" title="แผนภูมิ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533400</xdr:colOff>
      <xdr:row>82</xdr:row>
      <xdr:rowOff>133350</xdr:rowOff>
    </xdr:from>
    <xdr:ext cx="3829050" cy="2352675"/>
    <xdr:graphicFrame macro="">
      <xdr:nvGraphicFramePr>
        <xdr:cNvPr id="12" name="Chart 12" title="แผนภูมิ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409575</xdr:colOff>
      <xdr:row>2</xdr:row>
      <xdr:rowOff>38100</xdr:rowOff>
    </xdr:from>
    <xdr:ext cx="1162050" cy="333375"/>
    <xdr:pic>
      <xdr:nvPicPr>
        <xdr:cNvPr id="2" name="image2.png" title="รูปภาพ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66675</xdr:colOff>
      <xdr:row>9</xdr:row>
      <xdr:rowOff>38100</xdr:rowOff>
    </xdr:from>
    <xdr:ext cx="1362075" cy="428625"/>
    <xdr:pic>
      <xdr:nvPicPr>
        <xdr:cNvPr id="3" name="image1.png" title="รูปภาพ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66675</xdr:colOff>
      <xdr:row>11</xdr:row>
      <xdr:rowOff>19050</xdr:rowOff>
    </xdr:from>
    <xdr:ext cx="1362075" cy="733425"/>
    <xdr:pic>
      <xdr:nvPicPr>
        <xdr:cNvPr id="4" name="image3.png" title="รูปภาพ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10</xdr:col>
      <xdr:colOff>780690</xdr:colOff>
      <xdr:row>16</xdr:row>
      <xdr:rowOff>189780</xdr:rowOff>
    </xdr:from>
    <xdr:to>
      <xdr:col>16</xdr:col>
      <xdr:colOff>125082</xdr:colOff>
      <xdr:row>31</xdr:row>
      <xdr:rowOff>112143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7449F4-222C-EB4E-F3FC-BEA61A8EF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720306</xdr:colOff>
      <xdr:row>32</xdr:row>
      <xdr:rowOff>34505</xdr:rowOff>
    </xdr:from>
    <xdr:to>
      <xdr:col>16</xdr:col>
      <xdr:colOff>64698</xdr:colOff>
      <xdr:row>46</xdr:row>
      <xdr:rowOff>103516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7F54D7-9D12-9ECB-5B07-8247AB929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858328</xdr:colOff>
      <xdr:row>47</xdr:row>
      <xdr:rowOff>8626</xdr:rowOff>
    </xdr:from>
    <xdr:to>
      <xdr:col>16</xdr:col>
      <xdr:colOff>202720</xdr:colOff>
      <xdr:row>60</xdr:row>
      <xdr:rowOff>172527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5078DD-F711-CD4A-516E-37A33A167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2</xdr:row>
      <xdr:rowOff>209550</xdr:rowOff>
    </xdr:from>
    <xdr:ext cx="3857625" cy="2371725"/>
    <xdr:graphicFrame macro="">
      <xdr:nvGraphicFramePr>
        <xdr:cNvPr id="13" name="Chart 13" title="แผนภูมิ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48"/>
  <sheetViews>
    <sheetView zoomScale="85" zoomScaleNormal="85" workbookViewId="0">
      <selection sqref="A1:A2"/>
    </sheetView>
  </sheetViews>
  <sheetFormatPr defaultColWidth="12.625" defaultRowHeight="15.8" customHeight="1"/>
  <sheetData>
    <row r="1" spans="1:18">
      <c r="A1" s="30" t="s">
        <v>0</v>
      </c>
      <c r="B1" s="30" t="s">
        <v>1</v>
      </c>
      <c r="C1" s="31"/>
      <c r="D1" s="31"/>
      <c r="E1" s="31"/>
      <c r="F1" s="31"/>
      <c r="G1" s="31"/>
      <c r="H1" s="31"/>
    </row>
    <row r="2" spans="1:18">
      <c r="A2" s="3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 t="s">
        <v>8</v>
      </c>
      <c r="I2" s="3" t="s">
        <v>9</v>
      </c>
      <c r="J2" s="3" t="s">
        <v>10</v>
      </c>
    </row>
    <row r="3" spans="1:18">
      <c r="A3" s="4">
        <v>9864</v>
      </c>
      <c r="B3" s="5"/>
      <c r="C3" s="6">
        <v>1166</v>
      </c>
      <c r="D3" s="6">
        <v>1111</v>
      </c>
      <c r="E3" s="6">
        <v>1129</v>
      </c>
      <c r="F3" s="6">
        <v>1129</v>
      </c>
      <c r="G3" s="6">
        <v>1147</v>
      </c>
      <c r="H3" s="7">
        <f t="shared" ref="H3:H12" si="0">AVERAGE(B3:G3)</f>
        <v>1136.4000000000001</v>
      </c>
      <c r="I3" s="8">
        <f t="shared" ref="I3:I23" si="1">ABS(A3*7)/60</f>
        <v>1150.8</v>
      </c>
      <c r="J3" s="8">
        <f t="shared" ref="J3:J12" si="2">ABS((H3-I3)/H3)*100</f>
        <v>1.2671594508975592</v>
      </c>
    </row>
    <row r="4" spans="1:18">
      <c r="A4" s="4">
        <v>8864</v>
      </c>
      <c r="B4" s="5"/>
      <c r="C4" s="6">
        <v>1012</v>
      </c>
      <c r="D4" s="6">
        <v>988.1</v>
      </c>
      <c r="E4" s="6">
        <v>988.1</v>
      </c>
      <c r="F4" s="6">
        <v>1002</v>
      </c>
      <c r="G4" s="6">
        <v>984.3</v>
      </c>
      <c r="H4" s="7">
        <f t="shared" si="0"/>
        <v>994.9</v>
      </c>
      <c r="I4" s="8">
        <f t="shared" si="1"/>
        <v>1034.1333333333334</v>
      </c>
      <c r="J4" s="8">
        <f t="shared" si="2"/>
        <v>3.9434449023352558</v>
      </c>
    </row>
    <row r="5" spans="1:18">
      <c r="A5" s="4">
        <v>7854</v>
      </c>
      <c r="B5" s="5"/>
      <c r="C5" s="6">
        <v>902.5</v>
      </c>
      <c r="D5" s="6">
        <v>905.8</v>
      </c>
      <c r="E5" s="6">
        <v>889.7</v>
      </c>
      <c r="F5" s="6">
        <v>902.5</v>
      </c>
      <c r="G5" s="6">
        <v>912.4</v>
      </c>
      <c r="H5" s="7">
        <f t="shared" si="0"/>
        <v>902.57999999999993</v>
      </c>
      <c r="I5" s="8">
        <f t="shared" si="1"/>
        <v>916.3</v>
      </c>
      <c r="J5" s="8">
        <f t="shared" si="2"/>
        <v>1.5200868621064092</v>
      </c>
    </row>
    <row r="6" spans="1:18">
      <c r="A6" s="4">
        <v>6872</v>
      </c>
      <c r="B6" s="5"/>
      <c r="C6" s="6">
        <v>778.8</v>
      </c>
      <c r="D6" s="6">
        <v>801.3</v>
      </c>
      <c r="E6" s="6">
        <v>793.7</v>
      </c>
      <c r="F6" s="6">
        <v>793.7</v>
      </c>
      <c r="G6" s="6">
        <v>791.1</v>
      </c>
      <c r="H6" s="7">
        <f t="shared" si="0"/>
        <v>791.72</v>
      </c>
      <c r="I6" s="8">
        <f t="shared" si="1"/>
        <v>801.73333333333335</v>
      </c>
      <c r="J6" s="8">
        <f t="shared" si="2"/>
        <v>1.2647569005877484</v>
      </c>
    </row>
    <row r="7" spans="1:18">
      <c r="A7" s="4">
        <v>5886</v>
      </c>
      <c r="B7" s="5"/>
      <c r="C7" s="6">
        <v>661.4</v>
      </c>
      <c r="D7" s="6">
        <v>664.9</v>
      </c>
      <c r="E7" s="6">
        <v>666.7</v>
      </c>
      <c r="F7" s="6">
        <v>654.5</v>
      </c>
      <c r="G7" s="6">
        <v>670.2</v>
      </c>
      <c r="H7" s="7">
        <f t="shared" si="0"/>
        <v>663.54</v>
      </c>
      <c r="I7" s="8">
        <f t="shared" si="1"/>
        <v>686.7</v>
      </c>
      <c r="J7" s="8">
        <f t="shared" si="2"/>
        <v>3.4903698345239298</v>
      </c>
    </row>
    <row r="8" spans="1:18">
      <c r="A8" s="4">
        <v>4886</v>
      </c>
      <c r="B8" s="5"/>
      <c r="C8" s="6">
        <v>563.1</v>
      </c>
      <c r="D8" s="6">
        <v>555.6</v>
      </c>
      <c r="E8" s="6">
        <v>559.29999999999995</v>
      </c>
      <c r="F8" s="6">
        <v>559.29999999999995</v>
      </c>
      <c r="G8" s="6">
        <v>558</v>
      </c>
      <c r="H8" s="7">
        <f t="shared" si="0"/>
        <v>559.06000000000006</v>
      </c>
      <c r="I8" s="8">
        <f t="shared" si="1"/>
        <v>570.0333333333333</v>
      </c>
      <c r="J8" s="8">
        <f t="shared" si="2"/>
        <v>1.9628185406455914</v>
      </c>
    </row>
    <row r="9" spans="1:18">
      <c r="A9" s="4">
        <v>3876</v>
      </c>
      <c r="B9" s="5"/>
      <c r="C9" s="6">
        <v>440.9</v>
      </c>
      <c r="D9" s="6">
        <v>440.9</v>
      </c>
      <c r="E9" s="6">
        <v>440.1</v>
      </c>
      <c r="F9" s="6">
        <v>440.1</v>
      </c>
      <c r="G9" s="6">
        <v>437.8</v>
      </c>
      <c r="H9" s="7">
        <f t="shared" si="0"/>
        <v>439.96000000000004</v>
      </c>
      <c r="I9" s="8">
        <f t="shared" si="1"/>
        <v>452.2</v>
      </c>
      <c r="J9" s="8">
        <f t="shared" si="2"/>
        <v>2.7820710973724774</v>
      </c>
    </row>
    <row r="10" spans="1:18">
      <c r="A10" s="4">
        <v>2892</v>
      </c>
      <c r="B10" s="5"/>
      <c r="C10" s="6">
        <v>326.8</v>
      </c>
      <c r="D10" s="6">
        <v>324.7</v>
      </c>
      <c r="E10" s="6">
        <v>324.7</v>
      </c>
      <c r="F10" s="6">
        <v>322.60000000000002</v>
      </c>
      <c r="G10" s="6">
        <v>324.7</v>
      </c>
      <c r="H10" s="7">
        <f t="shared" si="0"/>
        <v>324.70000000000005</v>
      </c>
      <c r="I10" s="8">
        <f t="shared" si="1"/>
        <v>337.4</v>
      </c>
      <c r="J10" s="8">
        <f t="shared" si="2"/>
        <v>3.9113027409916632</v>
      </c>
      <c r="R10" s="3" t="s">
        <v>11</v>
      </c>
    </row>
    <row r="11" spans="1:18">
      <c r="A11" s="4">
        <v>1872</v>
      </c>
      <c r="B11" s="5"/>
      <c r="C11" s="6">
        <v>209.6</v>
      </c>
      <c r="D11" s="6">
        <v>209.6</v>
      </c>
      <c r="E11" s="6">
        <v>207.9</v>
      </c>
      <c r="F11" s="6">
        <v>209.6</v>
      </c>
      <c r="G11" s="6">
        <v>209.6</v>
      </c>
      <c r="H11" s="7">
        <f t="shared" si="0"/>
        <v>209.26</v>
      </c>
      <c r="I11" s="8">
        <f t="shared" si="1"/>
        <v>218.4</v>
      </c>
      <c r="J11" s="8">
        <f t="shared" si="2"/>
        <v>4.3677721494791237</v>
      </c>
      <c r="R11" s="3" t="s">
        <v>12</v>
      </c>
    </row>
    <row r="12" spans="1:18">
      <c r="A12" s="5">
        <v>1476</v>
      </c>
      <c r="B12" s="9">
        <v>170.6</v>
      </c>
      <c r="C12" s="10"/>
      <c r="D12" s="10"/>
      <c r="E12" s="10"/>
      <c r="F12" s="10"/>
      <c r="G12" s="10"/>
      <c r="H12" s="7">
        <f t="shared" si="0"/>
        <v>170.6</v>
      </c>
      <c r="I12" s="8">
        <f t="shared" si="1"/>
        <v>172.2</v>
      </c>
      <c r="J12" s="8">
        <f t="shared" si="2"/>
        <v>0.93786635404454533</v>
      </c>
    </row>
    <row r="13" spans="1:18">
      <c r="A13" s="5">
        <v>0</v>
      </c>
      <c r="B13" s="11"/>
      <c r="C13" s="10"/>
      <c r="D13" s="10"/>
      <c r="E13" s="10"/>
      <c r="F13" s="10"/>
      <c r="G13" s="10"/>
      <c r="H13" s="7">
        <v>0</v>
      </c>
      <c r="I13" s="8">
        <f t="shared" si="1"/>
        <v>0</v>
      </c>
      <c r="J13" s="8">
        <v>0</v>
      </c>
    </row>
    <row r="14" spans="1:18">
      <c r="A14" s="5">
        <v>-1476</v>
      </c>
      <c r="B14" s="9">
        <v>171.8</v>
      </c>
      <c r="C14" s="10"/>
      <c r="D14" s="10"/>
      <c r="E14" s="10"/>
      <c r="F14" s="10"/>
      <c r="G14" s="10"/>
      <c r="H14" s="7">
        <f t="shared" ref="H14:H23" si="3">AVERAGE(B14:G14)</f>
        <v>171.8</v>
      </c>
      <c r="I14" s="8">
        <f t="shared" si="1"/>
        <v>172.2</v>
      </c>
      <c r="J14" s="8">
        <f t="shared" ref="J14:J23" si="4">ABS((H14-I14)/H14)*100</f>
        <v>0.23282887077996348</v>
      </c>
    </row>
    <row r="15" spans="1:18">
      <c r="A15" s="4">
        <v>-1872</v>
      </c>
      <c r="B15" s="5"/>
      <c r="C15" s="6">
        <v>209.6</v>
      </c>
      <c r="D15" s="6">
        <v>209.6</v>
      </c>
      <c r="E15" s="6">
        <v>210.1</v>
      </c>
      <c r="F15" s="6">
        <v>210.1</v>
      </c>
      <c r="G15" s="6">
        <v>208.3</v>
      </c>
      <c r="H15" s="7">
        <f t="shared" si="3"/>
        <v>209.54000000000002</v>
      </c>
      <c r="I15" s="8">
        <f t="shared" si="1"/>
        <v>218.4</v>
      </c>
      <c r="J15" s="8">
        <f t="shared" si="4"/>
        <v>4.2283096306194441</v>
      </c>
    </row>
    <row r="16" spans="1:18">
      <c r="A16" s="4">
        <v>-2856</v>
      </c>
      <c r="B16" s="5"/>
      <c r="C16" s="6">
        <v>332.2</v>
      </c>
      <c r="D16" s="6">
        <v>328.9</v>
      </c>
      <c r="E16" s="6">
        <v>334.4</v>
      </c>
      <c r="F16" s="6">
        <v>334.4</v>
      </c>
      <c r="G16" s="6">
        <v>337.8</v>
      </c>
      <c r="H16" s="7">
        <f t="shared" si="3"/>
        <v>333.53999999999996</v>
      </c>
      <c r="I16" s="8">
        <f t="shared" si="1"/>
        <v>333.2</v>
      </c>
      <c r="J16" s="8">
        <f t="shared" si="4"/>
        <v>0.10193679918449811</v>
      </c>
    </row>
    <row r="17" spans="1:11">
      <c r="A17" s="4">
        <v>-3876</v>
      </c>
      <c r="B17" s="5"/>
      <c r="C17" s="6">
        <v>446.4</v>
      </c>
      <c r="D17" s="6">
        <v>444.8</v>
      </c>
      <c r="E17" s="6">
        <v>444.8</v>
      </c>
      <c r="F17" s="6">
        <v>440.1</v>
      </c>
      <c r="G17" s="6">
        <v>446.4</v>
      </c>
      <c r="H17" s="7">
        <f t="shared" si="3"/>
        <v>444.5</v>
      </c>
      <c r="I17" s="8">
        <f t="shared" si="1"/>
        <v>452.2</v>
      </c>
      <c r="J17" s="8">
        <f t="shared" si="4"/>
        <v>1.7322834645669267</v>
      </c>
    </row>
    <row r="18" spans="1:11">
      <c r="A18" s="4">
        <v>-4866</v>
      </c>
      <c r="B18" s="5"/>
      <c r="C18" s="6">
        <v>563.1</v>
      </c>
      <c r="D18" s="6">
        <v>569.5</v>
      </c>
      <c r="E18" s="6">
        <v>565.6</v>
      </c>
      <c r="F18" s="6">
        <v>569.5</v>
      </c>
      <c r="G18" s="6">
        <v>569.5</v>
      </c>
      <c r="H18" s="7">
        <f t="shared" si="3"/>
        <v>567.43999999999994</v>
      </c>
      <c r="I18" s="8">
        <f t="shared" si="1"/>
        <v>567.70000000000005</v>
      </c>
      <c r="J18" s="8">
        <f t="shared" si="4"/>
        <v>4.5819822360091751E-2</v>
      </c>
    </row>
    <row r="19" spans="1:11">
      <c r="A19" s="4">
        <v>-5886</v>
      </c>
      <c r="B19" s="5"/>
      <c r="C19" s="6">
        <v>673.9</v>
      </c>
      <c r="D19" s="6">
        <v>677.5</v>
      </c>
      <c r="E19" s="6">
        <v>677.5</v>
      </c>
      <c r="F19" s="6">
        <v>681.2</v>
      </c>
      <c r="G19" s="6">
        <v>675.7</v>
      </c>
      <c r="H19" s="7">
        <f t="shared" si="3"/>
        <v>677.16000000000008</v>
      </c>
      <c r="I19" s="8">
        <f t="shared" si="1"/>
        <v>686.7</v>
      </c>
      <c r="J19" s="8">
        <f t="shared" si="4"/>
        <v>1.4088250930356139</v>
      </c>
    </row>
    <row r="20" spans="1:11">
      <c r="A20" s="4">
        <v>-6872</v>
      </c>
      <c r="B20" s="5"/>
      <c r="C20" s="6">
        <v>806.5</v>
      </c>
      <c r="D20" s="6">
        <v>786.2</v>
      </c>
      <c r="E20" s="6">
        <v>796.2</v>
      </c>
      <c r="F20" s="6">
        <v>796.2</v>
      </c>
      <c r="G20" s="6">
        <v>781.3</v>
      </c>
      <c r="H20" s="7">
        <f t="shared" si="3"/>
        <v>793.28000000000009</v>
      </c>
      <c r="I20" s="8">
        <f t="shared" si="1"/>
        <v>801.73333333333335</v>
      </c>
      <c r="J20" s="8">
        <f t="shared" si="4"/>
        <v>1.0656178566626235</v>
      </c>
    </row>
    <row r="21" spans="1:11">
      <c r="A21" s="4">
        <v>-7854</v>
      </c>
      <c r="B21" s="5"/>
      <c r="C21" s="6">
        <v>905.8</v>
      </c>
      <c r="D21" s="6">
        <v>919.1</v>
      </c>
      <c r="E21" s="6">
        <v>899.3</v>
      </c>
      <c r="F21" s="6">
        <v>889.7</v>
      </c>
      <c r="G21" s="6">
        <v>929.4</v>
      </c>
      <c r="H21" s="7">
        <f t="shared" si="3"/>
        <v>908.65999999999985</v>
      </c>
      <c r="I21" s="8">
        <f t="shared" si="1"/>
        <v>916.3</v>
      </c>
      <c r="J21" s="8">
        <f t="shared" si="4"/>
        <v>0.84079853850726349</v>
      </c>
    </row>
    <row r="22" spans="1:11">
      <c r="A22" s="4">
        <v>-8874</v>
      </c>
      <c r="B22" s="5"/>
      <c r="C22" s="6">
        <v>1020</v>
      </c>
      <c r="D22" s="6">
        <v>1020</v>
      </c>
      <c r="E22" s="6">
        <v>988.1</v>
      </c>
      <c r="F22" s="6">
        <v>1012</v>
      </c>
      <c r="G22" s="6">
        <v>992.1</v>
      </c>
      <c r="H22" s="7">
        <f t="shared" si="3"/>
        <v>1006.4399999999999</v>
      </c>
      <c r="I22" s="8">
        <f t="shared" si="1"/>
        <v>1035.3</v>
      </c>
      <c r="J22" s="8">
        <f t="shared" si="4"/>
        <v>2.8675330869202353</v>
      </c>
    </row>
    <row r="23" spans="1:11">
      <c r="A23" s="4">
        <v>-9864</v>
      </c>
      <c r="B23" s="5"/>
      <c r="C23" s="6">
        <v>1012</v>
      </c>
      <c r="D23" s="6">
        <v>1008</v>
      </c>
      <c r="E23" s="6">
        <v>992.1</v>
      </c>
      <c r="F23" s="6">
        <v>1012</v>
      </c>
      <c r="G23" s="6">
        <v>1008</v>
      </c>
      <c r="H23" s="7">
        <f t="shared" si="3"/>
        <v>1006.4200000000001</v>
      </c>
      <c r="I23" s="8">
        <f t="shared" si="1"/>
        <v>1150.8</v>
      </c>
      <c r="J23" s="8">
        <f t="shared" si="4"/>
        <v>14.345899326324982</v>
      </c>
    </row>
    <row r="28" spans="1:11">
      <c r="A28" s="12" t="s">
        <v>0</v>
      </c>
      <c r="B28" s="12" t="s">
        <v>13</v>
      </c>
      <c r="C28" s="11"/>
      <c r="D28" s="11"/>
      <c r="E28" s="12" t="s">
        <v>0</v>
      </c>
      <c r="F28" s="12" t="s">
        <v>14</v>
      </c>
      <c r="G28" s="12" t="s">
        <v>15</v>
      </c>
      <c r="H28" s="12" t="s">
        <v>16</v>
      </c>
      <c r="I28" s="12" t="s">
        <v>17</v>
      </c>
      <c r="J28" s="12" t="s">
        <v>18</v>
      </c>
      <c r="K28" s="13" t="s">
        <v>13</v>
      </c>
    </row>
    <row r="29" spans="1:11">
      <c r="A29" s="4">
        <v>9864</v>
      </c>
      <c r="B29" s="5">
        <v>16.399999999999999</v>
      </c>
      <c r="C29" s="11"/>
      <c r="D29" s="11"/>
      <c r="E29" s="5">
        <v>9800</v>
      </c>
      <c r="F29" s="5">
        <v>70.92</v>
      </c>
      <c r="G29" s="5">
        <v>99.01</v>
      </c>
      <c r="H29" s="14">
        <f t="shared" ref="H29:H37" si="5">1/F29</f>
        <v>1.410039481105471E-2</v>
      </c>
      <c r="I29" s="5">
        <v>1.01E-2</v>
      </c>
      <c r="J29" s="9">
        <v>71.629099999999994</v>
      </c>
      <c r="K29" s="15">
        <f t="shared" ref="K29:K47" si="6">J29%*$B$47</f>
        <v>11.718520759999999</v>
      </c>
    </row>
    <row r="30" spans="1:11">
      <c r="A30" s="4">
        <v>8864</v>
      </c>
      <c r="B30" s="5">
        <v>16.399999999999999</v>
      </c>
      <c r="C30" s="11"/>
      <c r="D30" s="11"/>
      <c r="E30" s="5">
        <v>8800</v>
      </c>
      <c r="F30" s="5">
        <v>69.930000000000007</v>
      </c>
      <c r="G30" s="5">
        <v>113.6</v>
      </c>
      <c r="H30" s="14">
        <f t="shared" si="5"/>
        <v>1.4300014300014298E-2</v>
      </c>
      <c r="I30" s="5">
        <v>8.8000000000000005E-3</v>
      </c>
      <c r="J30" s="9">
        <v>61.558100000000003</v>
      </c>
      <c r="K30" s="15">
        <f t="shared" si="6"/>
        <v>10.070905160000001</v>
      </c>
    </row>
    <row r="31" spans="1:11">
      <c r="A31" s="4">
        <v>7854</v>
      </c>
      <c r="B31" s="5">
        <v>16</v>
      </c>
      <c r="C31" s="11"/>
      <c r="D31" s="11"/>
      <c r="E31" s="5">
        <v>7800</v>
      </c>
      <c r="F31" s="5">
        <v>69.44</v>
      </c>
      <c r="G31" s="5">
        <v>123.5</v>
      </c>
      <c r="H31" s="14">
        <f t="shared" si="5"/>
        <v>1.4400921658986175E-2</v>
      </c>
      <c r="I31" s="5">
        <v>8.0999999999999996E-3</v>
      </c>
      <c r="J31" s="9">
        <v>56.226700000000001</v>
      </c>
      <c r="K31" s="15">
        <f t="shared" si="6"/>
        <v>9.1986881199999999</v>
      </c>
    </row>
    <row r="32" spans="1:11">
      <c r="A32" s="4">
        <v>6872</v>
      </c>
      <c r="B32" s="5">
        <v>16.399999999999999</v>
      </c>
      <c r="C32" s="11"/>
      <c r="D32" s="11"/>
      <c r="E32" s="5">
        <v>6800</v>
      </c>
      <c r="F32" s="5">
        <v>69.930000000000007</v>
      </c>
      <c r="G32" s="5">
        <v>142.9</v>
      </c>
      <c r="H32" s="14">
        <f t="shared" si="5"/>
        <v>1.4300014300014298E-2</v>
      </c>
      <c r="I32" s="5">
        <v>7.0000000000000001E-3</v>
      </c>
      <c r="J32" s="9">
        <v>48.936300000000003</v>
      </c>
      <c r="K32" s="15">
        <f t="shared" si="6"/>
        <v>8.0059786800000001</v>
      </c>
    </row>
    <row r="33" spans="1:11">
      <c r="A33" s="4">
        <v>5886</v>
      </c>
      <c r="B33" s="5">
        <v>16.399999999999999</v>
      </c>
      <c r="C33" s="11"/>
      <c r="D33" s="11"/>
      <c r="E33" s="5">
        <v>5800</v>
      </c>
      <c r="F33" s="5">
        <v>69.930000000000007</v>
      </c>
      <c r="G33" s="5">
        <v>169.5</v>
      </c>
      <c r="H33" s="14">
        <f t="shared" si="5"/>
        <v>1.4300014300014298E-2</v>
      </c>
      <c r="I33" s="5">
        <v>5.8999999999999999E-3</v>
      </c>
      <c r="J33" s="9">
        <v>41.256599999999999</v>
      </c>
      <c r="K33" s="15">
        <f t="shared" si="6"/>
        <v>6.7495797599999996</v>
      </c>
    </row>
    <row r="34" spans="1:11">
      <c r="A34" s="4">
        <v>4886</v>
      </c>
      <c r="B34" s="5">
        <v>16.8</v>
      </c>
      <c r="C34" s="11"/>
      <c r="D34" s="11"/>
      <c r="E34" s="5">
        <v>4800</v>
      </c>
      <c r="F34" s="5">
        <v>69.930000000000007</v>
      </c>
      <c r="G34" s="5">
        <v>188.7</v>
      </c>
      <c r="H34" s="14">
        <f t="shared" si="5"/>
        <v>1.4300014300014298E-2</v>
      </c>
      <c r="I34" s="5">
        <v>5.3E-3</v>
      </c>
      <c r="J34" s="9">
        <v>37.058799999999998</v>
      </c>
      <c r="K34" s="15">
        <f t="shared" si="6"/>
        <v>6.0628196799999996</v>
      </c>
    </row>
    <row r="35" spans="1:11">
      <c r="A35" s="4">
        <v>3876</v>
      </c>
      <c r="B35" s="5">
        <v>16</v>
      </c>
      <c r="C35" s="11"/>
      <c r="D35" s="11"/>
      <c r="E35" s="5">
        <v>3800</v>
      </c>
      <c r="F35" s="5">
        <v>69.930000000000007</v>
      </c>
      <c r="G35" s="5">
        <v>250</v>
      </c>
      <c r="H35" s="14">
        <f t="shared" si="5"/>
        <v>1.4300014300014298E-2</v>
      </c>
      <c r="I35" s="5">
        <v>4.0000000000000001E-3</v>
      </c>
      <c r="J35" s="9">
        <v>27.972000000000001</v>
      </c>
      <c r="K35" s="15">
        <f t="shared" si="6"/>
        <v>4.5762192000000006</v>
      </c>
    </row>
    <row r="36" spans="1:11">
      <c r="A36" s="4">
        <v>2892</v>
      </c>
      <c r="B36" s="5">
        <v>16.399999999999999</v>
      </c>
      <c r="C36" s="11"/>
      <c r="D36" s="11"/>
      <c r="E36" s="5">
        <v>2800</v>
      </c>
      <c r="F36" s="5">
        <v>69.44</v>
      </c>
      <c r="G36" s="5">
        <v>333.3</v>
      </c>
      <c r="H36" s="14">
        <f t="shared" si="5"/>
        <v>1.4400921658986175E-2</v>
      </c>
      <c r="I36" s="5">
        <v>3.0000000000000001E-3</v>
      </c>
      <c r="J36" s="9">
        <v>20.834099999999999</v>
      </c>
      <c r="K36" s="15">
        <f t="shared" si="6"/>
        <v>3.4084587599999998</v>
      </c>
    </row>
    <row r="37" spans="1:11">
      <c r="A37" s="4">
        <v>1872</v>
      </c>
      <c r="B37" s="5">
        <v>16</v>
      </c>
      <c r="C37" s="11"/>
      <c r="D37" s="11"/>
      <c r="E37" s="5">
        <v>1800</v>
      </c>
      <c r="F37" s="5">
        <v>70.42</v>
      </c>
      <c r="G37" s="5">
        <v>500</v>
      </c>
      <c r="H37" s="14">
        <f t="shared" si="5"/>
        <v>1.4200511218403862E-2</v>
      </c>
      <c r="I37" s="5">
        <v>2E-3</v>
      </c>
      <c r="J37" s="9">
        <v>14.084</v>
      </c>
      <c r="K37" s="15">
        <f t="shared" si="6"/>
        <v>2.3041423999999999</v>
      </c>
    </row>
    <row r="38" spans="1:11">
      <c r="A38" s="4">
        <v>-1872</v>
      </c>
      <c r="B38" s="5">
        <v>16.399999999999999</v>
      </c>
      <c r="C38" s="11"/>
      <c r="D38" s="11"/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15">
        <f t="shared" si="6"/>
        <v>0</v>
      </c>
    </row>
    <row r="39" spans="1:11">
      <c r="A39" s="4">
        <v>-2856</v>
      </c>
      <c r="B39" s="5">
        <v>16.399999999999999</v>
      </c>
      <c r="C39" s="11"/>
      <c r="D39" s="11"/>
      <c r="E39" s="5">
        <v>-1800</v>
      </c>
      <c r="F39" s="5">
        <v>68.97</v>
      </c>
      <c r="G39" s="5">
        <v>454.4</v>
      </c>
      <c r="H39" s="14">
        <f t="shared" ref="H39:H47" si="7">1/F39</f>
        <v>1.4499057561258518E-2</v>
      </c>
      <c r="I39" s="5">
        <v>2.2000000000000001E-3</v>
      </c>
      <c r="J39" s="9">
        <v>15.1783</v>
      </c>
      <c r="K39" s="15">
        <f t="shared" si="6"/>
        <v>2.4831698799999997</v>
      </c>
    </row>
    <row r="40" spans="1:11">
      <c r="A40" s="4">
        <v>-3876</v>
      </c>
      <c r="B40" s="5">
        <v>15.6</v>
      </c>
      <c r="C40" s="11"/>
      <c r="D40" s="11"/>
      <c r="E40" s="5">
        <v>-2800</v>
      </c>
      <c r="F40" s="5">
        <v>68.489999999999995</v>
      </c>
      <c r="G40" s="5">
        <v>285.7</v>
      </c>
      <c r="H40" s="14">
        <f t="shared" si="7"/>
        <v>1.4600671630895023E-2</v>
      </c>
      <c r="I40" s="5">
        <v>3.5000000000000001E-3</v>
      </c>
      <c r="J40" s="9">
        <v>23.9727</v>
      </c>
      <c r="K40" s="15">
        <f t="shared" si="6"/>
        <v>3.9219337199999997</v>
      </c>
    </row>
    <row r="41" spans="1:11">
      <c r="A41" s="4">
        <v>-4866</v>
      </c>
      <c r="B41" s="5">
        <v>16.399999999999999</v>
      </c>
      <c r="C41" s="11"/>
      <c r="D41" s="11"/>
      <c r="E41" s="5">
        <v>-3800</v>
      </c>
      <c r="F41" s="5">
        <v>69.44</v>
      </c>
      <c r="G41" s="5">
        <v>232.6</v>
      </c>
      <c r="H41" s="14">
        <f t="shared" si="7"/>
        <v>1.4400921658986175E-2</v>
      </c>
      <c r="I41" s="5">
        <v>4.3E-3</v>
      </c>
      <c r="J41" s="9">
        <v>29.8538</v>
      </c>
      <c r="K41" s="15">
        <f t="shared" si="6"/>
        <v>4.8840816799999995</v>
      </c>
    </row>
    <row r="42" spans="1:11">
      <c r="A42" s="4">
        <v>-5886</v>
      </c>
      <c r="B42" s="5">
        <v>16.399999999999999</v>
      </c>
      <c r="C42" s="11"/>
      <c r="D42" s="11"/>
      <c r="E42" s="5">
        <v>-4800</v>
      </c>
      <c r="F42" s="5">
        <v>70.92</v>
      </c>
      <c r="G42" s="5">
        <v>185.2</v>
      </c>
      <c r="H42" s="14">
        <f t="shared" si="7"/>
        <v>1.410039481105471E-2</v>
      </c>
      <c r="I42" s="5">
        <v>5.4000000000000003E-3</v>
      </c>
      <c r="J42" s="9">
        <v>38.293700000000001</v>
      </c>
      <c r="K42" s="15">
        <f t="shared" si="6"/>
        <v>6.2648493200000006</v>
      </c>
    </row>
    <row r="43" spans="1:11">
      <c r="A43" s="4">
        <v>-6872</v>
      </c>
      <c r="B43" s="5">
        <v>16.399999999999999</v>
      </c>
      <c r="C43" s="11"/>
      <c r="D43" s="11"/>
      <c r="E43" s="5">
        <v>-5800</v>
      </c>
      <c r="F43" s="5">
        <v>68.03</v>
      </c>
      <c r="G43" s="5">
        <v>151.5</v>
      </c>
      <c r="H43" s="14">
        <f t="shared" si="7"/>
        <v>1.4699397324709687E-2</v>
      </c>
      <c r="I43" s="5">
        <v>6.6E-3</v>
      </c>
      <c r="J43" s="9">
        <v>44.904299999999999</v>
      </c>
      <c r="K43" s="15">
        <f t="shared" si="6"/>
        <v>7.3463434799999989</v>
      </c>
    </row>
    <row r="44" spans="1:11">
      <c r="A44" s="4">
        <v>-7854</v>
      </c>
      <c r="B44" s="5">
        <v>16.8</v>
      </c>
      <c r="C44" s="11"/>
      <c r="D44" s="11"/>
      <c r="E44" s="5">
        <v>-6800</v>
      </c>
      <c r="F44" s="5">
        <v>69.44</v>
      </c>
      <c r="G44" s="5">
        <v>133.30000000000001</v>
      </c>
      <c r="H44" s="14">
        <f t="shared" si="7"/>
        <v>1.4400921658986175E-2</v>
      </c>
      <c r="I44" s="5">
        <v>7.4999999999999997E-3</v>
      </c>
      <c r="J44" s="9">
        <v>52.093000000000004</v>
      </c>
      <c r="K44" s="15">
        <f t="shared" si="6"/>
        <v>8.5224148</v>
      </c>
    </row>
    <row r="45" spans="1:11">
      <c r="A45" s="4">
        <v>-8874</v>
      </c>
      <c r="B45" s="5">
        <v>16</v>
      </c>
      <c r="C45" s="11"/>
      <c r="D45" s="11"/>
      <c r="E45" s="5">
        <v>-7800</v>
      </c>
      <c r="F45" s="5">
        <v>68.03</v>
      </c>
      <c r="G45" s="5">
        <v>122</v>
      </c>
      <c r="H45" s="14">
        <f t="shared" si="7"/>
        <v>1.4699397324709687E-2</v>
      </c>
      <c r="I45" s="5">
        <v>8.2000000000000007E-3</v>
      </c>
      <c r="J45" s="9">
        <v>55.762300000000003</v>
      </c>
      <c r="K45" s="15">
        <f t="shared" si="6"/>
        <v>9.12271228</v>
      </c>
    </row>
    <row r="46" spans="1:11">
      <c r="A46" s="4">
        <v>-9864</v>
      </c>
      <c r="B46" s="5">
        <v>17.2</v>
      </c>
      <c r="C46" s="11"/>
      <c r="D46" s="11"/>
      <c r="E46" s="5">
        <v>-8800</v>
      </c>
      <c r="F46" s="5">
        <v>68.97</v>
      </c>
      <c r="G46" s="5">
        <v>106.4</v>
      </c>
      <c r="H46" s="14">
        <f t="shared" si="7"/>
        <v>1.4499057561258518E-2</v>
      </c>
      <c r="I46" s="5">
        <v>9.4000000000000004E-3</v>
      </c>
      <c r="J46" s="9">
        <v>64.821399999999997</v>
      </c>
      <c r="K46" s="15">
        <f t="shared" si="6"/>
        <v>10.604781039999999</v>
      </c>
    </row>
    <row r="47" spans="1:11">
      <c r="A47" s="16" t="s">
        <v>8</v>
      </c>
      <c r="B47" s="17">
        <v>16.36</v>
      </c>
      <c r="C47" s="11"/>
      <c r="D47" s="11"/>
      <c r="E47" s="5">
        <v>-9800</v>
      </c>
      <c r="F47" s="5">
        <v>70.92</v>
      </c>
      <c r="G47" s="5">
        <v>109.9</v>
      </c>
      <c r="H47" s="14">
        <f t="shared" si="7"/>
        <v>1.410039481105471E-2</v>
      </c>
      <c r="I47" s="5">
        <v>9.1000000000000004E-3</v>
      </c>
      <c r="J47" s="9">
        <v>64.531400000000005</v>
      </c>
      <c r="K47" s="15">
        <f t="shared" si="6"/>
        <v>10.55733704</v>
      </c>
    </row>
    <row r="48" spans="1:11">
      <c r="B48" s="3">
        <f>17.1-2.9</f>
        <v>14.200000000000001</v>
      </c>
    </row>
  </sheetData>
  <mergeCells count="2">
    <mergeCell ref="A1:A2"/>
    <mergeCell ref="B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67"/>
  <sheetViews>
    <sheetView workbookViewId="0"/>
  </sheetViews>
  <sheetFormatPr defaultColWidth="12.625" defaultRowHeight="15.8" customHeight="1"/>
  <sheetData>
    <row r="1" spans="1:11">
      <c r="A1" s="3" t="s">
        <v>19</v>
      </c>
    </row>
    <row r="2" spans="1:11">
      <c r="A2" s="32" t="s">
        <v>20</v>
      </c>
      <c r="B2" s="31"/>
      <c r="C2" s="31"/>
    </row>
    <row r="4" spans="1:11">
      <c r="A4" s="32" t="s">
        <v>21</v>
      </c>
      <c r="B4" s="31"/>
      <c r="H4" s="3" t="s">
        <v>22</v>
      </c>
    </row>
    <row r="5" spans="1:11">
      <c r="A5" s="3" t="s">
        <v>23</v>
      </c>
      <c r="B5" s="3" t="s">
        <v>24</v>
      </c>
      <c r="C5" s="18"/>
      <c r="D5" s="18"/>
      <c r="E5" s="18"/>
      <c r="F5" s="19"/>
      <c r="G5" s="19"/>
      <c r="H5" s="3" t="s">
        <v>23</v>
      </c>
      <c r="I5" s="3" t="s">
        <v>24</v>
      </c>
      <c r="J5" s="3" t="s">
        <v>25</v>
      </c>
      <c r="K5" s="3" t="s">
        <v>26</v>
      </c>
    </row>
    <row r="6" spans="1:11" ht="15.8" customHeight="1">
      <c r="A6" s="20" t="s">
        <v>27</v>
      </c>
      <c r="B6" s="21">
        <v>8.9185E-2</v>
      </c>
      <c r="H6" s="20" t="s">
        <v>27</v>
      </c>
      <c r="I6" s="21">
        <v>8.9185E-2</v>
      </c>
      <c r="J6" s="21">
        <v>0.51472399999999996</v>
      </c>
      <c r="K6" s="21">
        <v>0.97593799999999997</v>
      </c>
    </row>
    <row r="7" spans="1:11" ht="15.8" customHeight="1">
      <c r="A7" s="20" t="s">
        <v>28</v>
      </c>
      <c r="B7" s="21">
        <v>0.21404400000000001</v>
      </c>
      <c r="C7" s="22"/>
      <c r="D7" s="22"/>
      <c r="E7" s="22"/>
      <c r="H7" s="20" t="s">
        <v>28</v>
      </c>
      <c r="I7" s="21">
        <v>0.21404400000000001</v>
      </c>
      <c r="J7" s="21">
        <v>0.97848599999999997</v>
      </c>
      <c r="K7" s="21">
        <v>1.9620690000000001</v>
      </c>
    </row>
    <row r="8" spans="1:11" ht="15.8" customHeight="1">
      <c r="A8" s="20" t="s">
        <v>29</v>
      </c>
      <c r="B8" s="21">
        <v>0.37712499999999999</v>
      </c>
      <c r="C8" s="22"/>
      <c r="D8" s="22"/>
      <c r="E8" s="22"/>
      <c r="H8" s="20" t="s">
        <v>29</v>
      </c>
      <c r="I8" s="21">
        <v>0.37712499999999999</v>
      </c>
      <c r="J8" s="21">
        <v>1.9671650000000001</v>
      </c>
      <c r="K8" s="21">
        <v>3.9649070000000002</v>
      </c>
    </row>
    <row r="9" spans="1:11" ht="15.8" customHeight="1">
      <c r="A9" s="20" t="s">
        <v>30</v>
      </c>
      <c r="B9" s="21">
        <v>0.77718299999999996</v>
      </c>
      <c r="C9" s="22"/>
      <c r="D9" s="22"/>
      <c r="E9" s="22"/>
      <c r="H9" s="20" t="s">
        <v>30</v>
      </c>
      <c r="I9" s="21">
        <v>0.77718299999999996</v>
      </c>
      <c r="J9" s="21">
        <v>3.9470700000000001</v>
      </c>
      <c r="K9" s="21">
        <v>7.9017850000000003</v>
      </c>
    </row>
    <row r="10" spans="1:11" ht="15.8" customHeight="1">
      <c r="A10" s="20" t="s">
        <v>31</v>
      </c>
      <c r="B10" s="21">
        <v>1.4295070000000001</v>
      </c>
      <c r="C10" s="22"/>
      <c r="D10" s="22"/>
      <c r="E10" s="22"/>
      <c r="H10" s="20" t="s">
        <v>31</v>
      </c>
      <c r="I10" s="21">
        <v>1.4295070000000001</v>
      </c>
      <c r="J10" s="21">
        <v>7.9119780000000004</v>
      </c>
      <c r="K10" s="21">
        <v>15.69145</v>
      </c>
    </row>
    <row r="11" spans="1:11" ht="15.8" customHeight="1">
      <c r="A11" s="20" t="s">
        <v>32</v>
      </c>
      <c r="B11" s="21">
        <v>3.1902720000000002</v>
      </c>
      <c r="C11" s="22"/>
      <c r="D11" s="22"/>
      <c r="E11" s="22"/>
      <c r="H11" s="20" t="s">
        <v>32</v>
      </c>
      <c r="I11" s="21">
        <v>3.1902720000000002</v>
      </c>
      <c r="J11" s="21">
        <v>15.71693</v>
      </c>
      <c r="K11" s="21">
        <v>31.331939999999999</v>
      </c>
    </row>
    <row r="12" spans="1:11" ht="15.8" customHeight="1">
      <c r="C12" s="22"/>
      <c r="D12" s="22"/>
      <c r="E12" s="22"/>
    </row>
    <row r="13" spans="1:11" ht="15.8" customHeight="1">
      <c r="A13" s="32" t="s">
        <v>33</v>
      </c>
      <c r="B13" s="31"/>
      <c r="C13" s="22"/>
      <c r="D13" s="22"/>
      <c r="E13" s="22"/>
    </row>
    <row r="14" spans="1:11" ht="15.8" customHeight="1">
      <c r="A14" s="3" t="s">
        <v>23</v>
      </c>
      <c r="B14" s="3" t="s">
        <v>25</v>
      </c>
      <c r="C14" s="22"/>
      <c r="D14" s="22"/>
      <c r="E14" s="22"/>
    </row>
    <row r="15" spans="1:11" ht="15.8" customHeight="1">
      <c r="A15" s="20" t="s">
        <v>27</v>
      </c>
      <c r="B15" s="22">
        <v>0.51472399999999996</v>
      </c>
      <c r="E15" s="22"/>
    </row>
    <row r="16" spans="1:11" ht="15.8" customHeight="1">
      <c r="A16" s="20" t="s">
        <v>28</v>
      </c>
      <c r="B16" s="22">
        <v>0.97848599999999997</v>
      </c>
      <c r="E16" s="22"/>
    </row>
    <row r="17" spans="1:5" ht="15.8" customHeight="1">
      <c r="A17" s="20" t="s">
        <v>29</v>
      </c>
      <c r="B17" s="22">
        <v>1.9671650000000001</v>
      </c>
      <c r="E17" s="22"/>
    </row>
    <row r="18" spans="1:5" ht="15.8" customHeight="1">
      <c r="A18" s="20" t="s">
        <v>30</v>
      </c>
      <c r="B18" s="22">
        <v>3.9470700000000001</v>
      </c>
      <c r="E18" s="22"/>
    </row>
    <row r="19" spans="1:5" ht="15.8" customHeight="1">
      <c r="A19" s="20" t="s">
        <v>31</v>
      </c>
      <c r="B19" s="22">
        <v>7.9119780000000004</v>
      </c>
      <c r="E19" s="22"/>
    </row>
    <row r="20" spans="1:5" ht="15.8" customHeight="1">
      <c r="A20" s="20" t="s">
        <v>32</v>
      </c>
      <c r="B20" s="22">
        <v>15.71693</v>
      </c>
      <c r="E20" s="22"/>
    </row>
    <row r="21" spans="1:5" ht="15.8" customHeight="1">
      <c r="A21" s="22"/>
      <c r="B21" s="22"/>
      <c r="C21" s="22"/>
      <c r="D21" s="22"/>
      <c r="E21" s="22"/>
    </row>
    <row r="22" spans="1:5" ht="15.8" customHeight="1">
      <c r="A22" s="32" t="s">
        <v>34</v>
      </c>
      <c r="B22" s="31"/>
      <c r="C22" s="22"/>
      <c r="D22" s="22"/>
      <c r="E22" s="22"/>
    </row>
    <row r="23" spans="1:5" ht="15.8" customHeight="1">
      <c r="A23" s="3" t="s">
        <v>23</v>
      </c>
      <c r="B23" s="3" t="s">
        <v>26</v>
      </c>
      <c r="E23" s="22"/>
    </row>
    <row r="24" spans="1:5" ht="15.8" customHeight="1">
      <c r="A24" s="20" t="s">
        <v>27</v>
      </c>
      <c r="B24" s="22">
        <v>0.97593799999999997</v>
      </c>
      <c r="E24" s="22"/>
    </row>
    <row r="25" spans="1:5" ht="15.8" customHeight="1">
      <c r="A25" s="20" t="s">
        <v>28</v>
      </c>
      <c r="B25" s="22">
        <v>1.9620690000000001</v>
      </c>
      <c r="E25" s="22"/>
    </row>
    <row r="26" spans="1:5" ht="15.8" customHeight="1">
      <c r="A26" s="20" t="s">
        <v>29</v>
      </c>
      <c r="B26" s="22">
        <v>3.9649070000000002</v>
      </c>
      <c r="E26" s="22"/>
    </row>
    <row r="27" spans="1:5" ht="15.8" customHeight="1">
      <c r="A27" s="20" t="s">
        <v>30</v>
      </c>
      <c r="B27" s="22">
        <v>7.9017850000000003</v>
      </c>
      <c r="E27" s="22"/>
    </row>
    <row r="28" spans="1:5" ht="15.8" customHeight="1">
      <c r="A28" s="20" t="s">
        <v>31</v>
      </c>
      <c r="B28" s="22">
        <v>15.69145</v>
      </c>
      <c r="E28" s="22"/>
    </row>
    <row r="29" spans="1:5" ht="15.8" customHeight="1">
      <c r="A29" s="20" t="s">
        <v>32</v>
      </c>
      <c r="B29" s="22">
        <v>31.331939999999999</v>
      </c>
      <c r="C29" s="22"/>
      <c r="D29" s="22"/>
      <c r="E29" s="22"/>
    </row>
    <row r="30" spans="1:5" ht="15.8" customHeight="1">
      <c r="A30" s="22"/>
      <c r="B30" s="22"/>
      <c r="C30" s="22"/>
      <c r="D30" s="22"/>
      <c r="E30" s="22"/>
    </row>
    <row r="31" spans="1:5" ht="14.3">
      <c r="A31" s="22"/>
      <c r="B31" s="22"/>
      <c r="C31" s="22"/>
      <c r="D31" s="22"/>
      <c r="E31" s="22"/>
    </row>
    <row r="32" spans="1:5" ht="14.3">
      <c r="A32" s="22"/>
      <c r="B32" s="22"/>
      <c r="C32" s="22"/>
      <c r="D32" s="22"/>
      <c r="E32" s="22"/>
    </row>
    <row r="33" spans="1:5" ht="14.3">
      <c r="A33" s="22"/>
      <c r="B33" s="22"/>
      <c r="C33" s="22"/>
      <c r="D33" s="22"/>
      <c r="E33" s="22"/>
    </row>
    <row r="34" spans="1:5" ht="14.3">
      <c r="A34" s="22"/>
      <c r="B34" s="22"/>
      <c r="C34" s="22"/>
      <c r="D34" s="22"/>
      <c r="E34" s="22"/>
    </row>
    <row r="35" spans="1:5" ht="14.3">
      <c r="A35" s="22"/>
      <c r="B35" s="22"/>
      <c r="C35" s="22"/>
      <c r="D35" s="22"/>
      <c r="E35" s="22"/>
    </row>
    <row r="36" spans="1:5" ht="14.3">
      <c r="A36" s="22"/>
      <c r="B36" s="22"/>
      <c r="C36" s="22"/>
      <c r="D36" s="22"/>
      <c r="E36" s="22"/>
    </row>
    <row r="37" spans="1:5" ht="14.3">
      <c r="A37" s="22"/>
    </row>
    <row r="39" spans="1:5" ht="14.3">
      <c r="A39" s="22"/>
    </row>
    <row r="40" spans="1:5" ht="14.3">
      <c r="A40" s="22"/>
    </row>
    <row r="41" spans="1:5" ht="14.3">
      <c r="A41" s="22"/>
    </row>
    <row r="42" spans="1:5" ht="14.3">
      <c r="A42" s="22"/>
    </row>
    <row r="44" spans="1:5" ht="14.3">
      <c r="A44" s="22"/>
      <c r="B44" s="22"/>
      <c r="C44" s="22"/>
      <c r="D44" s="22"/>
      <c r="E44" s="22"/>
    </row>
    <row r="45" spans="1:5" ht="14.3">
      <c r="D45" s="22"/>
      <c r="E45" s="22"/>
    </row>
    <row r="46" spans="1:5" ht="14.3">
      <c r="A46" s="22"/>
      <c r="B46" s="20"/>
      <c r="D46" s="22"/>
      <c r="E46" s="22"/>
    </row>
    <row r="47" spans="1:5" ht="14.3">
      <c r="A47" s="22"/>
      <c r="B47" s="20"/>
      <c r="D47" s="22"/>
      <c r="E47" s="22"/>
    </row>
    <row r="48" spans="1:5" ht="14.3">
      <c r="B48" s="20"/>
      <c r="D48" s="22"/>
      <c r="E48" s="22"/>
    </row>
    <row r="49" spans="1:5" ht="14.3">
      <c r="A49" s="22"/>
      <c r="B49" s="20"/>
      <c r="D49" s="22"/>
      <c r="E49" s="22"/>
    </row>
    <row r="50" spans="1:5" ht="14.3">
      <c r="A50" s="22"/>
      <c r="B50" s="20"/>
      <c r="D50" s="22"/>
      <c r="E50" s="22"/>
    </row>
    <row r="51" spans="1:5" ht="14.3">
      <c r="A51" s="22"/>
      <c r="B51" s="20"/>
      <c r="D51" s="22"/>
      <c r="E51" s="22"/>
    </row>
    <row r="52" spans="1:5" ht="14.3">
      <c r="A52" s="22"/>
      <c r="B52" s="22"/>
      <c r="C52" s="22"/>
      <c r="D52" s="22"/>
      <c r="E52" s="22"/>
    </row>
    <row r="53" spans="1:5" ht="14.3">
      <c r="D53" s="22"/>
      <c r="E53" s="22"/>
    </row>
    <row r="54" spans="1:5" ht="14.3">
      <c r="A54" s="22"/>
      <c r="B54" s="20"/>
      <c r="D54" s="22"/>
      <c r="E54" s="22"/>
    </row>
    <row r="55" spans="1:5" ht="14.3">
      <c r="A55" s="22"/>
      <c r="B55" s="20"/>
      <c r="D55" s="22"/>
      <c r="E55" s="22"/>
    </row>
    <row r="56" spans="1:5" ht="14.3">
      <c r="A56" s="22"/>
      <c r="B56" s="20"/>
      <c r="D56" s="22"/>
      <c r="E56" s="22"/>
    </row>
    <row r="57" spans="1:5" ht="14.3">
      <c r="A57" s="22"/>
      <c r="B57" s="20"/>
      <c r="D57" s="22"/>
      <c r="E57" s="22"/>
    </row>
    <row r="58" spans="1:5" ht="14.3">
      <c r="A58" s="22"/>
      <c r="B58" s="20"/>
      <c r="D58" s="22"/>
      <c r="E58" s="22"/>
    </row>
    <row r="59" spans="1:5" ht="14.3">
      <c r="A59" s="22"/>
      <c r="B59" s="20"/>
      <c r="D59" s="22"/>
      <c r="E59" s="22"/>
    </row>
    <row r="60" spans="1:5" ht="14.3">
      <c r="A60" s="22"/>
      <c r="B60" s="22"/>
      <c r="C60" s="22"/>
      <c r="D60" s="22"/>
      <c r="E60" s="22"/>
    </row>
    <row r="61" spans="1:5" ht="14.3">
      <c r="A61" s="22"/>
      <c r="B61" s="22"/>
      <c r="C61" s="22"/>
      <c r="D61" s="22"/>
      <c r="E61" s="22"/>
    </row>
    <row r="62" spans="1:5" ht="14.3">
      <c r="A62" s="22"/>
      <c r="B62" s="22"/>
      <c r="C62" s="22"/>
      <c r="D62" s="22"/>
      <c r="E62" s="22"/>
    </row>
    <row r="63" spans="1:5" ht="14.3">
      <c r="A63" s="22"/>
      <c r="B63" s="22"/>
      <c r="C63" s="22"/>
      <c r="D63" s="22"/>
      <c r="E63" s="22"/>
    </row>
    <row r="64" spans="1:5" ht="14.3">
      <c r="A64" s="22"/>
      <c r="B64" s="22"/>
      <c r="C64" s="22"/>
      <c r="D64" s="22"/>
      <c r="E64" s="22"/>
    </row>
    <row r="65" spans="1:5" ht="14.3">
      <c r="A65" s="22"/>
      <c r="B65" s="22"/>
      <c r="C65" s="22"/>
      <c r="D65" s="22"/>
      <c r="E65" s="22"/>
    </row>
    <row r="66" spans="1:5" ht="14.3">
      <c r="A66" s="22"/>
      <c r="B66" s="22"/>
      <c r="C66" s="22"/>
      <c r="D66" s="22"/>
      <c r="E66" s="22"/>
    </row>
    <row r="67" spans="1:5" ht="14.3">
      <c r="A67" s="22"/>
      <c r="B67" s="22"/>
      <c r="C67" s="22"/>
      <c r="D67" s="22"/>
      <c r="E67" s="22"/>
    </row>
  </sheetData>
  <mergeCells count="4">
    <mergeCell ref="A2:C2"/>
    <mergeCell ref="A4:B4"/>
    <mergeCell ref="A13:B13"/>
    <mergeCell ref="A22:B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D9"/>
  <sheetViews>
    <sheetView workbookViewId="0"/>
  </sheetViews>
  <sheetFormatPr defaultColWidth="12.625" defaultRowHeight="15.8" customHeight="1"/>
  <sheetData>
    <row r="3" spans="1:4">
      <c r="A3" s="3" t="s">
        <v>35</v>
      </c>
      <c r="B3" s="3" t="s">
        <v>36</v>
      </c>
      <c r="C3" s="3" t="s">
        <v>37</v>
      </c>
      <c r="D3" s="3" t="s">
        <v>38</v>
      </c>
    </row>
    <row r="4" spans="1:4" ht="15.8" customHeight="1">
      <c r="A4" s="23" t="s">
        <v>27</v>
      </c>
      <c r="B4" s="22">
        <f>832.4*100</f>
        <v>83240</v>
      </c>
      <c r="C4" s="22">
        <f>128.5*1000</f>
        <v>128500</v>
      </c>
      <c r="D4" s="3">
        <f>63.5
*2000</f>
        <v>127000</v>
      </c>
    </row>
    <row r="5" spans="1:4" ht="15.8" customHeight="1">
      <c r="A5" s="23" t="s">
        <v>28</v>
      </c>
      <c r="B5" s="22">
        <f>781
*100</f>
        <v>78100</v>
      </c>
      <c r="C5" s="3">
        <f>62.4
*1000</f>
        <v>62400</v>
      </c>
      <c r="D5" s="3">
        <f>39.6
*2000</f>
        <v>79200</v>
      </c>
    </row>
    <row r="6" spans="1:4" ht="15.8" customHeight="1">
      <c r="A6" s="23" t="s">
        <v>29</v>
      </c>
      <c r="B6" s="3">
        <f>177.3
*100</f>
        <v>17730</v>
      </c>
      <c r="C6" s="22">
        <v>18000</v>
      </c>
      <c r="D6" s="3">
        <f>15.3
*2000</f>
        <v>30600</v>
      </c>
    </row>
    <row r="7" spans="1:4" ht="15.8" customHeight="1">
      <c r="A7" s="23" t="s">
        <v>30</v>
      </c>
      <c r="B7" s="22">
        <f>170.6*100</f>
        <v>17060</v>
      </c>
      <c r="C7" s="22">
        <f>18*1000</f>
        <v>18000</v>
      </c>
      <c r="D7" s="3">
        <f>5.7
*2000</f>
        <v>11400</v>
      </c>
    </row>
    <row r="8" spans="1:4">
      <c r="A8" s="23" t="s">
        <v>31</v>
      </c>
      <c r="B8" s="3">
        <f>90.6*100</f>
        <v>9060</v>
      </c>
      <c r="C8" s="3">
        <f>6.6
*1000</f>
        <v>6600</v>
      </c>
      <c r="D8" s="3">
        <f>3.3
*2000</f>
        <v>6600</v>
      </c>
    </row>
    <row r="9" spans="1:4">
      <c r="A9" s="23" t="s">
        <v>32</v>
      </c>
      <c r="B9" s="3">
        <v>5970</v>
      </c>
      <c r="C9" s="3">
        <f>3.3
*1000</f>
        <v>3300</v>
      </c>
      <c r="D9" s="3">
        <f>2.5*2000</f>
        <v>5000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U45"/>
  <sheetViews>
    <sheetView tabSelected="1" zoomScaleNormal="100" workbookViewId="0">
      <selection activeCell="J7" sqref="J7"/>
    </sheetView>
  </sheetViews>
  <sheetFormatPr defaultColWidth="12.625" defaultRowHeight="15.8" customHeight="1"/>
  <sheetData>
    <row r="1" spans="1:21">
      <c r="A1" s="24" t="s">
        <v>39</v>
      </c>
      <c r="G1" s="25" t="s">
        <v>40</v>
      </c>
      <c r="J1" s="3" t="s">
        <v>41</v>
      </c>
      <c r="Q1" s="3" t="s">
        <v>41</v>
      </c>
    </row>
    <row r="2" spans="1:21">
      <c r="A2" s="32" t="s">
        <v>42</v>
      </c>
      <c r="B2" s="31"/>
      <c r="G2" s="3" t="s">
        <v>43</v>
      </c>
      <c r="J2" s="3">
        <f>2*3.14*70/60</f>
        <v>7.3266666666666671</v>
      </c>
      <c r="Q2" s="3">
        <f>2*3.14*70/60</f>
        <v>7.3266666666666671</v>
      </c>
    </row>
    <row r="3" spans="1:21">
      <c r="A3" s="3" t="s">
        <v>44</v>
      </c>
      <c r="B3" s="3">
        <v>393.5</v>
      </c>
      <c r="G3" s="3" t="s">
        <v>45</v>
      </c>
      <c r="L3" s="3" t="s">
        <v>46</v>
      </c>
      <c r="M3" s="3" t="s">
        <v>47</v>
      </c>
      <c r="N3" s="3" t="s">
        <v>48</v>
      </c>
    </row>
    <row r="4" spans="1:21">
      <c r="A4" s="33" t="s">
        <v>49</v>
      </c>
      <c r="B4" s="31"/>
      <c r="C4" s="3"/>
      <c r="D4" s="27" t="s">
        <v>50</v>
      </c>
      <c r="L4" s="32" t="s">
        <v>51</v>
      </c>
      <c r="M4" s="31"/>
      <c r="N4" s="31"/>
      <c r="O4" s="31"/>
      <c r="P4" s="31"/>
    </row>
    <row r="5" spans="1:21">
      <c r="A5" s="26" t="s">
        <v>52</v>
      </c>
      <c r="B5" s="26" t="s">
        <v>53</v>
      </c>
      <c r="C5" s="26" t="s">
        <v>54</v>
      </c>
      <c r="D5" s="26" t="s">
        <v>55</v>
      </c>
      <c r="E5" s="3" t="s">
        <v>56</v>
      </c>
      <c r="F5" s="3" t="s">
        <v>57</v>
      </c>
      <c r="G5" s="3" t="s">
        <v>58</v>
      </c>
      <c r="H5" s="3" t="s">
        <v>59</v>
      </c>
      <c r="I5" s="3" t="s">
        <v>60</v>
      </c>
      <c r="J5" s="3" t="s">
        <v>61</v>
      </c>
      <c r="L5" s="26" t="s">
        <v>62</v>
      </c>
      <c r="M5" s="26" t="s">
        <v>52</v>
      </c>
      <c r="N5" s="26" t="s">
        <v>63</v>
      </c>
      <c r="O5" s="26" t="s">
        <v>64</v>
      </c>
      <c r="P5" s="26" t="s">
        <v>65</v>
      </c>
      <c r="Q5" s="26" t="s">
        <v>66</v>
      </c>
      <c r="R5" s="3" t="s">
        <v>67</v>
      </c>
      <c r="S5" s="3" t="s">
        <v>68</v>
      </c>
      <c r="T5" s="3" t="s">
        <v>60</v>
      </c>
      <c r="U5" s="3" t="s">
        <v>69</v>
      </c>
    </row>
    <row r="6" spans="1:21" ht="15.8" customHeight="1">
      <c r="A6" s="3">
        <v>65535</v>
      </c>
      <c r="B6" s="3">
        <v>1000</v>
      </c>
      <c r="C6" s="3">
        <v>551</v>
      </c>
      <c r="D6" s="3">
        <f t="shared" ref="D6:D9" si="0">C6-393.5</f>
        <v>157.5</v>
      </c>
      <c r="E6" s="3">
        <f t="shared" ref="E6:E9" si="1">D6/0.993048</f>
        <v>158.60260531212992</v>
      </c>
      <c r="F6" s="3">
        <f t="shared" ref="F6:F9" si="2">E6*111.27/10</f>
        <v>1764.7711893080698</v>
      </c>
      <c r="G6" s="3">
        <f t="shared" ref="G6:G9" si="3">F6/0.7</f>
        <v>2521.1016990115286</v>
      </c>
      <c r="H6" s="3">
        <f t="shared" ref="H6:H9" si="4">12*G6</f>
        <v>30253.220388138343</v>
      </c>
      <c r="I6" s="3">
        <f t="shared" ref="I6:I9" si="5">F6*$J$2</f>
        <v>12929.890246997125</v>
      </c>
      <c r="J6" s="3">
        <f>I6/H6*100</f>
        <v>42.738888888888887</v>
      </c>
      <c r="L6" s="3">
        <v>10</v>
      </c>
      <c r="M6" s="3">
        <f t="shared" ref="M6:M15" si="6">65535*L6%</f>
        <v>6553.5</v>
      </c>
      <c r="N6" s="22">
        <v>0</v>
      </c>
      <c r="O6" s="3">
        <f t="shared" ref="O6:O15" si="7">ABS(N6)</f>
        <v>0</v>
      </c>
      <c r="P6" s="22">
        <v>5.414828</v>
      </c>
      <c r="Q6" s="3" t="s">
        <v>70</v>
      </c>
      <c r="R6" s="3">
        <f t="shared" ref="R6:R15" si="8">0.7*P6</f>
        <v>3.7903795999999996</v>
      </c>
      <c r="S6" s="3">
        <f t="shared" ref="S6:S15" si="9">12*P6</f>
        <v>64.977936</v>
      </c>
      <c r="T6" s="3">
        <f>Q2*R6</f>
        <v>27.77084786933333</v>
      </c>
      <c r="U6" s="3">
        <f t="shared" ref="U6:U15" si="10">T6/S6*100</f>
        <v>42.738888888888887</v>
      </c>
    </row>
    <row r="7" spans="1:21" ht="15.8" customHeight="1">
      <c r="A7" s="3">
        <v>49151</v>
      </c>
      <c r="B7" s="3">
        <v>1000</v>
      </c>
      <c r="C7" s="3">
        <v>521</v>
      </c>
      <c r="D7" s="3">
        <f t="shared" si="0"/>
        <v>127.5</v>
      </c>
      <c r="E7" s="3">
        <f t="shared" si="1"/>
        <v>128.39258525267661</v>
      </c>
      <c r="F7" s="3">
        <f t="shared" si="2"/>
        <v>1428.6242961065325</v>
      </c>
      <c r="G7" s="3">
        <f t="shared" si="3"/>
        <v>2040.8918515807609</v>
      </c>
      <c r="H7" s="3">
        <f t="shared" si="4"/>
        <v>24490.702218969131</v>
      </c>
      <c r="I7" s="3">
        <f t="shared" si="5"/>
        <v>10467.054009473863</v>
      </c>
      <c r="J7" s="3">
        <f t="shared" ref="J6:J9" si="11">I7/H7*100</f>
        <v>42.738888888888887</v>
      </c>
      <c r="L7" s="3">
        <v>20</v>
      </c>
      <c r="M7" s="3">
        <f t="shared" si="6"/>
        <v>13107</v>
      </c>
      <c r="N7" s="22">
        <v>0</v>
      </c>
      <c r="O7" s="3">
        <f t="shared" si="7"/>
        <v>0</v>
      </c>
      <c r="P7" s="22">
        <v>5.2233700000000001</v>
      </c>
      <c r="Q7" s="3" t="s">
        <v>70</v>
      </c>
      <c r="R7" s="3">
        <f t="shared" si="8"/>
        <v>3.6563589999999997</v>
      </c>
      <c r="S7" s="3">
        <f t="shared" si="9"/>
        <v>62.680440000000004</v>
      </c>
      <c r="T7" s="3">
        <f>Q2*R7</f>
        <v>26.788923606666668</v>
      </c>
      <c r="U7" s="3">
        <f t="shared" si="10"/>
        <v>42.738888888888887</v>
      </c>
    </row>
    <row r="8" spans="1:21" ht="15.8" customHeight="1">
      <c r="A8" s="3">
        <v>32768</v>
      </c>
      <c r="B8" s="3">
        <v>1000</v>
      </c>
      <c r="C8" s="3">
        <v>442.5</v>
      </c>
      <c r="D8" s="3">
        <f t="shared" si="0"/>
        <v>49</v>
      </c>
      <c r="E8" s="3">
        <f t="shared" si="1"/>
        <v>49.343032763773756</v>
      </c>
      <c r="F8" s="3">
        <f t="shared" si="2"/>
        <v>549.03992556251058</v>
      </c>
      <c r="G8" s="3">
        <f t="shared" si="3"/>
        <v>784.34275080358657</v>
      </c>
      <c r="H8" s="3">
        <f t="shared" si="4"/>
        <v>9412.1130096430388</v>
      </c>
      <c r="I8" s="3">
        <f t="shared" si="5"/>
        <v>4022.6325212879942</v>
      </c>
      <c r="J8" s="3">
        <f t="shared" si="11"/>
        <v>42.738888888888887</v>
      </c>
      <c r="L8" s="3">
        <v>30</v>
      </c>
      <c r="M8" s="3">
        <f t="shared" si="6"/>
        <v>19660.5</v>
      </c>
      <c r="N8" s="22">
        <v>0</v>
      </c>
      <c r="O8" s="3">
        <f t="shared" si="7"/>
        <v>0</v>
      </c>
      <c r="P8" s="22">
        <v>5.0225939999999998</v>
      </c>
      <c r="Q8" s="3" t="s">
        <v>70</v>
      </c>
      <c r="R8" s="3">
        <f t="shared" si="8"/>
        <v>3.5158157999999995</v>
      </c>
      <c r="S8" s="3">
        <f t="shared" si="9"/>
        <v>60.271127999999997</v>
      </c>
      <c r="T8" s="3">
        <f>Q2*R8</f>
        <v>25.759210427999999</v>
      </c>
      <c r="U8" s="3">
        <f t="shared" si="10"/>
        <v>42.738888888888887</v>
      </c>
    </row>
    <row r="9" spans="1:21" ht="15.8" customHeight="1">
      <c r="A9" s="3">
        <v>16384</v>
      </c>
      <c r="B9" s="3">
        <v>1000</v>
      </c>
      <c r="C9" s="3">
        <v>403.5</v>
      </c>
      <c r="D9" s="3">
        <f t="shared" si="0"/>
        <v>10</v>
      </c>
      <c r="E9" s="3">
        <f t="shared" si="1"/>
        <v>10.07000668648444</v>
      </c>
      <c r="F9" s="3">
        <f t="shared" si="2"/>
        <v>112.04896440051236</v>
      </c>
      <c r="G9" s="3">
        <f t="shared" si="3"/>
        <v>160.0699491435891</v>
      </c>
      <c r="H9" s="3">
        <f t="shared" si="4"/>
        <v>1920.8393897230692</v>
      </c>
      <c r="I9" s="3">
        <f t="shared" si="5"/>
        <v>820.94541250775399</v>
      </c>
      <c r="J9" s="3">
        <f t="shared" si="11"/>
        <v>42.738888888888894</v>
      </c>
      <c r="L9" s="3">
        <v>40</v>
      </c>
      <c r="M9" s="3">
        <f t="shared" si="6"/>
        <v>26214</v>
      </c>
      <c r="N9" s="22">
        <v>-57.978999999999999</v>
      </c>
      <c r="O9" s="3">
        <f t="shared" si="7"/>
        <v>57.978999999999999</v>
      </c>
      <c r="P9" s="22">
        <v>5.3168499999999996</v>
      </c>
      <c r="Q9" s="3" t="s">
        <v>71</v>
      </c>
      <c r="R9" s="3">
        <f t="shared" si="8"/>
        <v>3.7217949999999993</v>
      </c>
      <c r="S9" s="3">
        <f t="shared" si="9"/>
        <v>63.802199999999999</v>
      </c>
      <c r="T9" s="3">
        <f>Q2*R9</f>
        <v>27.268351366666664</v>
      </c>
      <c r="U9" s="3">
        <f t="shared" si="10"/>
        <v>42.738888888888887</v>
      </c>
    </row>
    <row r="10" spans="1:21" ht="15.8" customHeight="1">
      <c r="A10" s="3"/>
      <c r="B10" s="3"/>
      <c r="C10" s="3"/>
      <c r="D10" s="27" t="s">
        <v>50</v>
      </c>
      <c r="L10" s="3">
        <v>50</v>
      </c>
      <c r="M10" s="3">
        <f t="shared" si="6"/>
        <v>32767.5</v>
      </c>
      <c r="N10" s="22">
        <v>-85.442099999999996</v>
      </c>
      <c r="O10" s="3">
        <f t="shared" si="7"/>
        <v>85.442099999999996</v>
      </c>
      <c r="P10" s="22">
        <v>5.3130110000000004</v>
      </c>
      <c r="Q10" s="3" t="s">
        <v>71</v>
      </c>
      <c r="R10" s="3">
        <f t="shared" si="8"/>
        <v>3.7191076999999999</v>
      </c>
      <c r="S10" s="3">
        <f t="shared" si="9"/>
        <v>63.756132000000008</v>
      </c>
      <c r="T10" s="3">
        <f>Q2*R10</f>
        <v>27.248662415333335</v>
      </c>
      <c r="U10" s="3">
        <f t="shared" si="10"/>
        <v>42.738888888888887</v>
      </c>
    </row>
    <row r="11" spans="1:21" ht="15.8" customHeight="1">
      <c r="A11" s="33" t="s">
        <v>72</v>
      </c>
      <c r="B11" s="31"/>
      <c r="C11" s="31"/>
      <c r="D11" s="31"/>
      <c r="L11" s="3">
        <v>60</v>
      </c>
      <c r="M11" s="3">
        <f t="shared" si="6"/>
        <v>39321</v>
      </c>
      <c r="N11" s="22">
        <v>-111.652</v>
      </c>
      <c r="O11" s="3">
        <f t="shared" si="7"/>
        <v>111.652</v>
      </c>
      <c r="P11" s="22">
        <v>5.2949320000000002</v>
      </c>
      <c r="Q11" s="3" t="s">
        <v>71</v>
      </c>
      <c r="R11" s="3">
        <f t="shared" si="8"/>
        <v>3.7064523999999999</v>
      </c>
      <c r="S11" s="3">
        <f t="shared" si="9"/>
        <v>63.539184000000006</v>
      </c>
      <c r="T11" s="3">
        <f>Q2*R11</f>
        <v>27.155941250666668</v>
      </c>
      <c r="U11" s="3">
        <f t="shared" si="10"/>
        <v>42.738888888888887</v>
      </c>
    </row>
    <row r="12" spans="1:21" ht="15.8" customHeight="1">
      <c r="A12" s="26" t="s">
        <v>52</v>
      </c>
      <c r="B12" s="26" t="s">
        <v>53</v>
      </c>
      <c r="C12" s="26" t="s">
        <v>54</v>
      </c>
      <c r="D12" s="26" t="s">
        <v>55</v>
      </c>
      <c r="E12" s="3" t="s">
        <v>56</v>
      </c>
      <c r="F12" s="3" t="s">
        <v>67</v>
      </c>
      <c r="G12" s="3" t="s">
        <v>73</v>
      </c>
      <c r="H12" s="3" t="s">
        <v>59</v>
      </c>
      <c r="I12" s="3" t="s">
        <v>60</v>
      </c>
      <c r="J12" s="3" t="s">
        <v>61</v>
      </c>
      <c r="L12" s="3">
        <v>70</v>
      </c>
      <c r="M12" s="3">
        <f t="shared" si="6"/>
        <v>45874.5</v>
      </c>
      <c r="N12" s="22">
        <v>-136.947</v>
      </c>
      <c r="O12" s="3">
        <f t="shared" si="7"/>
        <v>136.947</v>
      </c>
      <c r="P12" s="22">
        <v>5.2732229999999998</v>
      </c>
      <c r="Q12" s="3" t="s">
        <v>71</v>
      </c>
      <c r="R12" s="3">
        <f t="shared" si="8"/>
        <v>3.6912560999999995</v>
      </c>
      <c r="S12" s="3">
        <f t="shared" si="9"/>
        <v>63.278675999999997</v>
      </c>
      <c r="T12" s="3">
        <f>Q2*R12</f>
        <v>27.044603025999997</v>
      </c>
      <c r="U12" s="3">
        <f t="shared" si="10"/>
        <v>42.738888888888887</v>
      </c>
    </row>
    <row r="13" spans="1:21" ht="15.8" customHeight="1">
      <c r="A13" s="3">
        <v>65535</v>
      </c>
      <c r="B13" s="3">
        <v>0</v>
      </c>
      <c r="C13" s="28" t="s">
        <v>70</v>
      </c>
      <c r="D13" s="3">
        <v>0</v>
      </c>
      <c r="E13" s="3">
        <f t="shared" ref="E13:E19" si="12">D13/0.993048</f>
        <v>0</v>
      </c>
      <c r="F13" s="3">
        <f t="shared" ref="F13:F19" si="13">E13*111.27/10</f>
        <v>0</v>
      </c>
      <c r="G13" s="3">
        <f t="shared" ref="G13:G19" si="14">F13/0.7</f>
        <v>0</v>
      </c>
      <c r="H13" s="3">
        <f t="shared" ref="H13:H19" si="15">12*G13</f>
        <v>0</v>
      </c>
      <c r="I13" s="3">
        <f t="shared" ref="I13:I19" si="16">F13*$J$2</f>
        <v>0</v>
      </c>
      <c r="J13" s="3" t="s">
        <v>74</v>
      </c>
      <c r="L13" s="3">
        <v>80</v>
      </c>
      <c r="M13" s="3">
        <f t="shared" si="6"/>
        <v>52428</v>
      </c>
      <c r="N13" s="22">
        <v>-161.774</v>
      </c>
      <c r="O13" s="3">
        <f t="shared" si="7"/>
        <v>161.774</v>
      </c>
      <c r="P13" s="22">
        <v>5.2493150000000002</v>
      </c>
      <c r="Q13" s="3" t="s">
        <v>71</v>
      </c>
      <c r="R13" s="3">
        <f t="shared" si="8"/>
        <v>3.6745204999999999</v>
      </c>
      <c r="S13" s="3">
        <f t="shared" si="9"/>
        <v>62.991780000000006</v>
      </c>
      <c r="T13" s="3">
        <f>Q2*R13</f>
        <v>26.921986863333334</v>
      </c>
      <c r="U13" s="3">
        <f t="shared" si="10"/>
        <v>42.738888888888887</v>
      </c>
    </row>
    <row r="14" spans="1:21" ht="15.8" customHeight="1">
      <c r="A14" s="3">
        <v>65535</v>
      </c>
      <c r="B14" s="3">
        <v>1</v>
      </c>
      <c r="C14" s="28">
        <v>578.79999999999995</v>
      </c>
      <c r="D14" s="3">
        <f t="shared" ref="D14:D19" si="17">C14-$B$3</f>
        <v>185.29999999999995</v>
      </c>
      <c r="E14" s="3">
        <f t="shared" si="12"/>
        <v>186.59722390055663</v>
      </c>
      <c r="F14" s="3">
        <f t="shared" si="13"/>
        <v>2076.2673103414936</v>
      </c>
      <c r="G14" s="3">
        <f t="shared" si="14"/>
        <v>2966.0961576307054</v>
      </c>
      <c r="H14" s="3">
        <f t="shared" si="15"/>
        <v>35593.153891568465</v>
      </c>
      <c r="I14" s="3">
        <f t="shared" si="16"/>
        <v>15212.118493768678</v>
      </c>
      <c r="J14" s="3">
        <f t="shared" ref="J14:J19" si="18">I14/H14*100</f>
        <v>42.738888888888887</v>
      </c>
      <c r="L14" s="3">
        <v>90</v>
      </c>
      <c r="M14" s="3">
        <f t="shared" si="6"/>
        <v>58981.5</v>
      </c>
      <c r="N14" s="22">
        <v>-188.23500000000001</v>
      </c>
      <c r="O14" s="3">
        <f t="shared" si="7"/>
        <v>188.23500000000001</v>
      </c>
      <c r="P14" s="22">
        <v>5.2383899999999999</v>
      </c>
      <c r="Q14" s="3" t="s">
        <v>71</v>
      </c>
      <c r="R14" s="3">
        <f t="shared" si="8"/>
        <v>3.6668729999999998</v>
      </c>
      <c r="S14" s="3">
        <f t="shared" si="9"/>
        <v>62.860680000000002</v>
      </c>
      <c r="T14" s="3">
        <f>Q2*R14</f>
        <v>26.865956180000001</v>
      </c>
      <c r="U14" s="3">
        <f t="shared" si="10"/>
        <v>42.738888888888887</v>
      </c>
    </row>
    <row r="15" spans="1:21" ht="15.8" customHeight="1">
      <c r="A15" s="3">
        <v>65535</v>
      </c>
      <c r="B15" s="3">
        <v>10</v>
      </c>
      <c r="C15" s="28">
        <v>546.6</v>
      </c>
      <c r="D15" s="3">
        <f t="shared" si="17"/>
        <v>153.10000000000002</v>
      </c>
      <c r="E15" s="3">
        <f t="shared" si="12"/>
        <v>154.17180237007679</v>
      </c>
      <c r="F15" s="3">
        <f t="shared" si="13"/>
        <v>1715.4696449718444</v>
      </c>
      <c r="G15" s="3">
        <f t="shared" si="14"/>
        <v>2450.6709213883491</v>
      </c>
      <c r="H15" s="3">
        <f t="shared" si="15"/>
        <v>29408.051056660188</v>
      </c>
      <c r="I15" s="3">
        <f t="shared" si="16"/>
        <v>12568.674265493715</v>
      </c>
      <c r="J15" s="3">
        <f t="shared" si="18"/>
        <v>42.738888888888901</v>
      </c>
      <c r="L15" s="3">
        <v>100</v>
      </c>
      <c r="M15" s="3">
        <f t="shared" si="6"/>
        <v>65535</v>
      </c>
      <c r="N15" s="22">
        <v>-213.715</v>
      </c>
      <c r="O15" s="3">
        <f t="shared" si="7"/>
        <v>213.715</v>
      </c>
      <c r="P15" s="22">
        <v>5.21915</v>
      </c>
      <c r="Q15" s="3" t="s">
        <v>71</v>
      </c>
      <c r="R15" s="3">
        <f t="shared" si="8"/>
        <v>3.6534049999999998</v>
      </c>
      <c r="S15" s="3">
        <f t="shared" si="9"/>
        <v>62.629800000000003</v>
      </c>
      <c r="T15" s="3">
        <f>Q2*R15</f>
        <v>26.767280633333332</v>
      </c>
      <c r="U15" s="3">
        <f t="shared" si="10"/>
        <v>42.738888888888887</v>
      </c>
    </row>
    <row r="16" spans="1:21">
      <c r="A16" s="3">
        <v>65535</v>
      </c>
      <c r="B16" s="3">
        <v>100</v>
      </c>
      <c r="C16" s="28">
        <v>550.29999999999995</v>
      </c>
      <c r="D16" s="3">
        <f t="shared" si="17"/>
        <v>156.79999999999995</v>
      </c>
      <c r="E16" s="3">
        <f t="shared" si="12"/>
        <v>157.89770484407597</v>
      </c>
      <c r="F16" s="3">
        <f t="shared" si="13"/>
        <v>1756.9277618000335</v>
      </c>
      <c r="G16" s="3">
        <f t="shared" si="14"/>
        <v>2509.8968025714767</v>
      </c>
      <c r="H16" s="3">
        <f t="shared" si="15"/>
        <v>30118.76163085772</v>
      </c>
      <c r="I16" s="3">
        <f t="shared" si="16"/>
        <v>12872.42406812158</v>
      </c>
      <c r="J16" s="3">
        <f t="shared" si="18"/>
        <v>42.738888888888887</v>
      </c>
    </row>
    <row r="17" spans="1:12">
      <c r="A17" s="3">
        <v>65535</v>
      </c>
      <c r="B17" s="3">
        <v>1000</v>
      </c>
      <c r="C17" s="28">
        <v>552.29999999999995</v>
      </c>
      <c r="D17" s="3">
        <f t="shared" si="17"/>
        <v>158.79999999999995</v>
      </c>
      <c r="E17" s="3">
        <f t="shared" si="12"/>
        <v>159.91170618137286</v>
      </c>
      <c r="F17" s="3">
        <f t="shared" si="13"/>
        <v>1779.3375546801358</v>
      </c>
      <c r="G17" s="3">
        <f t="shared" si="14"/>
        <v>2541.9107924001942</v>
      </c>
      <c r="H17" s="3">
        <f t="shared" si="15"/>
        <v>30502.929508802328</v>
      </c>
      <c r="I17" s="3">
        <f t="shared" si="16"/>
        <v>13036.613150623129</v>
      </c>
      <c r="J17" s="3">
        <f t="shared" si="18"/>
        <v>42.738888888888887</v>
      </c>
    </row>
    <row r="18" spans="1:12">
      <c r="A18" s="3">
        <v>65535</v>
      </c>
      <c r="B18" s="3">
        <v>10000</v>
      </c>
      <c r="C18" s="28">
        <v>556.20000000000005</v>
      </c>
      <c r="D18" s="3">
        <f t="shared" si="17"/>
        <v>162.70000000000005</v>
      </c>
      <c r="E18" s="3">
        <f t="shared" si="12"/>
        <v>163.83900878910188</v>
      </c>
      <c r="F18" s="3">
        <f t="shared" si="13"/>
        <v>1823.0366507963365</v>
      </c>
      <c r="G18" s="3">
        <f t="shared" si="14"/>
        <v>2604.338072566195</v>
      </c>
      <c r="H18" s="3">
        <f t="shared" si="15"/>
        <v>31252.056870794338</v>
      </c>
      <c r="I18" s="3">
        <f t="shared" si="16"/>
        <v>13356.78186150116</v>
      </c>
      <c r="J18" s="3">
        <f t="shared" si="18"/>
        <v>42.738888888888894</v>
      </c>
    </row>
    <row r="19" spans="1:12">
      <c r="A19" s="3">
        <v>65535</v>
      </c>
      <c r="B19" s="3">
        <v>100000</v>
      </c>
      <c r="C19" s="28">
        <v>566.5</v>
      </c>
      <c r="D19" s="3">
        <f t="shared" si="17"/>
        <v>173</v>
      </c>
      <c r="E19" s="3">
        <f t="shared" si="12"/>
        <v>174.21111567618081</v>
      </c>
      <c r="F19" s="3">
        <f t="shared" si="13"/>
        <v>1938.4470841288639</v>
      </c>
      <c r="G19" s="3">
        <f t="shared" si="14"/>
        <v>2769.2101201840915</v>
      </c>
      <c r="H19" s="3">
        <f t="shared" si="15"/>
        <v>33230.521442209094</v>
      </c>
      <c r="I19" s="3">
        <f t="shared" si="16"/>
        <v>14202.355636384144</v>
      </c>
      <c r="J19" s="3">
        <f t="shared" si="18"/>
        <v>42.738888888888894</v>
      </c>
    </row>
    <row r="20" spans="1:12">
      <c r="B20" s="23"/>
      <c r="D20" s="8"/>
    </row>
    <row r="21" spans="1:12">
      <c r="A21" s="3"/>
      <c r="B21" s="23"/>
    </row>
    <row r="22" spans="1:12">
      <c r="A22" s="3" t="s">
        <v>75</v>
      </c>
      <c r="B22" s="23"/>
    </row>
    <row r="23" spans="1:12" ht="12.9">
      <c r="A23" s="3" t="s">
        <v>76</v>
      </c>
      <c r="H23" t="s">
        <v>57</v>
      </c>
      <c r="I23" s="3" t="s">
        <v>58</v>
      </c>
      <c r="J23" s="19"/>
      <c r="K23" s="19"/>
      <c r="L23" s="19"/>
    </row>
    <row r="24" spans="1:12" ht="12.9">
      <c r="A24" s="3" t="s">
        <v>77</v>
      </c>
      <c r="H24">
        <v>1764.7711893080698</v>
      </c>
      <c r="I24" s="3">
        <f t="shared" ref="I24:I27" si="19">H24/0.7</f>
        <v>2521.1016990115286</v>
      </c>
      <c r="J24" s="34"/>
      <c r="K24" s="31"/>
      <c r="L24" s="31"/>
    </row>
    <row r="25" spans="1:12" ht="12.9">
      <c r="H25">
        <v>1428.6242961065325</v>
      </c>
      <c r="I25" s="3">
        <f t="shared" si="19"/>
        <v>2040.8918515807609</v>
      </c>
      <c r="J25" s="19"/>
      <c r="K25" s="19"/>
      <c r="L25" s="19"/>
    </row>
    <row r="26" spans="1:12" ht="12.9">
      <c r="A26" s="26" t="s">
        <v>75</v>
      </c>
      <c r="B26" s="29" t="s">
        <v>54</v>
      </c>
      <c r="H26">
        <v>549.03992556251058</v>
      </c>
      <c r="I26" s="3">
        <f t="shared" si="19"/>
        <v>784.34275080358657</v>
      </c>
      <c r="J26" s="19"/>
      <c r="K26" s="19"/>
      <c r="L26" s="19"/>
    </row>
    <row r="27" spans="1:12" ht="15.8" customHeight="1">
      <c r="A27" s="3">
        <v>0.1</v>
      </c>
      <c r="B27" s="21">
        <v>676.54100000000005</v>
      </c>
      <c r="H27">
        <v>112.04896440051236</v>
      </c>
      <c r="I27" s="3">
        <f t="shared" si="19"/>
        <v>160.0699491435891</v>
      </c>
      <c r="J27" s="19"/>
      <c r="K27" s="19"/>
      <c r="L27" s="19"/>
    </row>
    <row r="28" spans="1:12" ht="15.8" customHeight="1">
      <c r="A28" s="3">
        <v>0.5</v>
      </c>
      <c r="B28" s="21">
        <v>611.30169999999998</v>
      </c>
      <c r="J28" s="19"/>
      <c r="K28" s="19"/>
      <c r="L28" s="19"/>
    </row>
    <row r="29" spans="1:12" ht="15.8" customHeight="1">
      <c r="A29" s="3">
        <v>1</v>
      </c>
      <c r="B29" s="21">
        <v>611.93799999999999</v>
      </c>
      <c r="H29" t="s">
        <v>57</v>
      </c>
      <c r="I29" t="s">
        <v>60</v>
      </c>
      <c r="J29" s="19"/>
      <c r="K29" s="19"/>
      <c r="L29" s="19"/>
    </row>
    <row r="30" spans="1:12" ht="15.8" customHeight="1">
      <c r="A30" s="3">
        <v>5</v>
      </c>
      <c r="B30" s="21">
        <v>620.62490000000003</v>
      </c>
      <c r="H30">
        <v>1764.7711893080698</v>
      </c>
      <c r="I30">
        <v>12929.890246997125</v>
      </c>
      <c r="J30" s="19"/>
      <c r="K30" s="19"/>
      <c r="L30" s="19"/>
    </row>
    <row r="31" spans="1:12" ht="14.3">
      <c r="A31" s="3">
        <v>10</v>
      </c>
      <c r="B31" s="21">
        <v>631.82129999999995</v>
      </c>
      <c r="H31">
        <v>1428.6242961065325</v>
      </c>
      <c r="I31">
        <v>10467.054009473863</v>
      </c>
    </row>
    <row r="32" spans="1:12" ht="14.3">
      <c r="A32" s="3">
        <v>100</v>
      </c>
      <c r="B32" s="21">
        <v>614.29999999999995</v>
      </c>
      <c r="H32">
        <v>549.03992556251058</v>
      </c>
      <c r="I32">
        <v>4022.6325212879942</v>
      </c>
    </row>
    <row r="33" spans="1:9" ht="12.9">
      <c r="B33" s="28"/>
      <c r="H33">
        <v>112.04896440051236</v>
      </c>
      <c r="I33">
        <v>820.94541250775399</v>
      </c>
    </row>
    <row r="34" spans="1:9" ht="12.9">
      <c r="B34" s="28"/>
    </row>
    <row r="35" spans="1:9" ht="12.9">
      <c r="A35" s="32" t="s">
        <v>78</v>
      </c>
      <c r="B35" s="31"/>
      <c r="C35" s="31"/>
      <c r="H35" t="s">
        <v>57</v>
      </c>
      <c r="I35" t="s">
        <v>61</v>
      </c>
    </row>
    <row r="36" spans="1:9" ht="15.8" customHeight="1">
      <c r="H36">
        <v>1764.7711893080698</v>
      </c>
      <c r="I36">
        <v>42.738888888888887</v>
      </c>
    </row>
    <row r="37" spans="1:9" ht="15.8" customHeight="1">
      <c r="H37">
        <v>1428.6242961065325</v>
      </c>
      <c r="I37">
        <v>42.738888888888887</v>
      </c>
    </row>
    <row r="38" spans="1:9" ht="15.8" customHeight="1">
      <c r="H38">
        <v>549.03992556251058</v>
      </c>
      <c r="I38">
        <v>42.738888888888887</v>
      </c>
    </row>
    <row r="39" spans="1:9" ht="15.8" customHeight="1">
      <c r="H39">
        <v>112.04896440051236</v>
      </c>
      <c r="I39">
        <v>42.738888888888894</v>
      </c>
    </row>
    <row r="41" spans="1:9" ht="15.8" customHeight="1">
      <c r="H41" t="s">
        <v>57</v>
      </c>
    </row>
    <row r="42" spans="1:9" ht="15.8" customHeight="1">
      <c r="H42">
        <v>1764.7711893080698</v>
      </c>
    </row>
    <row r="43" spans="1:9" ht="15.8" customHeight="1">
      <c r="H43">
        <v>1428.6242961065325</v>
      </c>
    </row>
    <row r="44" spans="1:9" ht="15.8" customHeight="1">
      <c r="H44">
        <v>549.03992556251058</v>
      </c>
    </row>
    <row r="45" spans="1:9" ht="15.8" customHeight="1">
      <c r="H45">
        <v>112.04896440051236</v>
      </c>
    </row>
  </sheetData>
  <mergeCells count="6">
    <mergeCell ref="A35:C35"/>
    <mergeCell ref="A2:B2"/>
    <mergeCell ref="A4:B4"/>
    <mergeCell ref="L4:P4"/>
    <mergeCell ref="A11:D11"/>
    <mergeCell ref="J24:L24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7"/>
  <sheetViews>
    <sheetView workbookViewId="0"/>
  </sheetViews>
  <sheetFormatPr defaultColWidth="12.625" defaultRowHeight="15.8" customHeight="1"/>
  <sheetData>
    <row r="1" spans="1:4">
      <c r="A1" s="3" t="s">
        <v>79</v>
      </c>
      <c r="B1" s="3" t="s">
        <v>80</v>
      </c>
      <c r="C1" s="3" t="s">
        <v>81</v>
      </c>
      <c r="D1" s="3" t="s">
        <v>82</v>
      </c>
    </row>
    <row r="2" spans="1:4" ht="15.8" customHeight="1">
      <c r="A2" s="22">
        <v>3.4686849999999998</v>
      </c>
      <c r="B2" s="22">
        <v>15.64227</v>
      </c>
      <c r="C2" s="22">
        <v>31.261559999999999</v>
      </c>
      <c r="D2" s="23" t="s">
        <v>32</v>
      </c>
    </row>
    <row r="3" spans="1:4" ht="15.8" customHeight="1">
      <c r="A3" s="22">
        <v>1.3833899999999999</v>
      </c>
      <c r="B3" s="22">
        <v>7.7847609999999996</v>
      </c>
      <c r="C3" s="22">
        <v>15.671620000000001</v>
      </c>
      <c r="D3" s="23" t="s">
        <v>31</v>
      </c>
    </row>
    <row r="4" spans="1:4" ht="15.8" customHeight="1">
      <c r="A4" s="22">
        <v>0.80910499999999996</v>
      </c>
      <c r="B4" s="22">
        <v>3.9561899999999999</v>
      </c>
      <c r="C4" s="22">
        <v>7.7732760000000001</v>
      </c>
      <c r="D4" s="23" t="s">
        <v>30</v>
      </c>
    </row>
    <row r="5" spans="1:4" ht="15.8" customHeight="1">
      <c r="A5" s="22">
        <v>0.40965699999999999</v>
      </c>
      <c r="B5" s="22">
        <v>1.9398089999999999</v>
      </c>
      <c r="C5" s="22">
        <v>3.9281139999999999</v>
      </c>
      <c r="D5" s="23" t="s">
        <v>29</v>
      </c>
    </row>
    <row r="6" spans="1:4" ht="15.8" customHeight="1">
      <c r="A6" s="22">
        <v>0.27438099999999999</v>
      </c>
      <c r="B6" s="22">
        <v>0.95969499999999996</v>
      </c>
      <c r="C6" s="22">
        <v>1.951295</v>
      </c>
      <c r="D6" s="23" t="s">
        <v>28</v>
      </c>
    </row>
    <row r="7" spans="1:4" ht="15.8" customHeight="1">
      <c r="A7" s="22">
        <v>9.6990000000000007E-2</v>
      </c>
      <c r="B7" s="22">
        <v>0.51685700000000001</v>
      </c>
      <c r="C7" s="22">
        <v>0.95331399999999999</v>
      </c>
      <c r="D7" s="23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Brushless</vt:lpstr>
      <vt:lpstr>Step f</vt:lpstr>
      <vt:lpstr>Step loss</vt:lpstr>
      <vt:lpstr>Stall torqe</vt:lpstr>
      <vt:lpstr>ชีต6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PUNTILA BOONYASIRIWAT</cp:lastModifiedBy>
  <dcterms:modified xsi:type="dcterms:W3CDTF">2024-12-22T18:15:40Z</dcterms:modified>
</cp:coreProperties>
</file>